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" windowWidth="14655" windowHeight="6180" activeTab="0"/>
  </bookViews>
  <sheets>
    <sheet name=" AC 1562  PILs Summary" sheetId="1" r:id="rId1"/>
    <sheet name="PILs Proxy Approved" sheetId="2" r:id="rId2"/>
    <sheet name="True Up Variance Adjustments" sheetId="3" r:id="rId3"/>
    <sheet name=" AC 1562 Continuity Sched" sheetId="4" r:id="rId4"/>
    <sheet name="PILs Recovery details" sheetId="5" r:id="rId5"/>
  </sheets>
  <externalReferences>
    <externalReference r:id="rId8"/>
    <externalReference r:id="rId9"/>
    <externalReference r:id="rId10"/>
  </externalReferences>
  <definedNames>
    <definedName name="_Order1" hidden="1">255</definedName>
    <definedName name="_Sort" localSheetId="0" hidden="1">#REF!</definedName>
    <definedName name="_Sort" localSheetId="3" hidden="1">#REF!</definedName>
    <definedName name="_Sort" localSheetId="4" hidden="1">#REF!</definedName>
    <definedName name="_Sort" hidden="1">#REF!</definedName>
    <definedName name="new" localSheetId="0" hidden="1">#REF!</definedName>
    <definedName name="new" hidden="1">#REF!</definedName>
    <definedName name="PAGE11" localSheetId="0">#REF!</definedName>
    <definedName name="PAGE11">#REF!</definedName>
    <definedName name="PAGE2" localSheetId="0">#REF!</definedName>
    <definedName name="PAGE2" localSheetId="3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_xlnm.Print_Area" localSheetId="0">' AC 1562  PILs Summary'!$A$3:$G$4</definedName>
    <definedName name="_xlnm.Print_Area" localSheetId="3">' AC 1562 Continuity Sched'!$A$1:$K$85</definedName>
    <definedName name="_xlnm.Print_Area" localSheetId="4">'PILs Recovery details'!$B$3:$L$87</definedName>
  </definedNames>
  <calcPr fullCalcOnLoad="1"/>
</workbook>
</file>

<file path=xl/sharedStrings.xml><?xml version="1.0" encoding="utf-8"?>
<sst xmlns="http://schemas.openxmlformats.org/spreadsheetml/2006/main" count="479" uniqueCount="276">
  <si>
    <t xml:space="preserve"> </t>
  </si>
  <si>
    <t>Year</t>
  </si>
  <si>
    <t>Account 1562 Payments In Lieu of Taxes</t>
  </si>
  <si>
    <t>PILs Deferral Amount</t>
  </si>
  <si>
    <t>True-Up Adjustments</t>
  </si>
  <si>
    <t>Recovered Through Rates</t>
  </si>
  <si>
    <t>Cummulative Interest</t>
  </si>
  <si>
    <t>Fixed Distribution Revenues</t>
  </si>
  <si>
    <t>Residential</t>
  </si>
  <si>
    <t>General Service &lt; 50 KW</t>
  </si>
  <si>
    <t>General Service &gt; 50 KW</t>
  </si>
  <si>
    <t>Large User - TOU</t>
  </si>
  <si>
    <t>Cogeneration &lt; 1MW TOU</t>
  </si>
  <si>
    <t>Streetlight - TOU</t>
  </si>
  <si>
    <t>Sentinel Lights</t>
  </si>
  <si>
    <t>Unmetered Loads &lt; 50 KW</t>
  </si>
  <si>
    <t>Variable Distribution Revenues</t>
  </si>
  <si>
    <t>customer</t>
  </si>
  <si>
    <t>connection</t>
  </si>
  <si>
    <t>kWh's</t>
  </si>
  <si>
    <t>kW's</t>
  </si>
  <si>
    <t>kW's reserved</t>
  </si>
  <si>
    <t>Customer Class</t>
  </si>
  <si>
    <t>Billing Parameter</t>
  </si>
  <si>
    <t>Billed Consumption 2003</t>
  </si>
  <si>
    <t>2001 PIL's Rate Adder</t>
  </si>
  <si>
    <t>Cogeneration &lt; 1MW  - incremental</t>
  </si>
  <si>
    <t>Cogeneration &lt; 1MW  - standby</t>
  </si>
  <si>
    <t>General Service &gt; 50 KW - TOU</t>
  </si>
  <si>
    <t>Account 1562 Total</t>
  </si>
  <si>
    <t>2002 PIL's Rate Adder</t>
  </si>
  <si>
    <t xml:space="preserve">Cogeneration &lt; 1MW </t>
  </si>
  <si>
    <t>A</t>
  </si>
  <si>
    <t>B</t>
  </si>
  <si>
    <t>C</t>
  </si>
  <si>
    <t>D</t>
  </si>
  <si>
    <t>E</t>
  </si>
  <si>
    <t>F = D + E</t>
  </si>
  <si>
    <t xml:space="preserve">2003  PIL's Recoveries </t>
  </si>
  <si>
    <t>2002  PIL's Recoveries      Mar 1 to Dec 31</t>
  </si>
  <si>
    <t>2004 PILs Rate Adder Apr 1 to Dec 31</t>
  </si>
  <si>
    <t>C = A * B</t>
  </si>
  <si>
    <t>2004  PIL's Recoveries    Jan 1  to Mar 31</t>
  </si>
  <si>
    <t>G = F * A</t>
  </si>
  <si>
    <t>H = F * B</t>
  </si>
  <si>
    <t>I = F * C</t>
  </si>
  <si>
    <t>Total</t>
  </si>
  <si>
    <t>2005  PIL's Recoveries       Jan 1  to Mar 31</t>
  </si>
  <si>
    <t>2005  PIL's Recoveries       Apr 1  to Dec 31</t>
  </si>
  <si>
    <t>2006  PIL's Recoveries       Jan 1  to Apr 30</t>
  </si>
  <si>
    <t>F = D * A</t>
  </si>
  <si>
    <t>G = E * B</t>
  </si>
  <si>
    <t>H = E * C</t>
  </si>
  <si>
    <t>Billed Consumption Mar 1/02 to Dec 31/02</t>
  </si>
  <si>
    <t>Billed &amp; Unbilled Consumption   Jan 1/04 to  Mar 31/04</t>
  </si>
  <si>
    <t>Total 2001 and 2002 PIL's Rate Adder Mar 1/02 to Mar 31/04</t>
  </si>
  <si>
    <t>Billed Consumption Apr 1/04 to Dec 31/04</t>
  </si>
  <si>
    <t>2004 PIL's Recoveries   Apr 1 to Dec 31</t>
  </si>
  <si>
    <t>Billed Consumption Apr 1 to Dec 31/05</t>
  </si>
  <si>
    <t>Billed &amp;Unbilled Consumption Jan 1 to  Apr 30/06</t>
  </si>
  <si>
    <t>Billed &amp; Unbilled Consumption Jan 1 to Mar 31/05</t>
  </si>
  <si>
    <t>Summary of PILs Recoveries Through Distibution Rates</t>
  </si>
  <si>
    <t>Period</t>
  </si>
  <si>
    <t>March 1 to December 31</t>
  </si>
  <si>
    <t>January 1 to December 31</t>
  </si>
  <si>
    <t>January 1 to March 31</t>
  </si>
  <si>
    <t>April 1 to December 31</t>
  </si>
  <si>
    <t>January 1 to April 30</t>
  </si>
  <si>
    <t>Period March 1,2002 to March 31,2004</t>
  </si>
  <si>
    <t>Period April 1,2004 to December 31,2004</t>
  </si>
  <si>
    <t>Period January 1,2005 to April 30,2006</t>
  </si>
  <si>
    <t>Days Interest</t>
  </si>
  <si>
    <t>Interest Rate</t>
  </si>
  <si>
    <t>Interest Amount</t>
  </si>
  <si>
    <t>Oct to Dec 2001</t>
  </si>
  <si>
    <t>Mthly Amt</t>
  </si>
  <si>
    <t>Jan  to Mar 2004</t>
  </si>
  <si>
    <t>Apr  to Dec 2004</t>
  </si>
  <si>
    <t>Approved Total</t>
  </si>
  <si>
    <t>Jan  to Mar 2005</t>
  </si>
  <si>
    <t>Apr  to Dec 2005</t>
  </si>
  <si>
    <t>Jan  to Apr 2006</t>
  </si>
  <si>
    <t># of Months</t>
  </si>
  <si>
    <t>True-up Adjustments</t>
  </si>
  <si>
    <t>Interest</t>
  </si>
  <si>
    <t>Balance</t>
  </si>
  <si>
    <t>Amount Recovered</t>
  </si>
  <si>
    <t>Annualized Amount</t>
  </si>
  <si>
    <t xml:space="preserve">1562             Opening   Account Balance Excluding Interest </t>
  </si>
  <si>
    <t xml:space="preserve">1562          Month End Balance Before Interest </t>
  </si>
  <si>
    <t>Date</t>
  </si>
  <si>
    <t>Oct to Dec 2007</t>
  </si>
  <si>
    <t>LCT Credit Adjustment</t>
  </si>
  <si>
    <t>Jan to Mar 2008</t>
  </si>
  <si>
    <t>Apr to June 2008</t>
  </si>
  <si>
    <t>Jul to Dec 2008</t>
  </si>
  <si>
    <t>Jan to Mar 2009</t>
  </si>
  <si>
    <t>Apr to June 2009</t>
  </si>
  <si>
    <t>Jul to Dec 2009</t>
  </si>
  <si>
    <t>Oct to Dec 2010</t>
  </si>
  <si>
    <t>Jan to June 2010</t>
  </si>
  <si>
    <t>Jan to June 2011</t>
  </si>
  <si>
    <t>Jan to Apr  2012</t>
  </si>
  <si>
    <t>May  to June 2006</t>
  </si>
  <si>
    <t>July  to Dec 2006</t>
  </si>
  <si>
    <t>Jan to Sept 2007</t>
  </si>
  <si>
    <t>July to Sept 2010</t>
  </si>
  <si>
    <t>July to Dec 2011</t>
  </si>
  <si>
    <t>Total Recoveries through rates</t>
  </si>
  <si>
    <t>Summary of Board approved PILs rate recoveries - recalculated amounts</t>
  </si>
  <si>
    <t>PILs Rate Adder Jan 1 to   Mar 31/05</t>
  </si>
  <si>
    <t>PILs Rate Adder Apr 1/05 to Apr 30/06</t>
  </si>
  <si>
    <t>Summary of Interest Charges in Account 1562</t>
  </si>
  <si>
    <t>October 1 to December 31</t>
  </si>
  <si>
    <t>Amount</t>
  </si>
  <si>
    <t>May 1 to December 31</t>
  </si>
  <si>
    <t>Summary By Year</t>
  </si>
  <si>
    <t>Year start:</t>
  </si>
  <si>
    <t>Year end:</t>
  </si>
  <si>
    <t>Opening balance:</t>
  </si>
  <si>
    <t>PILs proxy from April 1, 2005 - input 9/12 of amount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</si>
  <si>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</si>
  <si>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</si>
  <si>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</si>
  <si>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>Please identify if Method 1, 2 or 3 was used to account for the PILs proxy and recovery.  ANSWER:    Method 2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</si>
  <si>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</si>
  <si>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</si>
  <si>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</si>
  <si>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</si>
  <si>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</si>
  <si>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</si>
  <si>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</si>
  <si>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</si>
  <si>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</si>
  <si>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</si>
  <si>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</si>
  <si>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</si>
  <si>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</si>
  <si>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</si>
  <si>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</si>
  <si>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</si>
  <si>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</si>
  <si>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</si>
  <si>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</si>
  <si>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</si>
  <si>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</si>
  <si>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</si>
  <si>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</si>
  <si>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</si>
  <si>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</si>
  <si>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</si>
  <si>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</si>
  <si>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</si>
  <si>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</si>
  <si>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</si>
  <si>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</si>
  <si>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>Reference</t>
  </si>
  <si>
    <t xml:space="preserve">Board-approved PILs tax proxy from Decisions    </t>
  </si>
  <si>
    <t xml:space="preserve">True-up Variance Adjustment  Q4, 2001     </t>
  </si>
  <si>
    <t xml:space="preserve">Deferral Account Variance Adjustment Q4, 2001     </t>
  </si>
  <si>
    <t xml:space="preserve">PILs billed to (collected from) customers             </t>
  </si>
  <si>
    <t xml:space="preserve">Board Approved PILs Rate Adjustments </t>
  </si>
  <si>
    <t>2001 Q 4</t>
  </si>
  <si>
    <t>Approved PILs rate adjustments per Board Decisions</t>
  </si>
  <si>
    <t>Board Decision - RP-2002-0093 / EB-2002-0102</t>
  </si>
  <si>
    <t>rate freeze yr</t>
  </si>
  <si>
    <t>Board Decision - RP-2004-0064 / EB-2004-0050</t>
  </si>
  <si>
    <t>Board Decision - RP-2005-0013 / EB-2005-0046</t>
  </si>
  <si>
    <t>Adjustments Resulting from Corrected Rate Models and Decisions</t>
  </si>
  <si>
    <t>LCT tax calculation - formula and rate calc.  corrections</t>
  </si>
  <si>
    <t>Ontario Capital tax - formula and rate calc. corrections</t>
  </si>
  <si>
    <t>Revised PILs rate adjustments per corrected rate models.</t>
  </si>
  <si>
    <t>N/A</t>
  </si>
  <si>
    <t xml:space="preserve">Corrected Board Approved PILs Tax Proxy from Decisions </t>
  </si>
  <si>
    <t>Approved PILs rate recovery amounts</t>
  </si>
  <si>
    <t xml:space="preserve">2001 proxy (recalculated)  </t>
  </si>
  <si>
    <t>2001 proxy (recalculated)  x 3/12   ($2,092,231 x 3/12)</t>
  </si>
  <si>
    <t>2002 proxy</t>
  </si>
  <si>
    <t>2002 proxy x 3/12  ($6,616,123 x 3/12)</t>
  </si>
  <si>
    <t>2005 proxy x 9/12  ($5,652,029 x 9/12)</t>
  </si>
  <si>
    <t>2005 proxy x 4/12 ($5,652,029 x 4/12)</t>
  </si>
  <si>
    <t>2006 LCT Credit Adjustment -$185,811 x 4/12</t>
  </si>
  <si>
    <t>Revised PILs Proxy Amounts per corrected rate models.</t>
  </si>
  <si>
    <t>Table 2</t>
  </si>
  <si>
    <t>TRUE-UP VARIANCE ADJUSTMENTS</t>
  </si>
  <si>
    <t>True-up variance adjustments as filed</t>
  </si>
  <si>
    <t>2001 Q4</t>
  </si>
  <si>
    <t>Total future true-ups before tax effect</t>
  </si>
  <si>
    <t xml:space="preserve">Income Tax Rate (excluding surtax) </t>
  </si>
  <si>
    <t>Income Tax Effect on True-up adjustments</t>
  </si>
  <si>
    <t>Less:  Miscellaneous tax credits</t>
  </si>
  <si>
    <t>Total income tax on true-ups</t>
  </si>
  <si>
    <t>Income Tax Rate used for gross-up (exclude surtax)</t>
  </si>
  <si>
    <t>TRUE-UP VARIANCE ADJUSTMENT - AS FILED</t>
  </si>
  <si>
    <t>Note 1</t>
  </si>
  <si>
    <t xml:space="preserve">Note 1 :  - True up amount before tax effect was used as entry to deferral account </t>
  </si>
  <si>
    <t>True-up variance adjustments - recalculated</t>
  </si>
  <si>
    <t>Total future true-ups before tax effect as filed</t>
  </si>
  <si>
    <t>Adjustments and Corrections</t>
  </si>
  <si>
    <t>Removal of regulatory asset movements from true-ups</t>
  </si>
  <si>
    <t>Non-deductible company pension plans removed from true ups</t>
  </si>
  <si>
    <t>Revised and corrected future true ups before tax effect</t>
  </si>
  <si>
    <t>TRUE-UP VARIANCE ADJUSTMENT - RECALCULATED</t>
  </si>
  <si>
    <t>DEFERRAL ACCOUNT VARIANCE ADJUSTMENTS - DUE TO CHANGES IN LEGISLATION</t>
  </si>
  <si>
    <t>Deferral account variance adjustments</t>
  </si>
  <si>
    <t>Deferral account variance adjustment as filed</t>
  </si>
  <si>
    <t>Changes due to corporate tax rate changes</t>
  </si>
  <si>
    <t>DEFERRAL ACCOUNT VARIANCE ADJUSTMENTS - RECALCULATED</t>
  </si>
  <si>
    <t>IV b) Calculation of the Deferral Account Variance caused by changes in legislation</t>
  </si>
  <si>
    <t>2003 as filed</t>
  </si>
  <si>
    <t>2003 recalculated</t>
  </si>
  <si>
    <t>2003 Changes</t>
  </si>
  <si>
    <t>REGULATORY TAXABLE INCOME /(LOSSES) (as reported in the initial estimate column)</t>
  </si>
  <si>
    <t xml:space="preserve">REVISED CORPORATE INCOME TAX RATE </t>
  </si>
  <si>
    <t>REVISED REGULATORY INCOME TAX</t>
  </si>
  <si>
    <t xml:space="preserve">Less: Revised Miscellaneous Tax Credits </t>
  </si>
  <si>
    <t>Total Revised Regulatory Income Tax</t>
  </si>
  <si>
    <t>Less: Regulatory Income Tax reported in the Initial Estimate Column (Cell C58)</t>
  </si>
  <si>
    <t>Regulatory Income Tax Variance</t>
  </si>
  <si>
    <t>Ontario Capital Tax</t>
  </si>
  <si>
    <t>Base</t>
  </si>
  <si>
    <t>Less: Exemption from tab Tax Rates, Table 2, cell C39</t>
  </si>
  <si>
    <t xml:space="preserve">Revised deemed taxable capital </t>
  </si>
  <si>
    <t>Rate - Tab Tax Rates cell C54</t>
  </si>
  <si>
    <t>Revised Ontario Capital Tax</t>
  </si>
  <si>
    <t>Less: Ontario Capital Tax reported in the initial estimate column (Cell C70)</t>
  </si>
  <si>
    <t>Regulatory Ontario Capital Tax Variance</t>
  </si>
  <si>
    <t>Federal LCT</t>
  </si>
  <si>
    <t xml:space="preserve">Less: Exemption from tab Tax Rates, Table 2, cell C40 </t>
  </si>
  <si>
    <t>Revised Federal LCT</t>
  </si>
  <si>
    <t>Rate (as a result of legislative changes) tab 'Tax Rates' cell C51</t>
  </si>
  <si>
    <t xml:space="preserve">Gross Amount </t>
  </si>
  <si>
    <t>Less: Federal surtax</t>
  </si>
  <si>
    <t>Revised Net LCT</t>
  </si>
  <si>
    <t>Less: Federal LCT reported in the initial estimate column  (Cell C82)</t>
  </si>
  <si>
    <t>Regulatory Federal LCT Variance</t>
  </si>
  <si>
    <t>Actual Income Tax Rate used for gross-up (exclude surtax)</t>
  </si>
  <si>
    <t>Income Tax (grossed-up)</t>
  </si>
  <si>
    <t>LCT (grossed-up)</t>
  </si>
  <si>
    <t>DEFERRAL ACCOUNT VARIANCE ADJUSTMENT</t>
  </si>
  <si>
    <t>Table 4</t>
  </si>
  <si>
    <t>TABLE 1</t>
  </si>
  <si>
    <t>TABLE 2</t>
  </si>
  <si>
    <t>TABLE 3</t>
  </si>
  <si>
    <t>TABLE 4</t>
  </si>
  <si>
    <t>TABLE 5</t>
  </si>
  <si>
    <t>Table 5</t>
  </si>
  <si>
    <t xml:space="preserve">True-up Variance Adjustments - 2002 to 2005                 </t>
  </si>
  <si>
    <t xml:space="preserve">Deferral Account Variance Adjustments - 2002 to 2005                    </t>
  </si>
  <si>
    <t>TABLE 6</t>
  </si>
  <si>
    <t>Table 7</t>
  </si>
  <si>
    <t>TABLE 7</t>
  </si>
  <si>
    <t>TABLE 8</t>
  </si>
  <si>
    <t>TABLE 8.1</t>
  </si>
  <si>
    <t>TABLE 8.2</t>
  </si>
  <si>
    <t>TABLE 8.3</t>
  </si>
  <si>
    <t>TABLE 8.4</t>
  </si>
  <si>
    <t>TABLE 8.5</t>
  </si>
  <si>
    <t>TABLE 9</t>
  </si>
  <si>
    <t>TABLE 9.1</t>
  </si>
  <si>
    <t>TABLE 9.2</t>
  </si>
  <si>
    <t>TABLE 9.3</t>
  </si>
  <si>
    <t>Table 9</t>
  </si>
  <si>
    <t>Account 1562 Payments In Lieu of Taxes - Before Recalculations</t>
  </si>
  <si>
    <t>Account 1562 Recalculated Using Halton Hills revised models and adjustments flowing from Board Decision</t>
  </si>
  <si>
    <t xml:space="preserve">Carrying charges  - 2001 to April 30, 2006          </t>
  </si>
  <si>
    <t xml:space="preserve">Carrying charges  - May 1,2006 to April 30, 2012          </t>
  </si>
  <si>
    <t>Balance as at April 30, 2006</t>
  </si>
  <si>
    <t xml:space="preserve">Ending balance as at April 30, 2012:  </t>
  </si>
  <si>
    <t>Account 1562 Reconciliation</t>
  </si>
  <si>
    <t xml:space="preserve">Board-approved PILs tax proxy from Decisions   - 2001 to 2005 </t>
  </si>
  <si>
    <t>Item #</t>
  </si>
  <si>
    <t>Total 2002 - 2005</t>
  </si>
  <si>
    <t xml:space="preserve">Original Balances Filed Through Board Approved Rate Decisions and  SIMPIL RRR Filings </t>
  </si>
  <si>
    <t xml:space="preserve">Recalculated  Balances Using Halton Hills Revised SIMPIL Models from Board Decision EB- 2008-0381 </t>
  </si>
  <si>
    <t>Adjustments Required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</si>
</sst>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0.0%"/>
    <numFmt numFmtId="168" formatCode="0.000000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[$-409]mmm\-yy;@"/>
    <numFmt numFmtId="173" formatCode="[$-409]dd\-mmm\-yy;@"/>
    <numFmt numFmtId="174" formatCode="0.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&quot;$&quot;* #,##0.0_);_(&quot;$&quot;* \(#,##0.0\);_(&quot;$&quot;* &quot;-&quot;??_);_(@_)"/>
    <numFmt numFmtId="181" formatCode="#,##0.00000000_);[Red]\(#,##0.00000000\)"/>
    <numFmt numFmtId="182" formatCode="[$-409]dddd\,\ mmmm\ dd\,\ 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42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3" fillId="0" borderId="0" xfId="44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3" fillId="0" borderId="10" xfId="42" applyNumberFormat="1" applyFont="1" applyBorder="1" applyAlignment="1">
      <alignment/>
    </xf>
    <xf numFmtId="171" fontId="3" fillId="0" borderId="11" xfId="44" applyNumberFormat="1" applyFont="1" applyBorder="1" applyAlignment="1">
      <alignment/>
    </xf>
    <xf numFmtId="43" fontId="0" fillId="0" borderId="0" xfId="0" applyNumberFormat="1" applyAlignment="1">
      <alignment/>
    </xf>
    <xf numFmtId="170" fontId="3" fillId="0" borderId="12" xfId="44" applyNumberFormat="1" applyFont="1" applyBorder="1" applyAlignment="1">
      <alignment/>
    </xf>
    <xf numFmtId="164" fontId="3" fillId="0" borderId="13" xfId="44" applyNumberFormat="1" applyFont="1" applyBorder="1" applyAlignment="1">
      <alignment/>
    </xf>
    <xf numFmtId="170" fontId="3" fillId="0" borderId="13" xfId="44" applyNumberFormat="1" applyFont="1" applyBorder="1" applyAlignment="1">
      <alignment/>
    </xf>
    <xf numFmtId="164" fontId="3" fillId="0" borderId="10" xfId="44" applyNumberFormat="1" applyFont="1" applyBorder="1" applyAlignment="1">
      <alignment/>
    </xf>
    <xf numFmtId="171" fontId="3" fillId="0" borderId="12" xfId="44" applyNumberFormat="1" applyFont="1" applyBorder="1" applyAlignment="1">
      <alignment/>
    </xf>
    <xf numFmtId="171" fontId="3" fillId="0" borderId="0" xfId="44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58" applyFont="1">
      <alignment/>
      <protection/>
    </xf>
    <xf numFmtId="0" fontId="3" fillId="0" borderId="14" xfId="58" applyFont="1" applyBorder="1">
      <alignment/>
      <protection/>
    </xf>
    <xf numFmtId="0" fontId="3" fillId="0" borderId="15" xfId="58" applyFont="1" applyBorder="1">
      <alignment/>
      <protection/>
    </xf>
    <xf numFmtId="0" fontId="4" fillId="13" borderId="16" xfId="58" applyFont="1" applyFill="1" applyBorder="1" applyAlignment="1">
      <alignment horizontal="center"/>
      <protection/>
    </xf>
    <xf numFmtId="0" fontId="3" fillId="0" borderId="17" xfId="58" applyFont="1" applyBorder="1">
      <alignment/>
      <protection/>
    </xf>
    <xf numFmtId="0" fontId="3" fillId="0" borderId="17" xfId="58" applyFont="1" applyBorder="1" applyAlignment="1">
      <alignment horizontal="center"/>
      <protection/>
    </xf>
    <xf numFmtId="164" fontId="3" fillId="0" borderId="17" xfId="58" applyNumberFormat="1" applyFont="1" applyBorder="1">
      <alignment/>
      <protection/>
    </xf>
    <xf numFmtId="0" fontId="4" fillId="13" borderId="16" xfId="58" applyFont="1" applyFill="1" applyBorder="1">
      <alignment/>
      <protection/>
    </xf>
    <xf numFmtId="164" fontId="4" fillId="13" borderId="16" xfId="58" applyNumberFormat="1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164" fontId="3" fillId="0" borderId="0" xfId="58" applyNumberFormat="1" applyFont="1">
      <alignment/>
      <protection/>
    </xf>
    <xf numFmtId="0" fontId="2" fillId="13" borderId="0" xfId="58" applyFont="1" applyFill="1">
      <alignment/>
      <protection/>
    </xf>
    <xf numFmtId="0" fontId="3" fillId="13" borderId="0" xfId="58" applyFont="1" applyFill="1">
      <alignment/>
      <protection/>
    </xf>
    <xf numFmtId="0" fontId="2" fillId="0" borderId="0" xfId="58" applyFont="1" applyAlignment="1">
      <alignment horizontal="center"/>
      <protection/>
    </xf>
    <xf numFmtId="0" fontId="0" fillId="0" borderId="0" xfId="58">
      <alignment/>
      <protection/>
    </xf>
    <xf numFmtId="0" fontId="4" fillId="13" borderId="16" xfId="58" applyFont="1" applyFill="1" applyBorder="1" applyAlignment="1">
      <alignment horizontal="center" wrapText="1"/>
      <protection/>
    </xf>
    <xf numFmtId="0" fontId="3" fillId="0" borderId="18" xfId="58" applyFont="1" applyBorder="1">
      <alignment/>
      <protection/>
    </xf>
    <xf numFmtId="0" fontId="3" fillId="0" borderId="19" xfId="58" applyFont="1" applyBorder="1">
      <alignment/>
      <protection/>
    </xf>
    <xf numFmtId="0" fontId="3" fillId="0" borderId="12" xfId="58" applyFont="1" applyBorder="1">
      <alignment/>
      <protection/>
    </xf>
    <xf numFmtId="0" fontId="3" fillId="0" borderId="13" xfId="58" applyFont="1" applyBorder="1">
      <alignment/>
      <protection/>
    </xf>
    <xf numFmtId="0" fontId="6" fillId="0" borderId="11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10" xfId="58" applyFont="1" applyBorder="1">
      <alignment/>
      <protection/>
    </xf>
    <xf numFmtId="0" fontId="3" fillId="0" borderId="11" xfId="58" applyFont="1" applyBorder="1">
      <alignment/>
      <protection/>
    </xf>
    <xf numFmtId="0" fontId="4" fillId="0" borderId="0" xfId="58" applyFont="1" applyBorder="1">
      <alignment/>
      <protection/>
    </xf>
    <xf numFmtId="166" fontId="3" fillId="0" borderId="0" xfId="58" applyNumberFormat="1" applyFont="1" applyBorder="1">
      <alignment/>
      <protection/>
    </xf>
    <xf numFmtId="0" fontId="0" fillId="0" borderId="0" xfId="58" applyBorder="1">
      <alignment/>
      <protection/>
    </xf>
    <xf numFmtId="164" fontId="4" fillId="13" borderId="20" xfId="58" applyNumberFormat="1" applyFont="1" applyFill="1" applyBorder="1">
      <alignment/>
      <protection/>
    </xf>
    <xf numFmtId="0" fontId="3" fillId="0" borderId="21" xfId="58" applyFont="1" applyBorder="1">
      <alignment/>
      <protection/>
    </xf>
    <xf numFmtId="0" fontId="3" fillId="0" borderId="22" xfId="58" applyFont="1" applyBorder="1">
      <alignment/>
      <protection/>
    </xf>
    <xf numFmtId="0" fontId="3" fillId="0" borderId="23" xfId="58" applyFont="1" applyBorder="1">
      <alignment/>
      <protection/>
    </xf>
    <xf numFmtId="0" fontId="3" fillId="0" borderId="24" xfId="58" applyFont="1" applyBorder="1">
      <alignment/>
      <protection/>
    </xf>
    <xf numFmtId="164" fontId="4" fillId="13" borderId="25" xfId="58" applyNumberFormat="1" applyFont="1" applyFill="1" applyBorder="1">
      <alignment/>
      <protection/>
    </xf>
    <xf numFmtId="165" fontId="3" fillId="0" borderId="0" xfId="42" applyNumberFormat="1" applyFont="1" applyBorder="1" applyAlignment="1">
      <alignment/>
    </xf>
    <xf numFmtId="168" fontId="3" fillId="0" borderId="11" xfId="58" applyNumberFormat="1" applyFont="1" applyBorder="1">
      <alignment/>
      <protection/>
    </xf>
    <xf numFmtId="168" fontId="3" fillId="0" borderId="0" xfId="58" applyNumberFormat="1" applyFont="1" applyBorder="1">
      <alignment/>
      <protection/>
    </xf>
    <xf numFmtId="0" fontId="4" fillId="0" borderId="10" xfId="58" applyFont="1" applyBorder="1">
      <alignment/>
      <protection/>
    </xf>
    <xf numFmtId="164" fontId="4" fillId="13" borderId="26" xfId="58" applyNumberFormat="1" applyFont="1" applyFill="1" applyBorder="1">
      <alignment/>
      <protection/>
    </xf>
    <xf numFmtId="164" fontId="3" fillId="0" borderId="17" xfId="58" applyNumberFormat="1" applyFont="1" applyBorder="1" applyAlignment="1">
      <alignment horizontal="center"/>
      <protection/>
    </xf>
    <xf numFmtId="165" fontId="3" fillId="0" borderId="17" xfId="58" applyNumberFormat="1" applyFont="1" applyBorder="1" applyAlignment="1">
      <alignment horizontal="center"/>
      <protection/>
    </xf>
    <xf numFmtId="164" fontId="4" fillId="13" borderId="16" xfId="58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5" fontId="3" fillId="0" borderId="11" xfId="0" applyNumberFormat="1" applyFont="1" applyBorder="1" applyAlignment="1">
      <alignment horizontal="center"/>
    </xf>
    <xf numFmtId="164" fontId="7" fillId="0" borderId="0" xfId="44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  <xf numFmtId="165" fontId="7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7" fillId="0" borderId="0" xfId="42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165" fontId="7" fillId="0" borderId="0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8" fillId="0" borderId="27" xfId="44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0" fillId="13" borderId="28" xfId="0" applyFill="1" applyBorder="1" applyAlignment="1">
      <alignment horizontal="centerContinuous"/>
    </xf>
    <xf numFmtId="0" fontId="0" fillId="13" borderId="29" xfId="0" applyFill="1" applyBorder="1" applyAlignment="1">
      <alignment horizontal="centerContinuous"/>
    </xf>
    <xf numFmtId="0" fontId="4" fillId="1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72" fontId="3" fillId="0" borderId="17" xfId="0" applyNumberFormat="1" applyFont="1" applyBorder="1" applyAlignment="1">
      <alignment horizontal="center"/>
    </xf>
    <xf numFmtId="164" fontId="7" fillId="0" borderId="17" xfId="44" applyNumberFormat="1" applyFont="1" applyBorder="1" applyAlignment="1">
      <alignment/>
    </xf>
    <xf numFmtId="0" fontId="7" fillId="0" borderId="17" xfId="44" applyNumberFormat="1" applyFont="1" applyBorder="1" applyAlignment="1">
      <alignment horizontal="center"/>
    </xf>
    <xf numFmtId="10" fontId="7" fillId="0" borderId="17" xfId="62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72" fontId="3" fillId="33" borderId="17" xfId="0" applyNumberFormat="1" applyFont="1" applyFill="1" applyBorder="1" applyAlignment="1">
      <alignment horizontal="center"/>
    </xf>
    <xf numFmtId="165" fontId="3" fillId="34" borderId="17" xfId="42" applyNumberFormat="1" applyFont="1" applyFill="1" applyBorder="1" applyAlignment="1">
      <alignment/>
    </xf>
    <xf numFmtId="165" fontId="7" fillId="34" borderId="17" xfId="42" applyNumberFormat="1" applyFont="1" applyFill="1" applyBorder="1" applyAlignment="1">
      <alignment/>
    </xf>
    <xf numFmtId="0" fontId="7" fillId="34" borderId="17" xfId="44" applyNumberFormat="1" applyFont="1" applyFill="1" applyBorder="1" applyAlignment="1">
      <alignment horizontal="center"/>
    </xf>
    <xf numFmtId="10" fontId="7" fillId="34" borderId="17" xfId="62" applyNumberFormat="1" applyFont="1" applyFill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34" borderId="17" xfId="0" applyNumberFormat="1" applyFont="1" applyFill="1" applyBorder="1" applyAlignment="1">
      <alignment/>
    </xf>
    <xf numFmtId="165" fontId="3" fillId="33" borderId="17" xfId="42" applyNumberFormat="1" applyFont="1" applyFill="1" applyBorder="1" applyAlignment="1">
      <alignment/>
    </xf>
    <xf numFmtId="165" fontId="3" fillId="33" borderId="17" xfId="0" applyNumberFormat="1" applyFont="1" applyFill="1" applyBorder="1" applyAlignment="1">
      <alignment/>
    </xf>
    <xf numFmtId="165" fontId="7" fillId="33" borderId="17" xfId="42" applyNumberFormat="1" applyFont="1" applyFill="1" applyBorder="1" applyAlignment="1">
      <alignment/>
    </xf>
    <xf numFmtId="0" fontId="7" fillId="33" borderId="17" xfId="44" applyNumberFormat="1" applyFont="1" applyFill="1" applyBorder="1" applyAlignment="1">
      <alignment horizontal="center"/>
    </xf>
    <xf numFmtId="10" fontId="7" fillId="33" borderId="17" xfId="62" applyNumberFormat="1" applyFont="1" applyFill="1" applyBorder="1" applyAlignment="1">
      <alignment/>
    </xf>
    <xf numFmtId="10" fontId="3" fillId="0" borderId="17" xfId="62" applyNumberFormat="1" applyFont="1" applyFill="1" applyBorder="1" applyAlignment="1">
      <alignment/>
    </xf>
    <xf numFmtId="15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15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165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4" fillId="13" borderId="16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65" fontId="3" fillId="0" borderId="17" xfId="42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7" fillId="0" borderId="17" xfId="42" applyNumberFormat="1" applyFont="1" applyFill="1" applyBorder="1" applyAlignment="1">
      <alignment/>
    </xf>
    <xf numFmtId="0" fontId="7" fillId="0" borderId="17" xfId="44" applyNumberFormat="1" applyFont="1" applyFill="1" applyBorder="1" applyAlignment="1">
      <alignment horizontal="center"/>
    </xf>
    <xf numFmtId="10" fontId="7" fillId="0" borderId="17" xfId="62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 horizontal="center"/>
    </xf>
    <xf numFmtId="165" fontId="3" fillId="0" borderId="30" xfId="42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7" fillId="0" borderId="30" xfId="42" applyNumberFormat="1" applyFont="1" applyFill="1" applyBorder="1" applyAlignment="1">
      <alignment/>
    </xf>
    <xf numFmtId="0" fontId="7" fillId="0" borderId="30" xfId="44" applyNumberFormat="1" applyFont="1" applyFill="1" applyBorder="1" applyAlignment="1">
      <alignment horizontal="center"/>
    </xf>
    <xf numFmtId="10" fontId="7" fillId="0" borderId="30" xfId="62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3" fillId="0" borderId="30" xfId="58" applyFont="1" applyBorder="1">
      <alignment/>
      <protection/>
    </xf>
    <xf numFmtId="0" fontId="4" fillId="0" borderId="31" xfId="58" applyFont="1" applyFill="1" applyBorder="1">
      <alignment/>
      <protection/>
    </xf>
    <xf numFmtId="0" fontId="4" fillId="0" borderId="29" xfId="58" applyFont="1" applyFill="1" applyBorder="1" applyAlignment="1">
      <alignment horizontal="center"/>
      <protection/>
    </xf>
    <xf numFmtId="0" fontId="0" fillId="0" borderId="0" xfId="0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0" fillId="35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7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0" fontId="32" fillId="0" borderId="0" xfId="59">
      <alignment/>
      <protection/>
    </xf>
    <xf numFmtId="0" fontId="49" fillId="13" borderId="31" xfId="59" applyFont="1" applyFill="1" applyBorder="1">
      <alignment/>
      <protection/>
    </xf>
    <xf numFmtId="0" fontId="32" fillId="13" borderId="29" xfId="59" applyFont="1" applyFill="1" applyBorder="1">
      <alignment/>
      <protection/>
    </xf>
    <xf numFmtId="0" fontId="49" fillId="13" borderId="16" xfId="59" applyFont="1" applyFill="1" applyBorder="1" applyAlignment="1">
      <alignment horizontal="center" wrapText="1"/>
      <protection/>
    </xf>
    <xf numFmtId="0" fontId="32" fillId="0" borderId="0" xfId="59" applyAlignment="1">
      <alignment horizontal="center" wrapText="1"/>
      <protection/>
    </xf>
    <xf numFmtId="0" fontId="32" fillId="0" borderId="11" xfId="59" applyBorder="1">
      <alignment/>
      <protection/>
    </xf>
    <xf numFmtId="0" fontId="32" fillId="0" borderId="0" xfId="59" applyBorder="1">
      <alignment/>
      <protection/>
    </xf>
    <xf numFmtId="0" fontId="32" fillId="0" borderId="17" xfId="59" applyBorder="1">
      <alignment/>
      <protection/>
    </xf>
    <xf numFmtId="0" fontId="49" fillId="0" borderId="11" xfId="59" applyFont="1" applyBorder="1">
      <alignment/>
      <protection/>
    </xf>
    <xf numFmtId="164" fontId="32" fillId="0" borderId="17" xfId="46" applyNumberFormat="1" applyFont="1" applyBorder="1" applyAlignment="1">
      <alignment/>
    </xf>
    <xf numFmtId="0" fontId="32" fillId="0" borderId="21" xfId="59" applyBorder="1">
      <alignment/>
      <protection/>
    </xf>
    <xf numFmtId="0" fontId="32" fillId="0" borderId="23" xfId="59" applyBorder="1">
      <alignment/>
      <protection/>
    </xf>
    <xf numFmtId="0" fontId="49" fillId="13" borderId="21" xfId="59" applyFont="1" applyFill="1" applyBorder="1">
      <alignment/>
      <protection/>
    </xf>
    <xf numFmtId="0" fontId="49" fillId="13" borderId="22" xfId="59" applyFont="1" applyFill="1" applyBorder="1">
      <alignment/>
      <protection/>
    </xf>
    <xf numFmtId="164" fontId="49" fillId="13" borderId="16" xfId="59" applyNumberFormat="1" applyFont="1" applyFill="1" applyBorder="1">
      <alignment/>
      <protection/>
    </xf>
    <xf numFmtId="164" fontId="49" fillId="13" borderId="16" xfId="59" applyNumberFormat="1" applyFont="1" applyFill="1" applyBorder="1" applyAlignment="1">
      <alignment horizontal="center"/>
      <protection/>
    </xf>
    <xf numFmtId="0" fontId="2" fillId="0" borderId="0" xfId="59" applyFont="1" applyAlignment="1" applyProtection="1">
      <alignment vertical="top"/>
      <protection locked="0"/>
    </xf>
    <xf numFmtId="14" fontId="32" fillId="0" borderId="17" xfId="59" applyNumberFormat="1" applyBorder="1" applyAlignment="1" applyProtection="1">
      <alignment vertical="top"/>
      <protection locked="0"/>
    </xf>
    <xf numFmtId="0" fontId="2" fillId="0" borderId="22" xfId="59" applyFont="1" applyBorder="1" applyAlignment="1" applyProtection="1">
      <alignment vertical="top"/>
      <protection locked="0"/>
    </xf>
    <xf numFmtId="14" fontId="32" fillId="0" borderId="30" xfId="59" applyNumberFormat="1" applyBorder="1" applyAlignment="1" applyProtection="1">
      <alignment vertical="top"/>
      <protection locked="0"/>
    </xf>
    <xf numFmtId="164" fontId="32" fillId="0" borderId="17" xfId="59" applyNumberFormat="1" applyBorder="1">
      <alignment/>
      <protection/>
    </xf>
    <xf numFmtId="0" fontId="32" fillId="0" borderId="0" xfId="59" applyFill="1" applyBorder="1">
      <alignment/>
      <protection/>
    </xf>
    <xf numFmtId="164" fontId="32" fillId="0" borderId="0" xfId="59" applyNumberFormat="1">
      <alignment/>
      <protection/>
    </xf>
    <xf numFmtId="3" fontId="0" fillId="0" borderId="0" xfId="0" applyNumberFormat="1" applyFont="1" applyAlignment="1">
      <alignment/>
    </xf>
    <xf numFmtId="0" fontId="49" fillId="13" borderId="31" xfId="59" applyFont="1" applyFill="1" applyBorder="1" applyAlignment="1">
      <alignment horizontal="left"/>
      <protection/>
    </xf>
    <xf numFmtId="0" fontId="49" fillId="13" borderId="16" xfId="59" applyFont="1" applyFill="1" applyBorder="1" applyAlignment="1">
      <alignment horizontal="center"/>
      <protection/>
    </xf>
    <xf numFmtId="10" fontId="32" fillId="0" borderId="17" xfId="63" applyNumberFormat="1" applyFont="1" applyBorder="1" applyAlignment="1" applyProtection="1">
      <alignment horizontal="right" vertical="top"/>
      <protection/>
    </xf>
    <xf numFmtId="164" fontId="32" fillId="0" borderId="17" xfId="59" applyNumberFormat="1" applyBorder="1" applyAlignment="1" applyProtection="1">
      <alignment horizontal="center" vertical="top"/>
      <protection/>
    </xf>
    <xf numFmtId="0" fontId="32" fillId="0" borderId="17" xfId="59" applyBorder="1" applyAlignment="1" applyProtection="1">
      <alignment horizontal="center" vertical="top"/>
      <protection/>
    </xf>
    <xf numFmtId="0" fontId="49" fillId="0" borderId="0" xfId="59" applyFont="1" applyBorder="1">
      <alignment/>
      <protection/>
    </xf>
    <xf numFmtId="0" fontId="32" fillId="0" borderId="14" xfId="59" applyBorder="1">
      <alignment/>
      <protection/>
    </xf>
    <xf numFmtId="0" fontId="32" fillId="0" borderId="15" xfId="59" applyBorder="1">
      <alignment/>
      <protection/>
    </xf>
    <xf numFmtId="0" fontId="49" fillId="0" borderId="0" xfId="59" applyFont="1">
      <alignment/>
      <protection/>
    </xf>
    <xf numFmtId="0" fontId="32" fillId="0" borderId="22" xfId="59" applyBorder="1">
      <alignment/>
      <protection/>
    </xf>
    <xf numFmtId="0" fontId="51" fillId="0" borderId="11" xfId="59" applyFont="1" applyBorder="1">
      <alignment/>
      <protection/>
    </xf>
    <xf numFmtId="0" fontId="32" fillId="0" borderId="11" xfId="59" applyFill="1" applyBorder="1">
      <alignment/>
      <protection/>
    </xf>
    <xf numFmtId="164" fontId="32" fillId="0" borderId="32" xfId="59" applyNumberFormat="1" applyBorder="1">
      <alignment/>
      <protection/>
    </xf>
    <xf numFmtId="0" fontId="49" fillId="0" borderId="11" xfId="59" applyFont="1" applyFill="1" applyBorder="1" applyAlignment="1">
      <alignment horizontal="left"/>
      <protection/>
    </xf>
    <xf numFmtId="0" fontId="49" fillId="0" borderId="17" xfId="59" applyFont="1" applyFill="1" applyBorder="1" applyAlignment="1">
      <alignment horizontal="center"/>
      <protection/>
    </xf>
    <xf numFmtId="0" fontId="9" fillId="13" borderId="16" xfId="59" applyFont="1" applyFill="1" applyBorder="1" applyAlignment="1" applyProtection="1">
      <alignment vertical="top" wrapText="1"/>
      <protection/>
    </xf>
    <xf numFmtId="0" fontId="0" fillId="0" borderId="17" xfId="59" applyFont="1" applyFill="1" applyBorder="1" applyAlignment="1" applyProtection="1">
      <alignment vertical="top"/>
      <protection/>
    </xf>
    <xf numFmtId="37" fontId="32" fillId="0" borderId="17" xfId="59" applyNumberFormat="1" applyFill="1" applyBorder="1" applyAlignment="1" applyProtection="1">
      <alignment/>
      <protection/>
    </xf>
    <xf numFmtId="0" fontId="0" fillId="0" borderId="17" xfId="59" applyFont="1" applyFill="1" applyBorder="1" applyAlignment="1" applyProtection="1">
      <alignment vertical="top" wrapText="1"/>
      <protection/>
    </xf>
    <xf numFmtId="37" fontId="32" fillId="38" borderId="32" xfId="59" applyNumberFormat="1" applyFill="1" applyBorder="1" applyAlignment="1" applyProtection="1">
      <alignment/>
      <protection/>
    </xf>
    <xf numFmtId="10" fontId="32" fillId="39" borderId="32" xfId="59" applyNumberFormat="1" applyFill="1" applyBorder="1" applyAlignment="1" applyProtection="1" quotePrefix="1">
      <alignment horizontal="right" vertical="top"/>
      <protection/>
    </xf>
    <xf numFmtId="3" fontId="32" fillId="38" borderId="32" xfId="59" applyNumberFormat="1" applyFill="1" applyBorder="1" applyAlignment="1" applyProtection="1" quotePrefix="1">
      <alignment/>
      <protection/>
    </xf>
    <xf numFmtId="37" fontId="32" fillId="38" borderId="32" xfId="59" applyNumberFormat="1" applyFill="1" applyBorder="1" applyAlignment="1" applyProtection="1">
      <alignment/>
      <protection locked="0"/>
    </xf>
    <xf numFmtId="0" fontId="10" fillId="0" borderId="17" xfId="59" applyFont="1" applyFill="1" applyBorder="1" applyAlignment="1" applyProtection="1">
      <alignment vertical="top" wrapText="1"/>
      <protection/>
    </xf>
    <xf numFmtId="37" fontId="32" fillId="0" borderId="32" xfId="59" applyNumberFormat="1" applyFill="1" applyBorder="1" applyAlignment="1" applyProtection="1">
      <alignment/>
      <protection locked="0"/>
    </xf>
    <xf numFmtId="37" fontId="32" fillId="38" borderId="33" xfId="59" applyNumberFormat="1" applyFill="1" applyBorder="1" applyAlignment="1" applyProtection="1">
      <alignment/>
      <protection/>
    </xf>
    <xf numFmtId="174" fontId="32" fillId="38" borderId="32" xfId="59" applyNumberFormat="1" applyFill="1" applyBorder="1" applyAlignment="1" applyProtection="1">
      <alignment/>
      <protection/>
    </xf>
    <xf numFmtId="0" fontId="0" fillId="0" borderId="17" xfId="59" applyFont="1" applyFill="1" applyBorder="1" applyAlignment="1" applyProtection="1">
      <alignment vertical="top"/>
      <protection locked="0"/>
    </xf>
    <xf numFmtId="37" fontId="32" fillId="34" borderId="32" xfId="59" applyNumberFormat="1" applyFill="1" applyBorder="1" applyAlignment="1" applyProtection="1">
      <alignment/>
      <protection/>
    </xf>
    <xf numFmtId="3" fontId="32" fillId="38" borderId="33" xfId="59" applyNumberFormat="1" applyFill="1" applyBorder="1" applyAlignment="1" applyProtection="1" quotePrefix="1">
      <alignment/>
      <protection/>
    </xf>
    <xf numFmtId="0" fontId="11" fillId="0" borderId="17" xfId="59" applyFont="1" applyFill="1" applyBorder="1" applyAlignment="1" applyProtection="1">
      <alignment vertical="top" wrapText="1"/>
      <protection/>
    </xf>
    <xf numFmtId="10" fontId="32" fillId="40" borderId="32" xfId="59" applyNumberFormat="1" applyFill="1" applyBorder="1" applyAlignment="1" applyProtection="1" quotePrefix="1">
      <alignment horizontal="right" vertical="top"/>
      <protection/>
    </xf>
    <xf numFmtId="0" fontId="2" fillId="0" borderId="17" xfId="59" applyFont="1" applyFill="1" applyBorder="1" applyAlignment="1" applyProtection="1">
      <alignment vertical="top"/>
      <protection/>
    </xf>
    <xf numFmtId="0" fontId="2" fillId="13" borderId="16" xfId="59" applyFont="1" applyFill="1" applyBorder="1" applyAlignment="1" applyProtection="1">
      <alignment vertical="top"/>
      <protection/>
    </xf>
    <xf numFmtId="37" fontId="2" fillId="13" borderId="16" xfId="59" applyNumberFormat="1" applyFont="1" applyFill="1" applyBorder="1" applyAlignment="1" applyProtection="1">
      <alignment/>
      <protection/>
    </xf>
    <xf numFmtId="0" fontId="2" fillId="13" borderId="31" xfId="58" applyFont="1" applyFill="1" applyBorder="1">
      <alignment/>
      <protection/>
    </xf>
    <xf numFmtId="0" fontId="3" fillId="13" borderId="28" xfId="58" applyFont="1" applyFill="1" applyBorder="1">
      <alignment/>
      <protection/>
    </xf>
    <xf numFmtId="0" fontId="3" fillId="13" borderId="29" xfId="58" applyFont="1" applyFill="1" applyBorder="1">
      <alignment/>
      <protection/>
    </xf>
    <xf numFmtId="0" fontId="2" fillId="13" borderId="31" xfId="58" applyFont="1" applyFill="1" applyBorder="1" applyAlignment="1">
      <alignment horizontal="centerContinuous"/>
      <protection/>
    </xf>
    <xf numFmtId="0" fontId="3" fillId="13" borderId="29" xfId="58" applyFont="1" applyFill="1" applyBorder="1" applyAlignment="1">
      <alignment horizontal="centerContinuous"/>
      <protection/>
    </xf>
    <xf numFmtId="0" fontId="2" fillId="13" borderId="18" xfId="58" applyFont="1" applyFill="1" applyBorder="1" applyAlignment="1">
      <alignment horizontal="centerContinuous"/>
      <protection/>
    </xf>
    <xf numFmtId="0" fontId="3" fillId="13" borderId="14" xfId="58" applyFont="1" applyFill="1" applyBorder="1" applyAlignment="1">
      <alignment horizontal="centerContinuous"/>
      <protection/>
    </xf>
    <xf numFmtId="0" fontId="3" fillId="13" borderId="15" xfId="58" applyFont="1" applyFill="1" applyBorder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0" fillId="0" borderId="0" xfId="0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/>
    </xf>
    <xf numFmtId="0" fontId="2" fillId="13" borderId="34" xfId="0" applyFont="1" applyFill="1" applyBorder="1" applyAlignment="1" applyProtection="1">
      <alignment vertical="top"/>
      <protection locked="0"/>
    </xf>
    <xf numFmtId="14" fontId="2" fillId="13" borderId="34" xfId="0" applyNumberFormat="1" applyFont="1" applyFill="1" applyBorder="1" applyAlignment="1" applyProtection="1">
      <alignment horizontal="center" vertical="top"/>
      <protection locked="0"/>
    </xf>
    <xf numFmtId="0" fontId="2" fillId="13" borderId="34" xfId="0" applyFont="1" applyFill="1" applyBorder="1" applyAlignment="1" applyProtection="1">
      <alignment horizontal="center" vertical="top"/>
      <protection locked="0"/>
    </xf>
    <xf numFmtId="0" fontId="2" fillId="13" borderId="30" xfId="0" applyFont="1" applyFill="1" applyBorder="1" applyAlignment="1" applyProtection="1">
      <alignment vertical="top"/>
      <protection locked="0"/>
    </xf>
    <xf numFmtId="0" fontId="2" fillId="13" borderId="30" xfId="0" applyFont="1" applyFill="1" applyBorder="1" applyAlignment="1" applyProtection="1">
      <alignment horizontal="center" vertical="top"/>
      <protection locked="0"/>
    </xf>
    <xf numFmtId="14" fontId="2" fillId="13" borderId="30" xfId="0" applyNumberFormat="1" applyFont="1" applyFill="1" applyBorder="1" applyAlignment="1" applyProtection="1">
      <alignment horizontal="center" vertical="top"/>
      <protection locked="0"/>
    </xf>
    <xf numFmtId="164" fontId="0" fillId="0" borderId="17" xfId="44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" fillId="13" borderId="16" xfId="0" applyFont="1" applyFill="1" applyBorder="1" applyAlignment="1" applyProtection="1">
      <alignment wrapText="1"/>
      <protection locked="0"/>
    </xf>
    <xf numFmtId="164" fontId="2" fillId="41" borderId="16" xfId="44" applyNumberFormat="1" applyFont="1" applyFill="1" applyBorder="1" applyAlignment="1" applyProtection="1">
      <alignment/>
      <protection/>
    </xf>
    <xf numFmtId="38" fontId="0" fillId="0" borderId="17" xfId="0" applyNumberFormat="1" applyFill="1" applyBorder="1" applyAlignment="1" applyProtection="1">
      <alignment/>
      <protection locked="0"/>
    </xf>
    <xf numFmtId="38" fontId="0" fillId="0" borderId="17" xfId="0" applyNumberFormat="1" applyFill="1" applyBorder="1" applyAlignment="1" applyProtection="1">
      <alignment/>
      <protection/>
    </xf>
    <xf numFmtId="38" fontId="0" fillId="0" borderId="17" xfId="0" applyNumberFormat="1" applyFill="1" applyBorder="1" applyAlignment="1" applyProtection="1">
      <alignment vertical="top"/>
      <protection locked="0"/>
    </xf>
    <xf numFmtId="38" fontId="0" fillId="0" borderId="17" xfId="42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43" fontId="0" fillId="0" borderId="0" xfId="42" applyFont="1" applyAlignment="1">
      <alignment/>
    </xf>
    <xf numFmtId="38" fontId="0" fillId="0" borderId="30" xfId="0" applyNumberFormat="1" applyFill="1" applyBorder="1" applyAlignment="1" applyProtection="1">
      <alignment/>
      <protection/>
    </xf>
    <xf numFmtId="38" fontId="2" fillId="0" borderId="17" xfId="0" applyNumberFormat="1" applyFont="1" applyFill="1" applyBorder="1" applyAlignment="1" applyProtection="1">
      <alignment/>
      <protection/>
    </xf>
    <xf numFmtId="43" fontId="0" fillId="0" borderId="17" xfId="42" applyFont="1" applyFill="1" applyBorder="1" applyAlignment="1" applyProtection="1">
      <alignment/>
      <protection locked="0"/>
    </xf>
    <xf numFmtId="38" fontId="0" fillId="0" borderId="17" xfId="0" applyNumberFormat="1" applyFont="1" applyFill="1" applyBorder="1" applyAlignment="1" applyProtection="1" quotePrefix="1">
      <alignment/>
      <protection locked="0"/>
    </xf>
    <xf numFmtId="0" fontId="2" fillId="13" borderId="16" xfId="0" applyFont="1" applyFill="1" applyBorder="1" applyAlignment="1" applyProtection="1">
      <alignment/>
      <protection locked="0"/>
    </xf>
    <xf numFmtId="14" fontId="2" fillId="13" borderId="16" xfId="0" applyNumberFormat="1" applyFont="1" applyFill="1" applyBorder="1" applyAlignment="1" applyProtection="1">
      <alignment horizontal="center" wrapText="1"/>
      <protection locked="0"/>
    </xf>
    <xf numFmtId="164" fontId="0" fillId="0" borderId="17" xfId="44" applyNumberFormat="1" applyFont="1" applyFill="1" applyBorder="1" applyAlignment="1" applyProtection="1">
      <alignment/>
      <protection locked="0"/>
    </xf>
    <xf numFmtId="38" fontId="2" fillId="0" borderId="17" xfId="0" applyNumberFormat="1" applyFont="1" applyFill="1" applyBorder="1" applyAlignment="1" applyProtection="1">
      <alignment horizontal="center"/>
      <protection locked="0"/>
    </xf>
    <xf numFmtId="43" fontId="2" fillId="0" borderId="17" xfId="42" applyFont="1" applyFill="1" applyBorder="1" applyAlignment="1" applyProtection="1">
      <alignment horizontal="center"/>
      <protection locked="0"/>
    </xf>
    <xf numFmtId="164" fontId="52" fillId="0" borderId="17" xfId="44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5" fontId="2" fillId="13" borderId="31" xfId="0" applyNumberFormat="1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Ls%20recoveries%20Mar%202002%20to%20Apr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Simpils%20Models%20(Halton%20Hills%20version)%202001%20to%202005\2005%20revised%20simpil%20model%20HH%20vers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%20Simpils%20RRR%20Filings%202002%20to%202006\2005%20%20Simpil%20RRR%20filing%20-%20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562  PILs detail"/>
      <sheetName val="Recovery detai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C&amp;DM TAX FORECAST"/>
      <sheetName val="PILs 1562 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 Rates"/>
      <sheetName val="PILs 1562 Calculation"/>
      <sheetName val="Check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47"/>
  <sheetViews>
    <sheetView showGridLines="0" tabSelected="1" zoomScalePageLayoutView="0" workbookViewId="0" topLeftCell="A49">
      <selection activeCell="J22" sqref="J22"/>
    </sheetView>
  </sheetViews>
  <sheetFormatPr defaultColWidth="9.140625" defaultRowHeight="12.75"/>
  <cols>
    <col min="1" max="1" width="12.28125" style="2" customWidth="1"/>
    <col min="2" max="2" width="57.7109375" style="0" customWidth="1"/>
    <col min="3" max="3" width="14.7109375" style="0" customWidth="1"/>
    <col min="4" max="4" width="15.7109375" style="0" customWidth="1"/>
    <col min="5" max="5" width="16.7109375" style="0" customWidth="1"/>
    <col min="6" max="6" width="12.8515625" style="0" customWidth="1"/>
    <col min="7" max="7" width="12.7109375" style="0" customWidth="1"/>
    <col min="8" max="8" width="12.28125" style="0" customWidth="1"/>
    <col min="9" max="9" width="12.00390625" style="0" customWidth="1"/>
    <col min="10" max="11" width="11.57421875" style="0" customWidth="1"/>
    <col min="12" max="12" width="16.57421875" style="0" customWidth="1"/>
    <col min="13" max="13" width="11.00390625" style="0" customWidth="1"/>
    <col min="14" max="14" width="11.7109375" style="0" customWidth="1"/>
    <col min="15" max="15" width="12.7109375" style="0" customWidth="1"/>
    <col min="16" max="16" width="12.57421875" style="0" customWidth="1"/>
    <col min="17" max="17" width="11.8515625" style="0" customWidth="1"/>
  </cols>
  <sheetData>
    <row r="3" spans="2:3" ht="12.75">
      <c r="B3" s="13" t="s">
        <v>263</v>
      </c>
      <c r="C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8" customHeight="1">
      <c r="A9" s="13"/>
    </row>
    <row r="10" ht="18" customHeight="1">
      <c r="A10" s="13"/>
    </row>
    <row r="11" ht="18" customHeight="1">
      <c r="A11" s="13"/>
    </row>
    <row r="12" ht="18" customHeight="1">
      <c r="A12" s="13"/>
    </row>
    <row r="13" ht="18" customHeight="1">
      <c r="A13" s="13"/>
    </row>
    <row r="14" ht="18" customHeight="1">
      <c r="A14" s="13"/>
    </row>
    <row r="15" ht="18" customHeight="1">
      <c r="A15" s="13"/>
    </row>
    <row r="16" ht="18" customHeight="1">
      <c r="A16" s="13"/>
    </row>
    <row r="17" ht="18" customHeight="1">
      <c r="A17" s="13"/>
    </row>
    <row r="18" ht="18" customHeight="1">
      <c r="A18" s="13"/>
    </row>
    <row r="19" ht="18" customHeight="1">
      <c r="A19" s="13"/>
    </row>
    <row r="20" ht="18" customHeight="1">
      <c r="A20" s="13"/>
    </row>
    <row r="21" ht="18" customHeight="1">
      <c r="A21" s="13"/>
    </row>
    <row r="22" ht="18" customHeight="1">
      <c r="A22" s="13"/>
    </row>
    <row r="23" ht="18" customHeight="1">
      <c r="A23" s="13"/>
    </row>
    <row r="24" ht="18" customHeight="1">
      <c r="A24" s="13"/>
    </row>
    <row r="25" ht="18" customHeight="1">
      <c r="A25" s="13"/>
    </row>
    <row r="26" ht="18" customHeight="1">
      <c r="A26" s="13"/>
    </row>
    <row r="27" ht="18" customHeight="1">
      <c r="A27" s="13"/>
    </row>
    <row r="28" ht="18" customHeight="1">
      <c r="A28" s="13"/>
    </row>
    <row r="29" ht="18" customHeight="1">
      <c r="A29" s="13"/>
    </row>
    <row r="30" ht="18" customHeight="1">
      <c r="A30" s="13"/>
    </row>
    <row r="31" ht="18" customHeight="1">
      <c r="A31" s="13"/>
    </row>
    <row r="32" ht="18" customHeight="1">
      <c r="A32" s="13"/>
    </row>
    <row r="33" ht="18" customHeight="1" thickBot="1">
      <c r="A33" s="13"/>
    </row>
    <row r="34" spans="1:6" ht="100.5" customHeight="1" thickBot="1">
      <c r="A34" s="13"/>
      <c r="B34" s="241" t="s">
        <v>269</v>
      </c>
      <c r="C34" s="242" t="s">
        <v>273</v>
      </c>
      <c r="D34" s="242" t="s">
        <v>274</v>
      </c>
      <c r="E34" s="242" t="s">
        <v>275</v>
      </c>
      <c r="F34" s="242" t="s">
        <v>271</v>
      </c>
    </row>
    <row r="35" spans="1:6" ht="18" customHeight="1">
      <c r="A35" s="13"/>
      <c r="B35" s="216"/>
      <c r="C35" s="217"/>
      <c r="D35" s="217"/>
      <c r="E35" s="217"/>
      <c r="F35" s="217"/>
    </row>
    <row r="36" spans="1:6" ht="18" customHeight="1">
      <c r="A36" s="13"/>
      <c r="B36" s="227" t="s">
        <v>270</v>
      </c>
      <c r="C36" s="243">
        <v>32414423</v>
      </c>
      <c r="D36" s="243">
        <f>+J58+J59</f>
        <v>32271013.916666668</v>
      </c>
      <c r="E36" s="246">
        <f>+D36-C36</f>
        <v>-143409.0833333321</v>
      </c>
      <c r="F36" s="244">
        <v>1</v>
      </c>
    </row>
    <row r="37" spans="1:6" ht="18" customHeight="1">
      <c r="A37" s="13"/>
      <c r="B37" s="227" t="s">
        <v>158</v>
      </c>
      <c r="C37" s="231">
        <v>52250</v>
      </c>
      <c r="D37" s="231">
        <f aca="true" t="shared" si="0" ref="D37:D42">+J60</f>
        <v>15545.454545454546</v>
      </c>
      <c r="E37" s="231">
        <f>+D37-C37</f>
        <v>-36704.545454545456</v>
      </c>
      <c r="F37" s="244">
        <v>2</v>
      </c>
    </row>
    <row r="38" spans="1:6" ht="18" customHeight="1">
      <c r="A38" s="13"/>
      <c r="B38" s="227" t="s">
        <v>247</v>
      </c>
      <c r="C38" s="231">
        <v>-1089763</v>
      </c>
      <c r="D38" s="231">
        <f t="shared" si="0"/>
        <v>-1031977.5579015862</v>
      </c>
      <c r="E38" s="231">
        <f aca="true" t="shared" si="1" ref="E38:E43">+D38-C38</f>
        <v>57785.44209841383</v>
      </c>
      <c r="F38" s="244">
        <v>3</v>
      </c>
    </row>
    <row r="39" spans="1:6" ht="18" customHeight="1">
      <c r="A39" s="13"/>
      <c r="B39" s="227" t="s">
        <v>159</v>
      </c>
      <c r="C39" s="239">
        <v>0</v>
      </c>
      <c r="D39" s="239">
        <f t="shared" si="0"/>
        <v>0</v>
      </c>
      <c r="E39" s="239">
        <f t="shared" si="1"/>
        <v>0</v>
      </c>
      <c r="F39" s="245" t="s">
        <v>0</v>
      </c>
    </row>
    <row r="40" spans="1:6" ht="18" customHeight="1">
      <c r="A40" s="13"/>
      <c r="B40" s="227" t="s">
        <v>248</v>
      </c>
      <c r="C40" s="231">
        <v>-710837</v>
      </c>
      <c r="D40" s="234">
        <f t="shared" si="0"/>
        <v>-998695</v>
      </c>
      <c r="E40" s="231">
        <f t="shared" si="1"/>
        <v>-287858</v>
      </c>
      <c r="F40" s="244">
        <v>4</v>
      </c>
    </row>
    <row r="41" spans="1:6" ht="18" customHeight="1">
      <c r="A41" s="13"/>
      <c r="B41" s="227" t="s">
        <v>265</v>
      </c>
      <c r="C41" s="240">
        <v>527925</v>
      </c>
      <c r="D41" s="231">
        <f t="shared" si="0"/>
        <v>593288.4558480518</v>
      </c>
      <c r="E41" s="231">
        <f t="shared" si="1"/>
        <v>65363.45584805182</v>
      </c>
      <c r="F41" s="244">
        <v>5</v>
      </c>
    </row>
    <row r="42" spans="1:6" ht="18" customHeight="1">
      <c r="A42" s="13"/>
      <c r="B42" s="227" t="s">
        <v>160</v>
      </c>
      <c r="C42" s="231">
        <v>-30476788</v>
      </c>
      <c r="D42" s="231">
        <f t="shared" si="0"/>
        <v>-30479120.449678123</v>
      </c>
      <c r="E42" s="231">
        <f t="shared" si="1"/>
        <v>-2332.4496781229973</v>
      </c>
      <c r="F42" s="244">
        <v>6</v>
      </c>
    </row>
    <row r="43" spans="1:6" ht="18" customHeight="1">
      <c r="A43" s="13"/>
      <c r="B43" s="227" t="s">
        <v>266</v>
      </c>
      <c r="C43" s="231"/>
      <c r="D43" s="231">
        <f>+J68</f>
        <v>-31779.600135715562</v>
      </c>
      <c r="E43" s="231">
        <f t="shared" si="1"/>
        <v>-31779.600135715562</v>
      </c>
      <c r="F43" s="244">
        <v>7</v>
      </c>
    </row>
    <row r="44" spans="1:6" ht="13.5" thickBot="1">
      <c r="A44" s="13"/>
      <c r="B44" s="228"/>
      <c r="C44" s="218"/>
      <c r="D44" s="218"/>
      <c r="E44" s="218"/>
      <c r="F44" s="218"/>
    </row>
    <row r="45" spans="1:6" ht="13.5" thickBot="1">
      <c r="A45" s="13"/>
      <c r="B45" s="229" t="s">
        <v>268</v>
      </c>
      <c r="C45" s="230">
        <f>SUM(C36:C42)</f>
        <v>717210</v>
      </c>
      <c r="D45" s="230">
        <f>SUM(D36:D43)</f>
        <v>338275.2193447483</v>
      </c>
      <c r="E45" s="230">
        <f>SUM(E36:E42)</f>
        <v>-347155.1805195349</v>
      </c>
      <c r="F45" s="116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spans="1:6" ht="12.75">
      <c r="A51" s="8"/>
      <c r="B51" s="1"/>
      <c r="C51" s="1"/>
      <c r="D51" s="1"/>
      <c r="E51" s="1"/>
      <c r="F51" s="1"/>
    </row>
    <row r="52" spans="1:10" ht="12.75">
      <c r="A52" s="8"/>
      <c r="B52" s="235" t="s">
        <v>264</v>
      </c>
      <c r="C52" s="215"/>
      <c r="D52" s="215"/>
      <c r="E52" s="215"/>
      <c r="F52" s="215"/>
      <c r="G52" s="215"/>
      <c r="H52" s="215"/>
      <c r="I52" s="215"/>
      <c r="J52" s="215"/>
    </row>
    <row r="53" spans="1:10" ht="13.5" thickBot="1">
      <c r="A53" s="8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ht="12.75">
      <c r="A54" s="8"/>
      <c r="B54" s="220" t="s">
        <v>117</v>
      </c>
      <c r="C54" s="220"/>
      <c r="D54" s="221">
        <v>37165</v>
      </c>
      <c r="E54" s="221">
        <v>37257</v>
      </c>
      <c r="F54" s="221">
        <v>37622</v>
      </c>
      <c r="G54" s="221">
        <v>37987</v>
      </c>
      <c r="H54" s="221">
        <v>38353</v>
      </c>
      <c r="I54" s="221">
        <v>38718</v>
      </c>
      <c r="J54" s="222"/>
    </row>
    <row r="55" spans="1:10" ht="13.5" thickBot="1">
      <c r="A55" s="8"/>
      <c r="B55" s="223" t="s">
        <v>118</v>
      </c>
      <c r="C55" s="224" t="s">
        <v>156</v>
      </c>
      <c r="D55" s="225">
        <v>37256</v>
      </c>
      <c r="E55" s="225">
        <v>37621</v>
      </c>
      <c r="F55" s="225">
        <v>37986</v>
      </c>
      <c r="G55" s="225">
        <v>38352</v>
      </c>
      <c r="H55" s="225">
        <v>38717</v>
      </c>
      <c r="I55" s="225">
        <v>38837</v>
      </c>
      <c r="J55" s="224" t="s">
        <v>46</v>
      </c>
    </row>
    <row r="56" spans="1:10" ht="12.75">
      <c r="A56" s="8"/>
      <c r="B56" s="216"/>
      <c r="C56" s="216"/>
      <c r="D56" s="217"/>
      <c r="E56" s="217"/>
      <c r="F56" s="217"/>
      <c r="G56" s="217"/>
      <c r="H56" s="217"/>
      <c r="I56" s="217"/>
      <c r="J56" s="217"/>
    </row>
    <row r="57" spans="1:10" ht="18" customHeight="1">
      <c r="A57" s="8"/>
      <c r="B57" s="227" t="s">
        <v>119</v>
      </c>
      <c r="C57" s="227"/>
      <c r="D57" s="226">
        <v>0</v>
      </c>
      <c r="E57" s="226">
        <f>D70</f>
        <v>2104535.993278539</v>
      </c>
      <c r="F57" s="226">
        <f>E70</f>
        <v>2742460.9412929136</v>
      </c>
      <c r="G57" s="226">
        <f>F70</f>
        <v>2217410.6277113557</v>
      </c>
      <c r="H57" s="226">
        <f>G70</f>
        <v>2293977.022236092</v>
      </c>
      <c r="I57" s="226">
        <f>H70</f>
        <v>1105584.9160318496</v>
      </c>
      <c r="J57" s="226">
        <f>D57</f>
        <v>0</v>
      </c>
    </row>
    <row r="58" spans="1:11" ht="18" customHeight="1">
      <c r="A58" s="8"/>
      <c r="B58" s="227" t="s">
        <v>157</v>
      </c>
      <c r="C58" s="227" t="s">
        <v>183</v>
      </c>
      <c r="D58" s="231">
        <f>+'PILs Proxy Approved'!D31</f>
        <v>2092231</v>
      </c>
      <c r="E58" s="231">
        <f>+'PILs Proxy Approved'!E31</f>
        <v>6616123</v>
      </c>
      <c r="F58" s="231">
        <f>+'PILs Proxy Approved'!F31</f>
        <v>8708354</v>
      </c>
      <c r="G58" s="231">
        <f>+'PILs Proxy Approved'!G31</f>
        <v>7139180.75</v>
      </c>
      <c r="H58" s="231">
        <f>+'PILs Proxy Approved'!H27</f>
        <v>1654030.75</v>
      </c>
      <c r="I58" s="231">
        <f>+'PILs Proxy Approved'!I31</f>
        <v>1822072.6666666665</v>
      </c>
      <c r="J58" s="232">
        <f aca="true" t="shared" si="2" ref="J58:J65">SUM(D58:I58)</f>
        <v>28031992.166666668</v>
      </c>
      <c r="K58" s="169" t="s">
        <v>0</v>
      </c>
    </row>
    <row r="59" spans="1:10" ht="18" customHeight="1">
      <c r="A59" s="8"/>
      <c r="B59" s="227" t="s">
        <v>120</v>
      </c>
      <c r="C59" s="227" t="s">
        <v>183</v>
      </c>
      <c r="D59" s="231"/>
      <c r="E59" s="231"/>
      <c r="F59" s="231"/>
      <c r="G59" s="233"/>
      <c r="H59" s="231">
        <f>+'PILs Proxy Approved'!H28</f>
        <v>4239021.75</v>
      </c>
      <c r="I59" s="231"/>
      <c r="J59" s="232">
        <f t="shared" si="2"/>
        <v>4239021.75</v>
      </c>
    </row>
    <row r="60" spans="1:10" ht="18" customHeight="1">
      <c r="A60" s="8"/>
      <c r="B60" s="227" t="s">
        <v>158</v>
      </c>
      <c r="C60" s="227" t="s">
        <v>240</v>
      </c>
      <c r="D60" s="231"/>
      <c r="E60" s="231">
        <f>+'True Up Variance Adjustments'!C27</f>
        <v>15545.454545454546</v>
      </c>
      <c r="F60" s="233"/>
      <c r="G60" s="233"/>
      <c r="H60" s="231"/>
      <c r="I60" s="231"/>
      <c r="J60" s="232">
        <f t="shared" si="2"/>
        <v>15545.454545454546</v>
      </c>
    </row>
    <row r="61" spans="1:11" ht="18" customHeight="1">
      <c r="A61" s="8"/>
      <c r="B61" s="227" t="s">
        <v>247</v>
      </c>
      <c r="C61" s="227" t="s">
        <v>240</v>
      </c>
      <c r="D61" s="231"/>
      <c r="E61" s="231"/>
      <c r="F61" s="231">
        <f>+'True Up Variance Adjustments'!D27</f>
        <v>-353631.90848</v>
      </c>
      <c r="G61" s="231">
        <f>+'True Up Variance Adjustments'!E27</f>
        <v>-203989.86480620157</v>
      </c>
      <c r="H61" s="231">
        <f>+'True Up Variance Adjustments'!F27</f>
        <v>-322787.3735384615</v>
      </c>
      <c r="I61" s="231">
        <f>+'True Up Variance Adjustments'!G27</f>
        <v>-151568.41107692308</v>
      </c>
      <c r="J61" s="232">
        <f t="shared" si="2"/>
        <v>-1031977.5579015862</v>
      </c>
      <c r="K61" s="169" t="s">
        <v>0</v>
      </c>
    </row>
    <row r="62" spans="1:10" ht="18" customHeight="1">
      <c r="A62" s="8"/>
      <c r="B62" s="227" t="s">
        <v>159</v>
      </c>
      <c r="C62" s="227" t="s">
        <v>246</v>
      </c>
      <c r="D62" s="231"/>
      <c r="E62" s="239">
        <f>+'True Up Variance Adjustments'!C41</f>
        <v>0</v>
      </c>
      <c r="F62" s="231"/>
      <c r="G62" s="231"/>
      <c r="H62" s="239">
        <v>0</v>
      </c>
      <c r="I62" s="231"/>
      <c r="J62" s="239">
        <f t="shared" si="2"/>
        <v>0</v>
      </c>
    </row>
    <row r="63" spans="1:10" ht="18" customHeight="1">
      <c r="A63" s="8"/>
      <c r="B63" s="227" t="s">
        <v>248</v>
      </c>
      <c r="C63" s="227" t="s">
        <v>246</v>
      </c>
      <c r="D63" s="231"/>
      <c r="E63" s="234"/>
      <c r="F63" s="234">
        <f>+'True Up Variance Adjustments'!D41</f>
        <v>0</v>
      </c>
      <c r="G63" s="231">
        <f>+'True Up Variance Adjustments'!E41</f>
        <v>-287858</v>
      </c>
      <c r="H63" s="231">
        <f>+'True Up Variance Adjustments'!F41</f>
        <v>-710837</v>
      </c>
      <c r="I63" s="239">
        <f>+'True Up Variance Adjustments'!G41</f>
        <v>0</v>
      </c>
      <c r="J63" s="232">
        <f t="shared" si="2"/>
        <v>-998695</v>
      </c>
    </row>
    <row r="64" spans="1:10" ht="18" customHeight="1">
      <c r="A64" s="8"/>
      <c r="B64" s="227" t="s">
        <v>265</v>
      </c>
      <c r="C64" s="227" t="s">
        <v>250</v>
      </c>
      <c r="D64" s="231">
        <f>+' AC 1562 Continuity Sched'!F7</f>
        <v>12304.993278538816</v>
      </c>
      <c r="E64" s="231">
        <f>+' AC 1562 Continuity Sched'!F8</f>
        <v>222441.33017911998</v>
      </c>
      <c r="F64" s="231">
        <f>+' AC 1562 Continuity Sched'!F9</f>
        <v>148529.69540844002</v>
      </c>
      <c r="G64" s="231">
        <f>+' AC 1562 Continuity Sched'!F10</f>
        <v>121283.18563422746</v>
      </c>
      <c r="H64" s="231">
        <f>+' AC 1562 Continuity Sched'!F11</f>
        <v>78464.75138374021</v>
      </c>
      <c r="I64" s="231">
        <f>+' AC 1562 Continuity Sched'!D14</f>
        <v>10264.499963985325</v>
      </c>
      <c r="J64" s="232">
        <f t="shared" si="2"/>
        <v>593288.4558480518</v>
      </c>
    </row>
    <row r="65" spans="1:10" ht="18" customHeight="1" thickBot="1">
      <c r="A65" s="8"/>
      <c r="B65" s="227" t="s">
        <v>160</v>
      </c>
      <c r="C65" s="227" t="s">
        <v>262</v>
      </c>
      <c r="D65" s="231"/>
      <c r="E65" s="231">
        <f>-'PILs Recovery details'!D14</f>
        <v>-6216184.8367102</v>
      </c>
      <c r="F65" s="231">
        <f>-'PILs Recovery details'!E14</f>
        <v>-9028302.100509997</v>
      </c>
      <c r="G65" s="231">
        <f>-'PILs Recovery details'!F14</f>
        <v>-6692049.67630329</v>
      </c>
      <c r="H65" s="231">
        <f>-'PILs Recovery details'!G14</f>
        <v>-6126284.984049521</v>
      </c>
      <c r="I65" s="231">
        <f>-'PILs Recovery details'!H14</f>
        <v>-2416298.8521051137</v>
      </c>
      <c r="J65" s="237">
        <f t="shared" si="2"/>
        <v>-30479120.449678123</v>
      </c>
    </row>
    <row r="66" spans="1:10" ht="18" customHeight="1">
      <c r="A66" s="8"/>
      <c r="B66" s="227" t="s">
        <v>267</v>
      </c>
      <c r="C66" s="227"/>
      <c r="D66" s="231"/>
      <c r="E66" s="231"/>
      <c r="F66" s="231"/>
      <c r="G66" s="231"/>
      <c r="H66" s="231"/>
      <c r="I66" s="231"/>
      <c r="J66" s="238">
        <f>SUM(J57:J65)</f>
        <v>370054.81948046386</v>
      </c>
    </row>
    <row r="67" spans="1:10" ht="18" customHeight="1">
      <c r="A67" s="8"/>
      <c r="B67" s="227"/>
      <c r="C67" s="227"/>
      <c r="D67" s="231"/>
      <c r="E67" s="231"/>
      <c r="F67" s="231"/>
      <c r="G67" s="231"/>
      <c r="H67" s="231"/>
      <c r="I67" s="231"/>
      <c r="J67" s="232"/>
    </row>
    <row r="68" spans="1:10" ht="18" customHeight="1">
      <c r="A68" s="8"/>
      <c r="B68" s="227" t="s">
        <v>266</v>
      </c>
      <c r="C68" s="227" t="s">
        <v>250</v>
      </c>
      <c r="D68" s="231"/>
      <c r="E68" s="231"/>
      <c r="F68" s="231"/>
      <c r="G68" s="231"/>
      <c r="H68" s="231"/>
      <c r="J68" s="231">
        <f>SUM(' AC 1562 Continuity Sched'!D15:D21)</f>
        <v>-31779.600135715562</v>
      </c>
    </row>
    <row r="69" spans="1:10" ht="18" customHeight="1" thickBot="1">
      <c r="A69" s="8"/>
      <c r="B69" s="228"/>
      <c r="C69" s="228"/>
      <c r="D69" s="218"/>
      <c r="E69" s="218"/>
      <c r="F69" s="218"/>
      <c r="G69" s="218"/>
      <c r="H69" s="218"/>
      <c r="I69" s="218"/>
      <c r="J69" s="219"/>
    </row>
    <row r="70" spans="1:10" ht="18" customHeight="1" thickBot="1">
      <c r="A70" s="8"/>
      <c r="B70" s="229" t="s">
        <v>268</v>
      </c>
      <c r="C70" s="229"/>
      <c r="D70" s="230">
        <f>SUM(D57:D65)</f>
        <v>2104535.993278539</v>
      </c>
      <c r="E70" s="230">
        <f>SUM(E57:E65)</f>
        <v>2742460.9412929136</v>
      </c>
      <c r="F70" s="230">
        <f>SUM(F57:F65)</f>
        <v>2217410.6277113557</v>
      </c>
      <c r="G70" s="230">
        <f>SUM(G57:G65)</f>
        <v>2293977.022236092</v>
      </c>
      <c r="H70" s="230">
        <f>SUM(H57:H65)</f>
        <v>1105584.9160318496</v>
      </c>
      <c r="I70" s="230">
        <f>SUM(I57:I69)</f>
        <v>370054.8194804648</v>
      </c>
      <c r="J70" s="230">
        <f>SUM(J66:J69)</f>
        <v>338275.2193447483</v>
      </c>
    </row>
    <row r="71" spans="1:12" ht="12.75">
      <c r="A71" s="8"/>
      <c r="B71" s="135"/>
      <c r="C71" s="135"/>
      <c r="D71" s="137"/>
      <c r="E71" s="137"/>
      <c r="F71" s="137"/>
      <c r="G71" s="137"/>
      <c r="H71" s="137"/>
      <c r="I71" s="137"/>
      <c r="J71" s="137"/>
      <c r="L71" s="236" t="s">
        <v>0</v>
      </c>
    </row>
    <row r="72" spans="1:6" ht="12.75">
      <c r="A72" s="8"/>
      <c r="B72" s="1"/>
      <c r="C72" s="1"/>
      <c r="D72" s="1"/>
      <c r="E72" s="1"/>
      <c r="F72" s="1"/>
    </row>
    <row r="73" spans="1:6" ht="12.75">
      <c r="A73" s="8"/>
      <c r="B73" s="1"/>
      <c r="C73" s="1"/>
      <c r="D73" s="1"/>
      <c r="E73" s="1"/>
      <c r="F73" s="1"/>
    </row>
    <row r="74" spans="1:10" ht="12.75">
      <c r="A74" s="8"/>
      <c r="B74" s="135" t="s">
        <v>121</v>
      </c>
      <c r="C74" s="135"/>
      <c r="D74" s="138"/>
      <c r="E74" s="138"/>
      <c r="F74" s="138"/>
      <c r="G74" s="138"/>
      <c r="H74" s="138"/>
      <c r="I74" s="138"/>
      <c r="J74" s="138"/>
    </row>
    <row r="75" spans="1:10" ht="12.75">
      <c r="A75" s="8"/>
      <c r="B75" s="135"/>
      <c r="C75" s="135"/>
      <c r="D75" s="136"/>
      <c r="E75" s="136"/>
      <c r="F75" s="136"/>
      <c r="G75" s="136"/>
      <c r="H75" s="139"/>
      <c r="I75" s="136"/>
      <c r="J75" s="136"/>
    </row>
    <row r="76" spans="1:10" ht="12.75">
      <c r="A76" s="8"/>
      <c r="B76" s="135" t="s">
        <v>122</v>
      </c>
      <c r="C76" s="135"/>
      <c r="D76" s="136"/>
      <c r="E76" s="136"/>
      <c r="F76" s="136"/>
      <c r="G76" s="136"/>
      <c r="H76" s="136"/>
      <c r="I76" s="136"/>
      <c r="J76" s="136"/>
    </row>
    <row r="77" spans="1:10" ht="12.75">
      <c r="A77" s="8"/>
      <c r="B77" s="140" t="s">
        <v>123</v>
      </c>
      <c r="C77" s="140"/>
      <c r="D77" s="136"/>
      <c r="E77" s="136"/>
      <c r="F77" s="136"/>
      <c r="G77" s="136"/>
      <c r="H77" s="136"/>
      <c r="I77" s="136"/>
      <c r="J77" s="136"/>
    </row>
    <row r="78" spans="1:10" ht="12.75">
      <c r="A78" s="8"/>
      <c r="B78" s="136"/>
      <c r="C78" s="136"/>
      <c r="D78" s="136"/>
      <c r="E78" s="136"/>
      <c r="F78" s="136"/>
      <c r="G78" s="136"/>
      <c r="H78" s="136"/>
      <c r="I78" s="136"/>
      <c r="J78" s="136"/>
    </row>
    <row r="79" spans="1:10" ht="12.75">
      <c r="A79" s="8"/>
      <c r="B79" s="141" t="s">
        <v>124</v>
      </c>
      <c r="C79" s="141"/>
      <c r="D79" s="142"/>
      <c r="E79" s="142"/>
      <c r="F79" s="142"/>
      <c r="G79" s="143"/>
      <c r="H79" s="143"/>
      <c r="I79" s="143"/>
      <c r="J79" s="143"/>
    </row>
    <row r="80" spans="1:10" ht="12.75">
      <c r="A80" s="8"/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 ht="12.75">
      <c r="A81" s="8"/>
      <c r="B81" s="247" t="s">
        <v>125</v>
      </c>
      <c r="C81" s="247"/>
      <c r="D81" s="248"/>
      <c r="E81" s="248"/>
      <c r="F81" s="248"/>
      <c r="G81" s="248"/>
      <c r="H81" s="248"/>
      <c r="I81" s="248"/>
      <c r="J81" s="248"/>
    </row>
    <row r="82" spans="1:10" ht="12.75">
      <c r="A82" s="8"/>
      <c r="B82" s="248" t="s">
        <v>126</v>
      </c>
      <c r="C82" s="248"/>
      <c r="D82" s="249"/>
      <c r="E82" s="249"/>
      <c r="F82" s="249"/>
      <c r="G82" s="249"/>
      <c r="H82" s="249"/>
      <c r="I82" s="249"/>
      <c r="J82" s="249"/>
    </row>
    <row r="83" spans="1:10" ht="12.75">
      <c r="A83" s="8"/>
      <c r="B83" s="248" t="s">
        <v>127</v>
      </c>
      <c r="C83" s="248"/>
      <c r="D83" s="249"/>
      <c r="E83" s="249"/>
      <c r="F83" s="249"/>
      <c r="G83" s="249"/>
      <c r="H83" s="249"/>
      <c r="I83" s="249"/>
      <c r="J83" s="249"/>
    </row>
    <row r="84" spans="1:10" ht="12.75">
      <c r="A84" s="8"/>
      <c r="B84" s="248" t="s">
        <v>128</v>
      </c>
      <c r="C84" s="248"/>
      <c r="D84" s="248"/>
      <c r="E84" s="248"/>
      <c r="F84" s="248"/>
      <c r="G84" s="248"/>
      <c r="H84" s="248"/>
      <c r="I84" s="248"/>
      <c r="J84" s="248"/>
    </row>
    <row r="85" spans="1:10" ht="12.75">
      <c r="A85" s="8"/>
      <c r="B85" s="136" t="s">
        <v>129</v>
      </c>
      <c r="C85" s="136"/>
      <c r="D85" s="136"/>
      <c r="E85" s="136"/>
      <c r="F85" s="136"/>
      <c r="G85" s="136"/>
      <c r="H85" s="136"/>
      <c r="I85" s="136"/>
      <c r="J85" s="136"/>
    </row>
    <row r="86" spans="1:10" ht="12.75">
      <c r="A86" s="8"/>
      <c r="B86" s="136" t="s">
        <v>130</v>
      </c>
      <c r="C86" s="136"/>
      <c r="D86" s="136"/>
      <c r="E86" s="136"/>
      <c r="F86" s="136"/>
      <c r="G86" s="136"/>
      <c r="H86" s="136"/>
      <c r="I86" s="136"/>
      <c r="J86" s="136"/>
    </row>
    <row r="87" spans="1:10" ht="12.75">
      <c r="A87" s="8"/>
      <c r="B87" s="136" t="s">
        <v>131</v>
      </c>
      <c r="C87" s="136"/>
      <c r="D87" s="136"/>
      <c r="E87" s="136"/>
      <c r="F87" s="136"/>
      <c r="G87" s="136"/>
      <c r="H87" s="136"/>
      <c r="I87" s="136"/>
      <c r="J87" s="136"/>
    </row>
    <row r="88" spans="1:10" ht="12.75">
      <c r="A88" s="8"/>
      <c r="B88" s="136" t="s">
        <v>132</v>
      </c>
      <c r="C88" s="136"/>
      <c r="D88" s="136"/>
      <c r="E88" s="136"/>
      <c r="F88" s="136"/>
      <c r="G88" s="136"/>
      <c r="H88" s="136"/>
      <c r="I88" s="136"/>
      <c r="J88" s="136"/>
    </row>
    <row r="89" spans="1:10" ht="12.75">
      <c r="A89" s="8"/>
      <c r="B89" s="134"/>
      <c r="C89" s="134"/>
      <c r="D89" s="136"/>
      <c r="E89" s="136"/>
      <c r="F89" s="136"/>
      <c r="G89" s="136"/>
      <c r="H89" s="136"/>
      <c r="I89" s="136"/>
      <c r="J89" s="136"/>
    </row>
    <row r="90" spans="1:10" ht="12.75">
      <c r="A90" s="8"/>
      <c r="B90" s="145" t="s">
        <v>133</v>
      </c>
      <c r="C90" s="145"/>
      <c r="D90" s="136"/>
      <c r="E90" s="136"/>
      <c r="F90" s="136"/>
      <c r="G90" s="136"/>
      <c r="H90" s="136"/>
      <c r="I90" s="136"/>
      <c r="J90" s="136"/>
    </row>
    <row r="91" spans="1:10" ht="12.75">
      <c r="A91" s="8"/>
      <c r="B91" s="136" t="s">
        <v>134</v>
      </c>
      <c r="C91" s="136"/>
      <c r="D91" s="136"/>
      <c r="E91" s="136"/>
      <c r="F91" s="136"/>
      <c r="G91" s="136"/>
      <c r="H91" s="136"/>
      <c r="I91" s="136"/>
      <c r="J91" s="136"/>
    </row>
    <row r="92" spans="1:10" ht="12.75">
      <c r="A92" s="8"/>
      <c r="B92" s="136"/>
      <c r="C92" s="136"/>
      <c r="D92" s="136"/>
      <c r="E92" s="136"/>
      <c r="F92" s="136"/>
      <c r="G92" s="136"/>
      <c r="H92" s="136"/>
      <c r="I92" s="136"/>
      <c r="J92" s="136"/>
    </row>
    <row r="93" spans="1:10" ht="12.75">
      <c r="A93" s="8"/>
      <c r="B93" s="145" t="s">
        <v>135</v>
      </c>
      <c r="C93" s="145"/>
      <c r="D93" s="136"/>
      <c r="E93" s="136"/>
      <c r="F93" s="136"/>
      <c r="G93" s="136"/>
      <c r="H93" s="136"/>
      <c r="I93" s="136"/>
      <c r="J93" s="136"/>
    </row>
    <row r="94" spans="1:10" ht="12.75">
      <c r="A94" s="8"/>
      <c r="B94" s="136" t="s">
        <v>136</v>
      </c>
      <c r="C94" s="136"/>
      <c r="D94" s="136"/>
      <c r="E94" s="136"/>
      <c r="F94" s="136"/>
      <c r="G94" s="136"/>
      <c r="H94" s="136"/>
      <c r="I94" s="136"/>
      <c r="J94" s="136"/>
    </row>
    <row r="95" spans="1:10" ht="12.75">
      <c r="A95" s="8"/>
      <c r="B95" s="136"/>
      <c r="C95" s="136"/>
      <c r="D95" s="136"/>
      <c r="E95" s="136"/>
      <c r="F95" s="136"/>
      <c r="G95" s="136"/>
      <c r="H95" s="136"/>
      <c r="I95" s="136"/>
      <c r="J95" s="136"/>
    </row>
    <row r="96" spans="1:10" ht="12.75">
      <c r="A96" s="8"/>
      <c r="B96" s="145" t="s">
        <v>137</v>
      </c>
      <c r="C96" s="145"/>
      <c r="D96" s="136"/>
      <c r="E96" s="136"/>
      <c r="F96" s="136"/>
      <c r="G96" s="136"/>
      <c r="H96" s="136"/>
      <c r="I96" s="136"/>
      <c r="J96" s="136"/>
    </row>
    <row r="97" spans="1:10" ht="12.75">
      <c r="A97" s="8"/>
      <c r="B97" s="136" t="s">
        <v>138</v>
      </c>
      <c r="C97" s="136"/>
      <c r="D97" s="136"/>
      <c r="E97" s="136"/>
      <c r="F97" s="136"/>
      <c r="G97" s="136"/>
      <c r="H97" s="136"/>
      <c r="I97" s="136"/>
      <c r="J97" s="136"/>
    </row>
    <row r="98" spans="1:10" ht="12.75">
      <c r="A98" s="8"/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2.75">
      <c r="A99" s="8"/>
      <c r="B99" s="145" t="s">
        <v>139</v>
      </c>
      <c r="C99" s="145"/>
      <c r="D99" s="136"/>
      <c r="E99" s="136"/>
      <c r="F99" s="136"/>
      <c r="G99" s="136"/>
      <c r="H99" s="136"/>
      <c r="I99" s="136"/>
      <c r="J99" s="136"/>
    </row>
    <row r="100" spans="1:10" ht="12.75">
      <c r="A100" s="8"/>
      <c r="B100" s="136" t="s">
        <v>136</v>
      </c>
      <c r="C100" s="136"/>
      <c r="D100" s="136"/>
      <c r="E100" s="136"/>
      <c r="F100" s="136"/>
      <c r="G100" s="136"/>
      <c r="H100" s="136"/>
      <c r="I100" s="136"/>
      <c r="J100" s="136"/>
    </row>
    <row r="101" spans="1:10" ht="12.75">
      <c r="A101" s="8"/>
      <c r="B101" s="145"/>
      <c r="C101" s="145"/>
      <c r="D101" s="136"/>
      <c r="E101" s="136"/>
      <c r="F101" s="136"/>
      <c r="G101" s="136"/>
      <c r="H101" s="136"/>
      <c r="I101" s="136"/>
      <c r="J101" s="136"/>
    </row>
    <row r="102" spans="1:10" ht="12.75">
      <c r="A102" s="8"/>
      <c r="B102" s="136" t="s">
        <v>140</v>
      </c>
      <c r="C102" s="136"/>
      <c r="D102" s="136"/>
      <c r="E102" s="136"/>
      <c r="F102" s="136"/>
      <c r="G102" s="136"/>
      <c r="H102" s="136"/>
      <c r="I102" s="136"/>
      <c r="J102" s="136"/>
    </row>
    <row r="103" spans="1:10" ht="12.75">
      <c r="A103" s="8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2.75">
      <c r="A104" s="8"/>
      <c r="B104" s="145" t="s">
        <v>141</v>
      </c>
      <c r="C104" s="145"/>
      <c r="D104" s="136"/>
      <c r="E104" s="136"/>
      <c r="F104" s="136"/>
      <c r="G104" s="136"/>
      <c r="H104" s="136"/>
      <c r="I104" s="136"/>
      <c r="J104" s="136"/>
    </row>
    <row r="105" spans="1:10" ht="12.75">
      <c r="A105" s="8"/>
      <c r="B105" s="136"/>
      <c r="C105" s="136"/>
      <c r="D105" s="136"/>
      <c r="E105" s="136"/>
      <c r="F105" s="136"/>
      <c r="G105" s="136"/>
      <c r="H105" s="136"/>
      <c r="I105" s="136"/>
      <c r="J105" s="136"/>
    </row>
    <row r="106" spans="1:10" ht="12.75">
      <c r="A106" s="8"/>
      <c r="B106" s="136" t="s">
        <v>142</v>
      </c>
      <c r="C106" s="136"/>
      <c r="D106" s="136"/>
      <c r="E106" s="136"/>
      <c r="F106" s="136"/>
      <c r="G106" s="136"/>
      <c r="H106" s="136"/>
      <c r="I106" s="136"/>
      <c r="J106" s="136"/>
    </row>
    <row r="107" spans="1:10" ht="12.75">
      <c r="A107" s="8"/>
      <c r="B107" s="136" t="s">
        <v>143</v>
      </c>
      <c r="C107" s="136"/>
      <c r="D107" s="136"/>
      <c r="E107" s="136"/>
      <c r="F107" s="136"/>
      <c r="G107" s="136"/>
      <c r="H107" s="136"/>
      <c r="I107" s="136"/>
      <c r="J107" s="136"/>
    </row>
    <row r="108" spans="1:10" ht="12.75">
      <c r="A108" s="8"/>
      <c r="B108" s="136" t="s">
        <v>144</v>
      </c>
      <c r="C108" s="136"/>
      <c r="D108" s="136"/>
      <c r="E108" s="136"/>
      <c r="F108" s="136"/>
      <c r="G108" s="136"/>
      <c r="H108" s="136"/>
      <c r="I108" s="136"/>
      <c r="J108" s="136"/>
    </row>
    <row r="109" spans="1:10" ht="12.75">
      <c r="A109" s="8"/>
      <c r="B109" s="136" t="s">
        <v>145</v>
      </c>
      <c r="C109" s="136"/>
      <c r="D109" s="136"/>
      <c r="E109" s="136"/>
      <c r="F109" s="136"/>
      <c r="G109" s="136"/>
      <c r="H109" s="136"/>
      <c r="I109" s="136"/>
      <c r="J109" s="136"/>
    </row>
    <row r="110" spans="1:10" ht="12.75">
      <c r="A110" s="8"/>
      <c r="B110" s="136"/>
      <c r="C110" s="136"/>
      <c r="D110" s="136"/>
      <c r="E110" s="136"/>
      <c r="F110" s="136"/>
      <c r="G110" s="136"/>
      <c r="H110" s="136"/>
      <c r="I110" s="136"/>
      <c r="J110" s="136"/>
    </row>
    <row r="111" spans="1:10" ht="12.75">
      <c r="A111" s="8"/>
      <c r="B111" s="136" t="s">
        <v>146</v>
      </c>
      <c r="C111" s="136"/>
      <c r="D111" s="136"/>
      <c r="E111" s="136"/>
      <c r="F111" s="136"/>
      <c r="G111" s="136"/>
      <c r="H111" s="136"/>
      <c r="I111" s="136"/>
      <c r="J111" s="136"/>
    </row>
    <row r="112" spans="1:10" ht="12.75">
      <c r="A112" s="8"/>
      <c r="B112" s="136" t="s">
        <v>147</v>
      </c>
      <c r="C112" s="136"/>
      <c r="D112" s="136"/>
      <c r="E112" s="136"/>
      <c r="F112" s="136"/>
      <c r="G112" s="136"/>
      <c r="H112" s="136"/>
      <c r="I112" s="136"/>
      <c r="J112" s="136"/>
    </row>
    <row r="113" spans="1:10" ht="12.75">
      <c r="A113" s="8"/>
      <c r="B113" s="136" t="s">
        <v>148</v>
      </c>
      <c r="C113" s="136"/>
      <c r="D113" s="136"/>
      <c r="E113" s="136"/>
      <c r="F113" s="136"/>
      <c r="G113" s="136"/>
      <c r="H113" s="136"/>
      <c r="I113" s="136"/>
      <c r="J113" s="136"/>
    </row>
    <row r="114" spans="1:10" ht="12.75">
      <c r="A114" s="8"/>
      <c r="B114" s="136"/>
      <c r="C114" s="136"/>
      <c r="D114" s="136"/>
      <c r="E114" s="136"/>
      <c r="F114" s="136"/>
      <c r="G114" s="136"/>
      <c r="H114" s="136"/>
      <c r="I114" s="136"/>
      <c r="J114" s="136"/>
    </row>
    <row r="115" spans="1:10" ht="12.75">
      <c r="A115" s="8"/>
      <c r="B115" s="136" t="s">
        <v>149</v>
      </c>
      <c r="C115" s="136"/>
      <c r="D115" s="136"/>
      <c r="E115" s="136"/>
      <c r="F115" s="136"/>
      <c r="G115" s="136"/>
      <c r="H115" s="136"/>
      <c r="I115" s="136"/>
      <c r="J115" s="136"/>
    </row>
    <row r="116" spans="1:10" ht="12.75">
      <c r="A116" s="8"/>
      <c r="B116" s="136" t="s">
        <v>150</v>
      </c>
      <c r="C116" s="136"/>
      <c r="D116" s="136"/>
      <c r="E116" s="136"/>
      <c r="F116" s="136"/>
      <c r="G116" s="136"/>
      <c r="H116" s="136"/>
      <c r="I116" s="136"/>
      <c r="J116" s="136"/>
    </row>
    <row r="117" spans="1:10" ht="12.75">
      <c r="A117" s="8"/>
      <c r="B117" s="136"/>
      <c r="C117" s="136"/>
      <c r="D117" s="136"/>
      <c r="E117" s="136"/>
      <c r="F117" s="136"/>
      <c r="G117" s="136"/>
      <c r="H117" s="136"/>
      <c r="I117" s="136"/>
      <c r="J117" s="136"/>
    </row>
    <row r="118" spans="1:10" ht="12.75">
      <c r="A118" s="8"/>
      <c r="B118" s="136" t="s">
        <v>151</v>
      </c>
      <c r="C118" s="136"/>
      <c r="D118" s="136"/>
      <c r="E118" s="136"/>
      <c r="F118" s="136"/>
      <c r="G118" s="136"/>
      <c r="H118" s="136"/>
      <c r="I118" s="136"/>
      <c r="J118" s="136"/>
    </row>
    <row r="119" spans="1:10" ht="12.75">
      <c r="A119" s="8"/>
      <c r="B119" s="136" t="s">
        <v>152</v>
      </c>
      <c r="C119" s="136"/>
      <c r="D119" s="136"/>
      <c r="E119" s="136"/>
      <c r="F119" s="136"/>
      <c r="G119" s="136"/>
      <c r="H119" s="136"/>
      <c r="I119" s="136"/>
      <c r="J119" s="136"/>
    </row>
    <row r="120" spans="1:10" ht="12.75">
      <c r="A120" s="8"/>
      <c r="B120" s="136" t="s">
        <v>153</v>
      </c>
      <c r="C120" s="136"/>
      <c r="D120" s="136"/>
      <c r="E120" s="136"/>
      <c r="F120" s="136"/>
      <c r="G120" s="136"/>
      <c r="H120" s="136"/>
      <c r="I120" s="136"/>
      <c r="J120" s="136"/>
    </row>
    <row r="121" spans="1:10" ht="12.75">
      <c r="A121" s="8"/>
      <c r="B121" s="136"/>
      <c r="C121" s="136"/>
      <c r="D121" s="136"/>
      <c r="E121" s="136"/>
      <c r="F121" s="136"/>
      <c r="G121" s="136"/>
      <c r="H121" s="136"/>
      <c r="I121" s="136"/>
      <c r="J121" s="136"/>
    </row>
    <row r="122" spans="1:10" ht="12.75">
      <c r="A122" s="8"/>
      <c r="B122" s="248" t="s">
        <v>154</v>
      </c>
      <c r="C122" s="248"/>
      <c r="D122" s="248"/>
      <c r="E122" s="248"/>
      <c r="F122" s="248"/>
      <c r="G122" s="248"/>
      <c r="H122" s="248"/>
      <c r="I122" s="248"/>
      <c r="J122" s="248"/>
    </row>
    <row r="123" spans="1:10" ht="12.75">
      <c r="A123" s="8"/>
      <c r="B123" s="136" t="s">
        <v>155</v>
      </c>
      <c r="C123" s="136"/>
      <c r="D123" s="136"/>
      <c r="E123" s="136"/>
      <c r="F123" s="136"/>
      <c r="G123" s="136"/>
      <c r="H123" s="136"/>
      <c r="I123" s="136"/>
      <c r="J123" s="136"/>
    </row>
    <row r="124" spans="1:6" ht="12.75">
      <c r="A124" s="8"/>
      <c r="B124" s="1"/>
      <c r="C124" s="1"/>
      <c r="D124" s="1"/>
      <c r="E124" s="1"/>
      <c r="F124" s="1"/>
    </row>
    <row r="125" spans="1:6" ht="12.75">
      <c r="A125" s="8"/>
      <c r="B125" s="1"/>
      <c r="C125" s="1"/>
      <c r="D125" s="1"/>
      <c r="E125" s="1"/>
      <c r="F125" s="1"/>
    </row>
    <row r="126" spans="1:6" ht="12.75">
      <c r="A126" s="8"/>
      <c r="B126" s="1"/>
      <c r="C126" s="1"/>
      <c r="D126" s="1"/>
      <c r="E126" s="1"/>
      <c r="F126" s="1"/>
    </row>
    <row r="127" spans="1:6" ht="12.75">
      <c r="A127" s="8"/>
      <c r="B127" s="1"/>
      <c r="C127" s="1"/>
      <c r="D127" s="1"/>
      <c r="E127" s="1"/>
      <c r="F127" s="1"/>
    </row>
    <row r="128" spans="1:6" ht="12.75">
      <c r="A128" s="8"/>
      <c r="B128" s="1"/>
      <c r="C128" s="1"/>
      <c r="D128" s="1"/>
      <c r="E128" s="1"/>
      <c r="F128" s="1"/>
    </row>
    <row r="129" spans="1:6" ht="12.75">
      <c r="A129" s="8"/>
      <c r="B129" s="1"/>
      <c r="C129" s="1"/>
      <c r="D129" s="1"/>
      <c r="E129" s="1"/>
      <c r="F129" s="1"/>
    </row>
    <row r="130" spans="1:6" ht="12.75">
      <c r="A130" s="8"/>
      <c r="B130" s="1"/>
      <c r="C130" s="1"/>
      <c r="D130" s="1"/>
      <c r="E130" s="1"/>
      <c r="F130" s="1"/>
    </row>
    <row r="131" spans="1:6" ht="12.75">
      <c r="A131" s="8"/>
      <c r="B131" s="1"/>
      <c r="C131" s="1"/>
      <c r="D131" s="1"/>
      <c r="E131" s="1"/>
      <c r="F131" s="1"/>
    </row>
    <row r="132" spans="1:6" ht="12.75">
      <c r="A132" s="8"/>
      <c r="B132" s="1"/>
      <c r="C132" s="1"/>
      <c r="D132" s="1"/>
      <c r="E132" s="1"/>
      <c r="F132" s="1"/>
    </row>
    <row r="133" spans="1:6" ht="12.75">
      <c r="A133" s="8"/>
      <c r="B133" s="1"/>
      <c r="C133" s="1"/>
      <c r="D133" s="1"/>
      <c r="E133" s="1"/>
      <c r="F133" s="1"/>
    </row>
    <row r="134" spans="1:6" ht="12.75">
      <c r="A134" s="8"/>
      <c r="B134" s="1"/>
      <c r="C134" s="1"/>
      <c r="D134" s="1"/>
      <c r="E134" s="1"/>
      <c r="F134" s="1"/>
    </row>
    <row r="135" spans="1:6" ht="12.75">
      <c r="A135" s="8"/>
      <c r="B135" s="1"/>
      <c r="C135" s="1"/>
      <c r="D135" s="1"/>
      <c r="E135" s="1"/>
      <c r="F135" s="1"/>
    </row>
    <row r="136" spans="1:6" ht="12.75">
      <c r="A136" s="8"/>
      <c r="B136" s="1"/>
      <c r="C136" s="1"/>
      <c r="D136" s="1"/>
      <c r="E136" s="1"/>
      <c r="F136" s="1"/>
    </row>
    <row r="137" spans="1:6" ht="12.75">
      <c r="A137" s="8"/>
      <c r="B137" s="1"/>
      <c r="C137" s="1"/>
      <c r="D137" s="1"/>
      <c r="E137" s="1"/>
      <c r="F137" s="1"/>
    </row>
    <row r="138" spans="1:6" ht="12.75">
      <c r="A138" s="8"/>
      <c r="B138" s="1"/>
      <c r="C138" s="1"/>
      <c r="D138" s="1"/>
      <c r="E138" s="1"/>
      <c r="F138" s="1"/>
    </row>
    <row r="139" spans="1:6" ht="12.75">
      <c r="A139" s="8"/>
      <c r="B139" s="1"/>
      <c r="C139" s="1"/>
      <c r="D139" s="1"/>
      <c r="E139" s="1"/>
      <c r="F139" s="1"/>
    </row>
    <row r="140" spans="1:6" ht="12.75">
      <c r="A140" s="8"/>
      <c r="B140" s="1"/>
      <c r="C140" s="1"/>
      <c r="D140" s="1"/>
      <c r="E140" s="1"/>
      <c r="F140" s="1"/>
    </row>
    <row r="141" spans="1:6" ht="12.75">
      <c r="A141" s="8"/>
      <c r="B141" s="1"/>
      <c r="C141" s="1"/>
      <c r="D141" s="1"/>
      <c r="E141" s="1"/>
      <c r="F141" s="1"/>
    </row>
    <row r="142" spans="1:6" ht="12.75">
      <c r="A142" s="8"/>
      <c r="B142" s="1"/>
      <c r="C142" s="1"/>
      <c r="D142" s="1"/>
      <c r="E142" s="1"/>
      <c r="F142" s="1"/>
    </row>
    <row r="143" spans="1:6" ht="12.75">
      <c r="A143" s="8"/>
      <c r="B143" s="1"/>
      <c r="C143" s="1"/>
      <c r="D143" s="1"/>
      <c r="E143" s="1"/>
      <c r="F143" s="1"/>
    </row>
    <row r="144" spans="1:6" ht="12.75">
      <c r="A144" s="8"/>
      <c r="B144" s="1"/>
      <c r="C144" s="1"/>
      <c r="D144" s="1"/>
      <c r="E144" s="1"/>
      <c r="F144" s="1"/>
    </row>
    <row r="145" spans="1:6" ht="12.75">
      <c r="A145" s="8"/>
      <c r="B145" s="1"/>
      <c r="C145" s="1"/>
      <c r="D145" s="1"/>
      <c r="E145" s="1"/>
      <c r="F145" s="1"/>
    </row>
    <row r="146" spans="1:6" ht="12.75">
      <c r="A146" s="8"/>
      <c r="B146" s="1"/>
      <c r="C146" s="1"/>
      <c r="D146" s="1"/>
      <c r="E146" s="1"/>
      <c r="F146" s="1"/>
    </row>
    <row r="147" spans="1:6" ht="12.75">
      <c r="A147" s="8"/>
      <c r="B147" s="1"/>
      <c r="C147" s="1"/>
      <c r="D147" s="1"/>
      <c r="E147" s="1"/>
      <c r="F147" s="1"/>
    </row>
    <row r="148" spans="1:6" ht="12.75">
      <c r="A148" s="8"/>
      <c r="B148" s="1"/>
      <c r="C148" s="1"/>
      <c r="D148" s="1"/>
      <c r="E148" s="1"/>
      <c r="F148" s="1"/>
    </row>
    <row r="149" spans="1:6" ht="12.75">
      <c r="A149" s="8"/>
      <c r="B149" s="1"/>
      <c r="C149" s="1"/>
      <c r="D149" s="1"/>
      <c r="E149" s="1"/>
      <c r="F149" s="1"/>
    </row>
    <row r="150" spans="1:6" ht="12.75">
      <c r="A150" s="8"/>
      <c r="B150" s="1"/>
      <c r="C150" s="1"/>
      <c r="D150" s="1"/>
      <c r="E150" s="1"/>
      <c r="F150" s="1"/>
    </row>
    <row r="151" spans="1:6" ht="12.75">
      <c r="A151" s="8"/>
      <c r="B151" s="1"/>
      <c r="C151" s="1"/>
      <c r="D151" s="1"/>
      <c r="E151" s="1"/>
      <c r="F151" s="1"/>
    </row>
    <row r="152" spans="1:6" ht="12.75">
      <c r="A152" s="8"/>
      <c r="B152" s="1"/>
      <c r="C152" s="1"/>
      <c r="D152" s="1"/>
      <c r="E152" s="1"/>
      <c r="F152" s="1"/>
    </row>
    <row r="153" spans="1:6" ht="12.75">
      <c r="A153" s="8"/>
      <c r="B153" s="1"/>
      <c r="C153" s="1"/>
      <c r="D153" s="1"/>
      <c r="E153" s="1"/>
      <c r="F153" s="1"/>
    </row>
    <row r="154" spans="1:6" ht="12.75">
      <c r="A154" s="8"/>
      <c r="B154" s="1"/>
      <c r="C154" s="1"/>
      <c r="D154" s="1"/>
      <c r="E154" s="1"/>
      <c r="F154" s="1"/>
    </row>
    <row r="155" spans="1:6" ht="12.75">
      <c r="A155" s="8"/>
      <c r="B155" s="1"/>
      <c r="C155" s="1"/>
      <c r="D155" s="1"/>
      <c r="E155" s="1"/>
      <c r="F155" s="1"/>
    </row>
    <row r="156" spans="1:6" ht="12.75">
      <c r="A156" s="8"/>
      <c r="B156" s="1"/>
      <c r="C156" s="1"/>
      <c r="D156" s="1"/>
      <c r="E156" s="1"/>
      <c r="F156" s="1"/>
    </row>
    <row r="157" spans="1:6" ht="12.75">
      <c r="A157" s="8"/>
      <c r="B157" s="1"/>
      <c r="C157" s="1"/>
      <c r="D157" s="1"/>
      <c r="E157" s="1"/>
      <c r="F157" s="1"/>
    </row>
    <row r="158" spans="1:6" ht="12.75">
      <c r="A158" s="8"/>
      <c r="B158" s="1"/>
      <c r="C158" s="1"/>
      <c r="D158" s="1"/>
      <c r="E158" s="1"/>
      <c r="F158" s="1"/>
    </row>
    <row r="159" spans="1:6" ht="12.75">
      <c r="A159" s="8"/>
      <c r="B159" s="1"/>
      <c r="C159" s="1"/>
      <c r="D159" s="1"/>
      <c r="E159" s="1"/>
      <c r="F159" s="1"/>
    </row>
    <row r="160" spans="1:6" ht="12.75">
      <c r="A160" s="8"/>
      <c r="B160" s="1"/>
      <c r="C160" s="1"/>
      <c r="D160" s="1"/>
      <c r="E160" s="1"/>
      <c r="F160" s="1"/>
    </row>
    <row r="161" spans="1:6" ht="12.75">
      <c r="A161" s="8"/>
      <c r="B161" s="1"/>
      <c r="C161" s="1"/>
      <c r="D161" s="1"/>
      <c r="E161" s="1"/>
      <c r="F161" s="1"/>
    </row>
    <row r="162" spans="1:6" ht="12.75">
      <c r="A162" s="8"/>
      <c r="B162" s="1"/>
      <c r="C162" s="1"/>
      <c r="D162" s="1"/>
      <c r="E162" s="1"/>
      <c r="F162" s="1"/>
    </row>
    <row r="163" spans="1:6" ht="12.75">
      <c r="A163" s="8"/>
      <c r="B163" s="1"/>
      <c r="C163" s="1"/>
      <c r="D163" s="1"/>
      <c r="E163" s="1"/>
      <c r="F163" s="1"/>
    </row>
    <row r="164" spans="1:6" ht="12.75">
      <c r="A164" s="8"/>
      <c r="B164" s="1"/>
      <c r="C164" s="1"/>
      <c r="D164" s="1"/>
      <c r="E164" s="1"/>
      <c r="F164" s="1"/>
    </row>
    <row r="165" spans="1:6" ht="12.75">
      <c r="A165" s="8"/>
      <c r="B165" s="1"/>
      <c r="C165" s="1"/>
      <c r="D165" s="1"/>
      <c r="E165" s="1"/>
      <c r="F165" s="1"/>
    </row>
    <row r="166" spans="1:6" ht="12.75">
      <c r="A166" s="8"/>
      <c r="B166" s="1"/>
      <c r="C166" s="1"/>
      <c r="D166" s="1"/>
      <c r="E166" s="1"/>
      <c r="F166" s="1"/>
    </row>
    <row r="167" spans="1:6" ht="12.75">
      <c r="A167" s="8"/>
      <c r="B167" s="1"/>
      <c r="C167" s="1"/>
      <c r="D167" s="1"/>
      <c r="E167" s="1"/>
      <c r="F167" s="1"/>
    </row>
    <row r="168" spans="1:6" ht="12.75">
      <c r="A168" s="8"/>
      <c r="B168" s="1"/>
      <c r="C168" s="1"/>
      <c r="D168" s="1"/>
      <c r="E168" s="1"/>
      <c r="F168" s="1"/>
    </row>
    <row r="169" spans="1:6" ht="12.75">
      <c r="A169" s="8"/>
      <c r="B169" s="1"/>
      <c r="C169" s="1"/>
      <c r="D169" s="1"/>
      <c r="E169" s="1"/>
      <c r="F169" s="1"/>
    </row>
    <row r="170" spans="1:6" ht="12.75">
      <c r="A170" s="8"/>
      <c r="B170" s="1"/>
      <c r="C170" s="1"/>
      <c r="D170" s="1"/>
      <c r="E170" s="1"/>
      <c r="F170" s="1"/>
    </row>
    <row r="171" spans="1:6" ht="12.75">
      <c r="A171" s="8"/>
      <c r="B171" s="1"/>
      <c r="C171" s="1"/>
      <c r="D171" s="1"/>
      <c r="E171" s="1"/>
      <c r="F171" s="1"/>
    </row>
    <row r="172" spans="1:6" ht="12.75">
      <c r="A172" s="8"/>
      <c r="B172" s="1"/>
      <c r="C172" s="1"/>
      <c r="D172" s="1"/>
      <c r="E172" s="1"/>
      <c r="F172" s="1"/>
    </row>
    <row r="173" spans="1:6" ht="12.75">
      <c r="A173" s="8"/>
      <c r="B173" s="1"/>
      <c r="C173" s="1"/>
      <c r="D173" s="1"/>
      <c r="E173" s="1"/>
      <c r="F173" s="1"/>
    </row>
    <row r="174" spans="1:6" ht="12.75">
      <c r="A174" s="8"/>
      <c r="B174" s="1"/>
      <c r="C174" s="1"/>
      <c r="D174" s="1"/>
      <c r="E174" s="1"/>
      <c r="F174" s="1"/>
    </row>
    <row r="175" spans="1:6" ht="12.75">
      <c r="A175" s="8"/>
      <c r="B175" s="1"/>
      <c r="C175" s="1"/>
      <c r="D175" s="1"/>
      <c r="E175" s="1"/>
      <c r="F175" s="1"/>
    </row>
    <row r="176" spans="1:6" ht="12.75">
      <c r="A176" s="8"/>
      <c r="B176" s="1"/>
      <c r="C176" s="1"/>
      <c r="D176" s="1"/>
      <c r="E176" s="1"/>
      <c r="F176" s="1"/>
    </row>
    <row r="177" spans="1:6" ht="12.75">
      <c r="A177" s="8"/>
      <c r="B177" s="1"/>
      <c r="C177" s="1"/>
      <c r="D177" s="1"/>
      <c r="E177" s="1"/>
      <c r="F177" s="1"/>
    </row>
    <row r="178" spans="1:6" ht="12.75">
      <c r="A178" s="8"/>
      <c r="B178" s="1"/>
      <c r="C178" s="1"/>
      <c r="D178" s="1"/>
      <c r="E178" s="1"/>
      <c r="F178" s="1"/>
    </row>
    <row r="179" spans="1:6" ht="12.75">
      <c r="A179" s="8"/>
      <c r="B179" s="1"/>
      <c r="C179" s="1"/>
      <c r="D179" s="1"/>
      <c r="E179" s="1"/>
      <c r="F179" s="1"/>
    </row>
    <row r="180" spans="1:6" ht="12.75">
      <c r="A180" s="8"/>
      <c r="B180" s="1"/>
      <c r="C180" s="1"/>
      <c r="D180" s="1"/>
      <c r="E180" s="1"/>
      <c r="F180" s="1"/>
    </row>
    <row r="181" spans="1:6" ht="12.75">
      <c r="A181" s="8"/>
      <c r="B181" s="1"/>
      <c r="C181" s="1"/>
      <c r="D181" s="1"/>
      <c r="E181" s="1"/>
      <c r="F181" s="1"/>
    </row>
    <row r="182" spans="1:6" ht="12.75">
      <c r="A182" s="8"/>
      <c r="B182" s="1"/>
      <c r="C182" s="1"/>
      <c r="D182" s="1"/>
      <c r="E182" s="1"/>
      <c r="F182" s="1"/>
    </row>
    <row r="183" spans="1:6" ht="12.75">
      <c r="A183" s="8"/>
      <c r="B183" s="1"/>
      <c r="C183" s="1"/>
      <c r="D183" s="1"/>
      <c r="E183" s="1"/>
      <c r="F183" s="1"/>
    </row>
    <row r="184" spans="1:6" ht="12.75">
      <c r="A184" s="8"/>
      <c r="B184" s="1"/>
      <c r="C184" s="1"/>
      <c r="D184" s="1"/>
      <c r="E184" s="1"/>
      <c r="F184" s="1"/>
    </row>
    <row r="185" spans="1:6" ht="12.75">
      <c r="A185" s="8"/>
      <c r="B185" s="1"/>
      <c r="C185" s="1"/>
      <c r="D185" s="1"/>
      <c r="E185" s="1"/>
      <c r="F185" s="1"/>
    </row>
    <row r="186" spans="1:6" ht="12.75">
      <c r="A186" s="8"/>
      <c r="B186" s="1"/>
      <c r="C186" s="1"/>
      <c r="D186" s="1"/>
      <c r="E186" s="1"/>
      <c r="F186" s="1"/>
    </row>
    <row r="187" spans="1:6" ht="12.75">
      <c r="A187" s="8"/>
      <c r="B187" s="1"/>
      <c r="C187" s="1"/>
      <c r="D187" s="1"/>
      <c r="E187" s="1"/>
      <c r="F187" s="1"/>
    </row>
    <row r="188" spans="1:6" ht="12.75">
      <c r="A188" s="8"/>
      <c r="B188" s="1"/>
      <c r="C188" s="1"/>
      <c r="D188" s="1"/>
      <c r="E188" s="1"/>
      <c r="F188" s="1"/>
    </row>
    <row r="189" spans="1:6" ht="12.75">
      <c r="A189" s="8"/>
      <c r="B189" s="1"/>
      <c r="C189" s="1"/>
      <c r="D189" s="1"/>
      <c r="E189" s="1"/>
      <c r="F189" s="1"/>
    </row>
    <row r="190" spans="1:6" ht="12.75">
      <c r="A190" s="8"/>
      <c r="B190" s="1"/>
      <c r="C190" s="1"/>
      <c r="D190" s="1"/>
      <c r="E190" s="1"/>
      <c r="F190" s="1"/>
    </row>
    <row r="191" spans="1:6" ht="12.75">
      <c r="A191" s="8"/>
      <c r="B191" s="1"/>
      <c r="C191" s="1"/>
      <c r="D191" s="1"/>
      <c r="E191" s="1"/>
      <c r="F191" s="1"/>
    </row>
    <row r="192" spans="1:6" ht="12.75">
      <c r="A192" s="8"/>
      <c r="B192" s="1"/>
      <c r="C192" s="1"/>
      <c r="D192" s="1"/>
      <c r="E192" s="1"/>
      <c r="F192" s="1"/>
    </row>
    <row r="193" spans="1:6" ht="12.75">
      <c r="A193" s="8"/>
      <c r="B193" s="1"/>
      <c r="C193" s="1"/>
      <c r="D193" s="1"/>
      <c r="E193" s="1"/>
      <c r="F193" s="1"/>
    </row>
    <row r="194" spans="1:6" ht="12.75">
      <c r="A194" s="8"/>
      <c r="B194" s="1"/>
      <c r="C194" s="1"/>
      <c r="D194" s="1"/>
      <c r="E194" s="1"/>
      <c r="F194" s="1"/>
    </row>
    <row r="195" spans="1:6" ht="12.75">
      <c r="A195" s="8"/>
      <c r="B195" s="1"/>
      <c r="C195" s="1"/>
      <c r="D195" s="1"/>
      <c r="E195" s="1"/>
      <c r="F195" s="1"/>
    </row>
    <row r="196" spans="1:6" ht="12.75">
      <c r="A196" s="8"/>
      <c r="B196" s="1"/>
      <c r="C196" s="1"/>
      <c r="D196" s="1"/>
      <c r="E196" s="1"/>
      <c r="F196" s="1"/>
    </row>
    <row r="197" spans="1:6" ht="12.75">
      <c r="A197" s="8"/>
      <c r="B197" s="1"/>
      <c r="C197" s="1"/>
      <c r="D197" s="1"/>
      <c r="E197" s="1"/>
      <c r="F197" s="1"/>
    </row>
    <row r="198" spans="1:6" ht="12.75">
      <c r="A198" s="8"/>
      <c r="B198" s="1"/>
      <c r="C198" s="1"/>
      <c r="D198" s="1"/>
      <c r="E198" s="1"/>
      <c r="F198" s="1"/>
    </row>
    <row r="199" spans="1:6" ht="12.75">
      <c r="A199" s="8"/>
      <c r="B199" s="1"/>
      <c r="C199" s="1"/>
      <c r="D199" s="1"/>
      <c r="E199" s="1"/>
      <c r="F199" s="1"/>
    </row>
    <row r="200" spans="1:6" ht="12.75">
      <c r="A200" s="8"/>
      <c r="B200" s="1"/>
      <c r="C200" s="1"/>
      <c r="D200" s="1"/>
      <c r="E200" s="1"/>
      <c r="F200" s="1"/>
    </row>
    <row r="201" spans="1:6" ht="12.75">
      <c r="A201" s="8"/>
      <c r="B201" s="1"/>
      <c r="C201" s="1"/>
      <c r="D201" s="1"/>
      <c r="E201" s="1"/>
      <c r="F201" s="1"/>
    </row>
    <row r="202" spans="1:6" ht="12.75">
      <c r="A202" s="8"/>
      <c r="B202" s="1"/>
      <c r="C202" s="1"/>
      <c r="D202" s="1"/>
      <c r="E202" s="1"/>
      <c r="F202" s="1"/>
    </row>
    <row r="203" spans="1:6" ht="12.75">
      <c r="A203" s="8"/>
      <c r="B203" s="1"/>
      <c r="C203" s="1"/>
      <c r="D203" s="1"/>
      <c r="E203" s="1"/>
      <c r="F203" s="1"/>
    </row>
    <row r="204" spans="1:6" ht="12.75">
      <c r="A204" s="8"/>
      <c r="B204" s="1"/>
      <c r="C204" s="1"/>
      <c r="D204" s="1"/>
      <c r="E204" s="1"/>
      <c r="F204" s="1"/>
    </row>
    <row r="205" spans="1:6" ht="12.75">
      <c r="A205" s="8"/>
      <c r="B205" s="1"/>
      <c r="C205" s="1"/>
      <c r="D205" s="1"/>
      <c r="E205" s="1"/>
      <c r="F205" s="1"/>
    </row>
    <row r="206" spans="1:6" ht="12.75">
      <c r="A206" s="8"/>
      <c r="B206" s="1"/>
      <c r="C206" s="1"/>
      <c r="D206" s="1"/>
      <c r="E206" s="1"/>
      <c r="F206" s="1"/>
    </row>
    <row r="207" spans="1:6" ht="12.75">
      <c r="A207" s="8"/>
      <c r="B207" s="1"/>
      <c r="C207" s="1"/>
      <c r="D207" s="1"/>
      <c r="E207" s="1"/>
      <c r="F207" s="1"/>
    </row>
    <row r="208" spans="1:6" ht="12.75">
      <c r="A208" s="8"/>
      <c r="B208" s="1"/>
      <c r="C208" s="1"/>
      <c r="D208" s="1"/>
      <c r="E208" s="1"/>
      <c r="F208" s="1"/>
    </row>
    <row r="209" spans="1:6" ht="12.75">
      <c r="A209" s="8"/>
      <c r="B209" s="1"/>
      <c r="C209" s="1"/>
      <c r="D209" s="1"/>
      <c r="E209" s="1"/>
      <c r="F209" s="1"/>
    </row>
    <row r="210" spans="1:6" ht="12.75">
      <c r="A210" s="8"/>
      <c r="B210" s="1"/>
      <c r="C210" s="1"/>
      <c r="D210" s="1"/>
      <c r="E210" s="1"/>
      <c r="F210" s="1"/>
    </row>
    <row r="211" spans="1:6" ht="12.75">
      <c r="A211" s="8"/>
      <c r="B211" s="1"/>
      <c r="C211" s="1"/>
      <c r="D211" s="1"/>
      <c r="E211" s="1"/>
      <c r="F211" s="1"/>
    </row>
    <row r="212" spans="1:6" ht="12.75">
      <c r="A212" s="8"/>
      <c r="B212" s="1"/>
      <c r="C212" s="1"/>
      <c r="D212" s="1"/>
      <c r="E212" s="1"/>
      <c r="F212" s="1"/>
    </row>
    <row r="213" spans="1:6" ht="12.75">
      <c r="A213" s="8"/>
      <c r="B213" s="1"/>
      <c r="C213" s="1"/>
      <c r="D213" s="1"/>
      <c r="E213" s="1"/>
      <c r="F213" s="1"/>
    </row>
    <row r="214" spans="1:6" ht="12.75">
      <c r="A214" s="8"/>
      <c r="B214" s="1"/>
      <c r="C214" s="1"/>
      <c r="D214" s="1"/>
      <c r="E214" s="1"/>
      <c r="F214" s="1"/>
    </row>
    <row r="215" spans="1:6" ht="12.75">
      <c r="A215" s="8"/>
      <c r="B215" s="1"/>
      <c r="C215" s="1"/>
      <c r="D215" s="1"/>
      <c r="E215" s="1"/>
      <c r="F215" s="1"/>
    </row>
    <row r="216" spans="1:6" ht="12.75">
      <c r="A216" s="8"/>
      <c r="B216" s="1"/>
      <c r="C216" s="1"/>
      <c r="D216" s="1"/>
      <c r="E216" s="1"/>
      <c r="F216" s="1"/>
    </row>
    <row r="217" spans="1:6" ht="12.75">
      <c r="A217" s="8"/>
      <c r="B217" s="1"/>
      <c r="C217" s="1"/>
      <c r="D217" s="1"/>
      <c r="E217" s="1"/>
      <c r="F217" s="1"/>
    </row>
    <row r="218" spans="1:6" ht="12.75">
      <c r="A218" s="8"/>
      <c r="B218" s="1"/>
      <c r="C218" s="1"/>
      <c r="D218" s="1"/>
      <c r="E218" s="1"/>
      <c r="F218" s="1"/>
    </row>
    <row r="219" spans="1:6" ht="12.75">
      <c r="A219" s="8"/>
      <c r="B219" s="1"/>
      <c r="C219" s="1"/>
      <c r="D219" s="1"/>
      <c r="E219" s="1"/>
      <c r="F219" s="1"/>
    </row>
    <row r="220" spans="1:6" ht="12.75">
      <c r="A220" s="8"/>
      <c r="B220" s="1"/>
      <c r="C220" s="1"/>
      <c r="D220" s="1"/>
      <c r="E220" s="1"/>
      <c r="F220" s="1"/>
    </row>
    <row r="221" spans="1:6" ht="12.75">
      <c r="A221" s="8"/>
      <c r="B221" s="1"/>
      <c r="C221" s="1"/>
      <c r="D221" s="1"/>
      <c r="E221" s="1"/>
      <c r="F221" s="1"/>
    </row>
    <row r="222" spans="1:6" ht="12.75">
      <c r="A222" s="8"/>
      <c r="B222" s="1"/>
      <c r="C222" s="1"/>
      <c r="D222" s="1"/>
      <c r="E222" s="1"/>
      <c r="F222" s="1"/>
    </row>
    <row r="223" spans="1:6" ht="12.75">
      <c r="A223" s="8"/>
      <c r="B223" s="1"/>
      <c r="C223" s="1"/>
      <c r="D223" s="1"/>
      <c r="E223" s="1"/>
      <c r="F223" s="1"/>
    </row>
    <row r="224" spans="1:6" ht="12.75">
      <c r="A224" s="8"/>
      <c r="B224" s="1"/>
      <c r="C224" s="1"/>
      <c r="D224" s="1"/>
      <c r="E224" s="1"/>
      <c r="F224" s="1"/>
    </row>
    <row r="225" spans="1:6" ht="12.75">
      <c r="A225" s="8"/>
      <c r="B225" s="1"/>
      <c r="C225" s="1"/>
      <c r="D225" s="1"/>
      <c r="E225" s="1"/>
      <c r="F225" s="1"/>
    </row>
    <row r="226" spans="1:6" ht="12.75">
      <c r="A226" s="8"/>
      <c r="B226" s="1"/>
      <c r="C226" s="1"/>
      <c r="D226" s="1"/>
      <c r="E226" s="1"/>
      <c r="F226" s="1"/>
    </row>
    <row r="227" spans="1:6" ht="12.75">
      <c r="A227" s="8"/>
      <c r="B227" s="1"/>
      <c r="C227" s="1"/>
      <c r="D227" s="1"/>
      <c r="E227" s="1"/>
      <c r="F227" s="1"/>
    </row>
    <row r="228" spans="1:6" ht="12.75">
      <c r="A228" s="8"/>
      <c r="B228" s="1"/>
      <c r="C228" s="1"/>
      <c r="D228" s="1"/>
      <c r="E228" s="1"/>
      <c r="F228" s="1"/>
    </row>
    <row r="229" spans="1:6" ht="12.75">
      <c r="A229" s="8"/>
      <c r="B229" s="1"/>
      <c r="C229" s="1"/>
      <c r="D229" s="1"/>
      <c r="E229" s="1"/>
      <c r="F229" s="1"/>
    </row>
    <row r="230" spans="1:6" ht="12.75">
      <c r="A230" s="8"/>
      <c r="B230" s="1"/>
      <c r="C230" s="1"/>
      <c r="D230" s="1"/>
      <c r="E230" s="1"/>
      <c r="F230" s="1"/>
    </row>
    <row r="231" spans="1:6" ht="12.75">
      <c r="A231" s="8"/>
      <c r="B231" s="1"/>
      <c r="C231" s="1"/>
      <c r="D231" s="1"/>
      <c r="E231" s="1"/>
      <c r="F231" s="1"/>
    </row>
    <row r="232" spans="1:6" ht="12.75">
      <c r="A232" s="8"/>
      <c r="B232" s="1"/>
      <c r="C232" s="1"/>
      <c r="D232" s="1"/>
      <c r="E232" s="1"/>
      <c r="F232" s="1"/>
    </row>
    <row r="233" spans="1:6" ht="12.75">
      <c r="A233" s="8"/>
      <c r="B233" s="1"/>
      <c r="C233" s="1"/>
      <c r="D233" s="1"/>
      <c r="E233" s="1"/>
      <c r="F233" s="1"/>
    </row>
    <row r="234" spans="1:6" ht="12.75">
      <c r="A234" s="8"/>
      <c r="B234" s="1"/>
      <c r="C234" s="1"/>
      <c r="D234" s="1"/>
      <c r="E234" s="1"/>
      <c r="F234" s="1"/>
    </row>
    <row r="235" spans="1:6" ht="12.75">
      <c r="A235" s="8"/>
      <c r="B235" s="1"/>
      <c r="C235" s="1"/>
      <c r="D235" s="1"/>
      <c r="E235" s="1"/>
      <c r="F235" s="1"/>
    </row>
    <row r="236" spans="1:6" ht="12.75">
      <c r="A236" s="8"/>
      <c r="B236" s="1"/>
      <c r="C236" s="1"/>
      <c r="D236" s="1"/>
      <c r="E236" s="1"/>
      <c r="F236" s="1"/>
    </row>
    <row r="237" spans="1:6" ht="12.75">
      <c r="A237" s="8"/>
      <c r="B237" s="1"/>
      <c r="C237" s="1"/>
      <c r="D237" s="1"/>
      <c r="E237" s="1"/>
      <c r="F237" s="1"/>
    </row>
    <row r="238" spans="1:6" ht="12.75">
      <c r="A238" s="8"/>
      <c r="B238" s="1"/>
      <c r="C238" s="1"/>
      <c r="D238" s="1"/>
      <c r="E238" s="1"/>
      <c r="F238" s="1"/>
    </row>
    <row r="239" spans="1:6" ht="12.75">
      <c r="A239" s="8"/>
      <c r="B239" s="1"/>
      <c r="C239" s="1"/>
      <c r="D239" s="1"/>
      <c r="E239" s="1"/>
      <c r="F239" s="1"/>
    </row>
    <row r="240" spans="1:6" ht="12.75">
      <c r="A240" s="8"/>
      <c r="B240" s="1"/>
      <c r="C240" s="1"/>
      <c r="D240" s="1"/>
      <c r="E240" s="1"/>
      <c r="F240" s="1"/>
    </row>
    <row r="241" spans="1:6" ht="12.75">
      <c r="A241" s="8"/>
      <c r="B241" s="1"/>
      <c r="C241" s="1"/>
      <c r="D241" s="1"/>
      <c r="E241" s="1"/>
      <c r="F241" s="1"/>
    </row>
    <row r="242" spans="1:6" ht="12.75">
      <c r="A242" s="8"/>
      <c r="B242" s="1"/>
      <c r="C242" s="1"/>
      <c r="D242" s="1"/>
      <c r="E242" s="1"/>
      <c r="F242" s="1"/>
    </row>
    <row r="243" spans="1:6" ht="12.75">
      <c r="A243" s="8"/>
      <c r="B243" s="1"/>
      <c r="C243" s="1"/>
      <c r="D243" s="1"/>
      <c r="E243" s="1"/>
      <c r="F243" s="1"/>
    </row>
    <row r="244" spans="1:6" ht="12.75">
      <c r="A244" s="8"/>
      <c r="B244" s="1"/>
      <c r="C244" s="1"/>
      <c r="D244" s="1"/>
      <c r="E244" s="1"/>
      <c r="F244" s="1"/>
    </row>
    <row r="245" spans="1:6" ht="12.75">
      <c r="A245" s="8"/>
      <c r="B245" s="1"/>
      <c r="C245" s="1"/>
      <c r="D245" s="1"/>
      <c r="E245" s="1"/>
      <c r="F245" s="1"/>
    </row>
    <row r="246" spans="1:6" ht="12.75">
      <c r="A246" s="8"/>
      <c r="B246" s="1"/>
      <c r="C246" s="1"/>
      <c r="D246" s="1"/>
      <c r="E246" s="1"/>
      <c r="F246" s="1"/>
    </row>
    <row r="247" spans="1:6" ht="12.75">
      <c r="A247" s="8"/>
      <c r="B247" s="1"/>
      <c r="C247" s="1"/>
      <c r="D247" s="1"/>
      <c r="E247" s="1"/>
      <c r="F247" s="1"/>
    </row>
    <row r="248" spans="1:6" ht="12.75">
      <c r="A248" s="8"/>
      <c r="B248" s="1"/>
      <c r="C248" s="1"/>
      <c r="D248" s="1"/>
      <c r="E248" s="1"/>
      <c r="F248" s="1"/>
    </row>
    <row r="249" spans="1:6" ht="12.75">
      <c r="A249" s="8"/>
      <c r="B249" s="1"/>
      <c r="C249" s="1"/>
      <c r="D249" s="1"/>
      <c r="E249" s="1"/>
      <c r="F249" s="1"/>
    </row>
    <row r="250" spans="1:6" ht="12.75">
      <c r="A250" s="8"/>
      <c r="B250" s="1"/>
      <c r="C250" s="1"/>
      <c r="D250" s="1"/>
      <c r="E250" s="1"/>
      <c r="F250" s="1"/>
    </row>
    <row r="251" spans="1:6" ht="12.75">
      <c r="A251" s="8"/>
      <c r="B251" s="1"/>
      <c r="C251" s="1"/>
      <c r="D251" s="1"/>
      <c r="E251" s="1"/>
      <c r="F251" s="1"/>
    </row>
    <row r="252" spans="1:6" ht="12.75">
      <c r="A252" s="8"/>
      <c r="B252" s="1"/>
      <c r="C252" s="1"/>
      <c r="D252" s="1"/>
      <c r="E252" s="1"/>
      <c r="F252" s="1"/>
    </row>
    <row r="253" spans="1:6" ht="12.75">
      <c r="A253" s="8"/>
      <c r="B253" s="1"/>
      <c r="C253" s="1"/>
      <c r="D253" s="1"/>
      <c r="E253" s="1"/>
      <c r="F253" s="1"/>
    </row>
    <row r="254" spans="1:6" ht="12.75">
      <c r="A254" s="8"/>
      <c r="B254" s="1"/>
      <c r="C254" s="1"/>
      <c r="D254" s="1"/>
      <c r="E254" s="1"/>
      <c r="F254" s="1"/>
    </row>
    <row r="255" spans="1:6" ht="12.75">
      <c r="A255" s="8"/>
      <c r="B255" s="1"/>
      <c r="C255" s="1"/>
      <c r="D255" s="1"/>
      <c r="E255" s="1"/>
      <c r="F255" s="1"/>
    </row>
    <row r="256" spans="1:6" ht="12.75">
      <c r="A256" s="8"/>
      <c r="B256" s="1"/>
      <c r="C256" s="1"/>
      <c r="D256" s="1"/>
      <c r="E256" s="1"/>
      <c r="F256" s="1"/>
    </row>
    <row r="257" spans="1:6" ht="12.75">
      <c r="A257" s="8"/>
      <c r="B257" s="1"/>
      <c r="C257" s="1"/>
      <c r="D257" s="1"/>
      <c r="E257" s="1"/>
      <c r="F257" s="1"/>
    </row>
    <row r="258" spans="1:6" ht="12.75">
      <c r="A258" s="8"/>
      <c r="B258" s="1"/>
      <c r="C258" s="1"/>
      <c r="D258" s="1"/>
      <c r="E258" s="1"/>
      <c r="F258" s="1"/>
    </row>
    <row r="259" spans="1:6" ht="12.75">
      <c r="A259" s="8"/>
      <c r="B259" s="1"/>
      <c r="C259" s="1"/>
      <c r="D259" s="1"/>
      <c r="E259" s="1"/>
      <c r="F259" s="1"/>
    </row>
    <row r="260" spans="1:6" ht="12.75">
      <c r="A260" s="8"/>
      <c r="B260" s="1"/>
      <c r="C260" s="1"/>
      <c r="D260" s="1"/>
      <c r="E260" s="1"/>
      <c r="F260" s="1"/>
    </row>
    <row r="261" spans="1:6" ht="12.75">
      <c r="A261" s="8"/>
      <c r="B261" s="1"/>
      <c r="C261" s="1"/>
      <c r="D261" s="1"/>
      <c r="E261" s="1"/>
      <c r="F261" s="1"/>
    </row>
    <row r="262" spans="1:6" ht="12.75">
      <c r="A262" s="8"/>
      <c r="B262" s="1"/>
      <c r="C262" s="1"/>
      <c r="D262" s="1"/>
      <c r="E262" s="1"/>
      <c r="F262" s="1"/>
    </row>
    <row r="263" spans="1:6" ht="12.75">
      <c r="A263" s="8"/>
      <c r="B263" s="1"/>
      <c r="C263" s="1"/>
      <c r="D263" s="1"/>
      <c r="E263" s="1"/>
      <c r="F263" s="1"/>
    </row>
    <row r="264" spans="1:6" ht="12.75">
      <c r="A264" s="8"/>
      <c r="B264" s="1"/>
      <c r="C264" s="1"/>
      <c r="D264" s="1"/>
      <c r="E264" s="1"/>
      <c r="F264" s="1"/>
    </row>
    <row r="265" spans="1:6" ht="12.75">
      <c r="A265" s="8"/>
      <c r="B265" s="1"/>
      <c r="C265" s="1"/>
      <c r="D265" s="1"/>
      <c r="E265" s="1"/>
      <c r="F265" s="1"/>
    </row>
    <row r="266" spans="1:6" ht="12.75">
      <c r="A266" s="8"/>
      <c r="B266" s="1"/>
      <c r="C266" s="1"/>
      <c r="D266" s="1"/>
      <c r="E266" s="1"/>
      <c r="F266" s="1"/>
    </row>
    <row r="267" spans="1:6" ht="12.75">
      <c r="A267" s="8"/>
      <c r="B267" s="1"/>
      <c r="C267" s="1"/>
      <c r="D267" s="1"/>
      <c r="E267" s="1"/>
      <c r="F267" s="1"/>
    </row>
    <row r="268" spans="1:6" ht="12.75">
      <c r="A268" s="8"/>
      <c r="B268" s="1"/>
      <c r="C268" s="1"/>
      <c r="D268" s="1"/>
      <c r="E268" s="1"/>
      <c r="F268" s="1"/>
    </row>
    <row r="269" spans="1:6" ht="12.75">
      <c r="A269" s="8"/>
      <c r="B269" s="1"/>
      <c r="C269" s="1"/>
      <c r="D269" s="1"/>
      <c r="E269" s="1"/>
      <c r="F269" s="1"/>
    </row>
    <row r="270" spans="1:6" ht="12.75">
      <c r="A270" s="8"/>
      <c r="B270" s="1"/>
      <c r="C270" s="1"/>
      <c r="D270" s="1"/>
      <c r="E270" s="1"/>
      <c r="F270" s="1"/>
    </row>
    <row r="271" spans="1:6" ht="12.75">
      <c r="A271" s="8"/>
      <c r="B271" s="1"/>
      <c r="C271" s="1"/>
      <c r="D271" s="1"/>
      <c r="E271" s="1"/>
      <c r="F271" s="1"/>
    </row>
    <row r="272" spans="1:6" ht="12.75">
      <c r="A272" s="8"/>
      <c r="B272" s="1"/>
      <c r="C272" s="1"/>
      <c r="D272" s="1"/>
      <c r="E272" s="1"/>
      <c r="F272" s="1"/>
    </row>
    <row r="273" spans="1:6" ht="12.75">
      <c r="A273" s="8"/>
      <c r="B273" s="1"/>
      <c r="C273" s="1"/>
      <c r="D273" s="1"/>
      <c r="E273" s="1"/>
      <c r="F273" s="1"/>
    </row>
    <row r="274" spans="1:6" ht="12.75">
      <c r="A274" s="8"/>
      <c r="B274" s="1"/>
      <c r="C274" s="1"/>
      <c r="D274" s="1"/>
      <c r="E274" s="1"/>
      <c r="F274" s="1"/>
    </row>
    <row r="275" spans="1:6" ht="12.75">
      <c r="A275" s="8"/>
      <c r="B275" s="1"/>
      <c r="C275" s="1"/>
      <c r="D275" s="1"/>
      <c r="E275" s="1"/>
      <c r="F275" s="1"/>
    </row>
    <row r="276" spans="1:6" ht="12.75">
      <c r="A276" s="8"/>
      <c r="B276" s="1"/>
      <c r="C276" s="1"/>
      <c r="D276" s="1"/>
      <c r="E276" s="1"/>
      <c r="F276" s="1"/>
    </row>
    <row r="277" spans="1:6" ht="12.75">
      <c r="A277" s="8"/>
      <c r="B277" s="1"/>
      <c r="C277" s="1"/>
      <c r="D277" s="1"/>
      <c r="E277" s="1"/>
      <c r="F277" s="1"/>
    </row>
    <row r="278" spans="1:6" ht="12.75">
      <c r="A278" s="8"/>
      <c r="B278" s="1"/>
      <c r="C278" s="1"/>
      <c r="D278" s="1"/>
      <c r="E278" s="1"/>
      <c r="F278" s="1"/>
    </row>
    <row r="279" spans="1:6" ht="12.75">
      <c r="A279" s="8"/>
      <c r="B279" s="1"/>
      <c r="C279" s="1"/>
      <c r="D279" s="1"/>
      <c r="E279" s="1"/>
      <c r="F279" s="1"/>
    </row>
    <row r="280" spans="1:6" ht="12.75">
      <c r="A280" s="8"/>
      <c r="B280" s="1"/>
      <c r="C280" s="1"/>
      <c r="D280" s="1"/>
      <c r="E280" s="1"/>
      <c r="F280" s="1"/>
    </row>
    <row r="281" spans="1:6" ht="12.75">
      <c r="A281" s="8"/>
      <c r="B281" s="1"/>
      <c r="C281" s="1"/>
      <c r="D281" s="1"/>
      <c r="E281" s="1"/>
      <c r="F281" s="1"/>
    </row>
    <row r="282" spans="1:6" ht="12.75">
      <c r="A282" s="8"/>
      <c r="B282" s="1"/>
      <c r="C282" s="1"/>
      <c r="D282" s="1"/>
      <c r="E282" s="1"/>
      <c r="F282" s="1"/>
    </row>
    <row r="283" spans="1:6" ht="12.75">
      <c r="A283" s="8"/>
      <c r="B283" s="1"/>
      <c r="C283" s="1"/>
      <c r="D283" s="1"/>
      <c r="E283" s="1"/>
      <c r="F283" s="1"/>
    </row>
    <row r="284" spans="1:6" ht="12.75">
      <c r="A284" s="8"/>
      <c r="B284" s="1"/>
      <c r="C284" s="1"/>
      <c r="D284" s="1"/>
      <c r="E284" s="1"/>
      <c r="F284" s="1"/>
    </row>
    <row r="285" spans="1:6" ht="12.75">
      <c r="A285" s="8"/>
      <c r="B285" s="1"/>
      <c r="C285" s="1"/>
      <c r="D285" s="1"/>
      <c r="E285" s="1"/>
      <c r="F285" s="1"/>
    </row>
    <row r="286" spans="1:6" ht="12.75">
      <c r="A286" s="8"/>
      <c r="B286" s="1"/>
      <c r="C286" s="1"/>
      <c r="D286" s="1"/>
      <c r="E286" s="1"/>
      <c r="F286" s="1"/>
    </row>
    <row r="287" spans="1:6" ht="12.75">
      <c r="A287" s="8"/>
      <c r="B287" s="1"/>
      <c r="C287" s="1"/>
      <c r="D287" s="1"/>
      <c r="E287" s="1"/>
      <c r="F287" s="1"/>
    </row>
    <row r="288" spans="1:6" ht="12.75">
      <c r="A288" s="8"/>
      <c r="B288" s="1"/>
      <c r="C288" s="1"/>
      <c r="D288" s="1"/>
      <c r="E288" s="1"/>
      <c r="F288" s="1"/>
    </row>
    <row r="289" spans="1:6" ht="12.75">
      <c r="A289" s="8"/>
      <c r="B289" s="1"/>
      <c r="C289" s="1"/>
      <c r="D289" s="1"/>
      <c r="E289" s="1"/>
      <c r="F289" s="1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</sheetData>
  <sheetProtection/>
  <mergeCells count="5">
    <mergeCell ref="B81:J81"/>
    <mergeCell ref="B82:J82"/>
    <mergeCell ref="B83:J83"/>
    <mergeCell ref="B84:J84"/>
    <mergeCell ref="B122:J122"/>
  </mergeCells>
  <printOptions horizontalCentered="1"/>
  <pageMargins left="0.7480314960629921" right="0.7480314960629921" top="1.220472440944882" bottom="0.5118110236220472" header="0.5118110236220472" footer="0.5118110236220472"/>
  <pageSetup fitToHeight="1" fitToWidth="1" horizontalDpi="600" verticalDpi="600" orientation="landscape" scale="85" r:id="rId2"/>
  <headerFooter alignWithMargins="0">
    <oddHeader>&amp;C&amp;"Arial,Bold"&amp;11London Hydro Inc.
Other Regulatory Assets
Period to December 31,2002&amp;R&amp;"Arial,Bold"RP-2004-0064&amp;"Arial,Regular"
Account 1562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0"/>
  <sheetViews>
    <sheetView showGridLines="0" zoomScalePageLayoutView="0" workbookViewId="0" topLeftCell="A1">
      <selection activeCell="L12" sqref="L12"/>
    </sheetView>
  </sheetViews>
  <sheetFormatPr defaultColWidth="9.140625" defaultRowHeight="12.75"/>
  <cols>
    <col min="1" max="1" width="9.140625" style="146" customWidth="1"/>
    <col min="2" max="2" width="2.57421875" style="146" customWidth="1"/>
    <col min="3" max="3" width="47.00390625" style="146" customWidth="1"/>
    <col min="4" max="4" width="11.8515625" style="146" customWidth="1"/>
    <col min="5" max="5" width="11.57421875" style="146" customWidth="1"/>
    <col min="6" max="6" width="12.421875" style="146" customWidth="1"/>
    <col min="7" max="7" width="12.28125" style="146" customWidth="1"/>
    <col min="8" max="8" width="12.57421875" style="146" customWidth="1"/>
    <col min="9" max="9" width="11.57421875" style="146" customWidth="1"/>
    <col min="10" max="10" width="12.421875" style="146" customWidth="1"/>
    <col min="11" max="11" width="12.140625" style="146" customWidth="1"/>
    <col min="12" max="12" width="33.7109375" style="146" customWidth="1"/>
    <col min="13" max="13" width="15.28125" style="146" customWidth="1"/>
    <col min="14" max="14" width="16.7109375" style="146" customWidth="1"/>
    <col min="15" max="15" width="13.28125" style="146" customWidth="1"/>
    <col min="16" max="17" width="14.00390625" style="146" customWidth="1"/>
    <col min="18" max="18" width="14.57421875" style="146" customWidth="1"/>
    <col min="19" max="19" width="14.421875" style="146" customWidth="1"/>
    <col min="20" max="16384" width="9.140625" style="146" customWidth="1"/>
  </cols>
  <sheetData>
    <row r="2" spans="12:20" ht="15">
      <c r="L2"/>
      <c r="M2"/>
      <c r="N2"/>
      <c r="O2"/>
      <c r="P2"/>
      <c r="Q2"/>
      <c r="R2"/>
      <c r="S2"/>
      <c r="T2"/>
    </row>
    <row r="3" spans="2:20" ht="15.75" thickBot="1">
      <c r="B3" s="178" t="s">
        <v>241</v>
      </c>
      <c r="L3"/>
      <c r="M3"/>
      <c r="N3"/>
      <c r="O3"/>
      <c r="P3"/>
      <c r="Q3"/>
      <c r="R3"/>
      <c r="S3"/>
      <c r="T3"/>
    </row>
    <row r="4" spans="2:20" ht="21" customHeight="1" thickBot="1">
      <c r="B4" s="147" t="s">
        <v>161</v>
      </c>
      <c r="C4" s="148"/>
      <c r="D4" s="149" t="s">
        <v>162</v>
      </c>
      <c r="E4" s="149">
        <v>2002</v>
      </c>
      <c r="F4" s="149">
        <v>2003</v>
      </c>
      <c r="G4" s="149">
        <v>2004</v>
      </c>
      <c r="H4" s="149">
        <v>2005</v>
      </c>
      <c r="I4" s="150" t="s">
        <v>0</v>
      </c>
      <c r="J4" s="150" t="s">
        <v>0</v>
      </c>
      <c r="K4" s="150" t="s">
        <v>0</v>
      </c>
      <c r="L4"/>
      <c r="M4"/>
      <c r="N4"/>
      <c r="O4"/>
      <c r="P4"/>
      <c r="Q4"/>
      <c r="R4"/>
      <c r="S4"/>
      <c r="T4"/>
    </row>
    <row r="5" spans="2:20" ht="6.75" customHeight="1">
      <c r="B5" s="151"/>
      <c r="C5" s="152"/>
      <c r="D5" s="153"/>
      <c r="E5" s="153"/>
      <c r="F5" s="153"/>
      <c r="G5" s="153"/>
      <c r="H5" s="153"/>
      <c r="L5"/>
      <c r="M5"/>
      <c r="N5"/>
      <c r="O5"/>
      <c r="P5"/>
      <c r="Q5"/>
      <c r="R5"/>
      <c r="S5"/>
      <c r="T5"/>
    </row>
    <row r="6" spans="2:20" ht="15">
      <c r="B6" s="154" t="s">
        <v>163</v>
      </c>
      <c r="C6" s="152"/>
      <c r="D6" s="153"/>
      <c r="E6" s="153"/>
      <c r="F6" s="153"/>
      <c r="G6" s="153"/>
      <c r="H6" s="153"/>
      <c r="L6"/>
      <c r="M6"/>
      <c r="N6"/>
      <c r="O6"/>
      <c r="P6"/>
      <c r="Q6"/>
      <c r="R6"/>
      <c r="S6"/>
      <c r="T6"/>
    </row>
    <row r="7" spans="2:20" ht="15">
      <c r="B7" s="151"/>
      <c r="C7" s="152" t="s">
        <v>164</v>
      </c>
      <c r="D7" s="155">
        <v>2128441</v>
      </c>
      <c r="E7" s="155">
        <v>6616123</v>
      </c>
      <c r="F7" s="153" t="s">
        <v>165</v>
      </c>
      <c r="G7" s="153"/>
      <c r="H7" s="153"/>
      <c r="L7"/>
      <c r="M7"/>
      <c r="N7"/>
      <c r="O7"/>
      <c r="P7"/>
      <c r="Q7"/>
      <c r="R7"/>
      <c r="S7"/>
      <c r="T7"/>
    </row>
    <row r="8" spans="2:20" ht="15">
      <c r="B8" s="151"/>
      <c r="C8" s="152" t="s">
        <v>166</v>
      </c>
      <c r="D8" s="153"/>
      <c r="E8" s="153"/>
      <c r="F8" s="153"/>
      <c r="G8" s="155">
        <v>6616123</v>
      </c>
      <c r="H8" s="153"/>
      <c r="L8"/>
      <c r="M8"/>
      <c r="N8"/>
      <c r="O8"/>
      <c r="P8"/>
      <c r="Q8"/>
      <c r="R8"/>
      <c r="S8"/>
      <c r="T8"/>
    </row>
    <row r="9" spans="2:20" ht="15">
      <c r="B9" s="151"/>
      <c r="C9" s="152" t="s">
        <v>167</v>
      </c>
      <c r="D9" s="153"/>
      <c r="E9" s="153"/>
      <c r="F9" s="153"/>
      <c r="G9" s="153"/>
      <c r="H9" s="155">
        <v>5652029</v>
      </c>
      <c r="L9"/>
      <c r="M9"/>
      <c r="N9"/>
      <c r="O9"/>
      <c r="P9"/>
      <c r="Q9"/>
      <c r="R9"/>
      <c r="S9"/>
      <c r="T9"/>
    </row>
    <row r="10" spans="2:20" ht="8.25" customHeight="1">
      <c r="B10" s="151"/>
      <c r="C10" s="152"/>
      <c r="D10" s="153"/>
      <c r="E10" s="153"/>
      <c r="F10" s="153"/>
      <c r="G10" s="153"/>
      <c r="H10" s="153"/>
      <c r="L10"/>
      <c r="M10"/>
      <c r="N10"/>
      <c r="O10"/>
      <c r="P10"/>
      <c r="Q10"/>
      <c r="R10"/>
      <c r="S10"/>
      <c r="T10"/>
    </row>
    <row r="11" spans="2:20" ht="15">
      <c r="B11" s="154" t="s">
        <v>168</v>
      </c>
      <c r="C11" s="152"/>
      <c r="D11" s="153"/>
      <c r="E11" s="153"/>
      <c r="F11" s="153"/>
      <c r="G11" s="153"/>
      <c r="H11" s="153"/>
      <c r="L11"/>
      <c r="M11"/>
      <c r="N11"/>
      <c r="O11"/>
      <c r="P11"/>
      <c r="Q11"/>
      <c r="R11"/>
      <c r="S11"/>
      <c r="T11"/>
    </row>
    <row r="12" spans="2:20" ht="15">
      <c r="B12" s="151"/>
      <c r="C12" s="152" t="s">
        <v>169</v>
      </c>
      <c r="D12" s="155">
        <v>-37251</v>
      </c>
      <c r="E12" s="153"/>
      <c r="F12" s="153"/>
      <c r="G12" s="153"/>
      <c r="H12" s="153"/>
      <c r="L12"/>
      <c r="M12"/>
      <c r="N12"/>
      <c r="O12"/>
      <c r="P12"/>
      <c r="Q12"/>
      <c r="R12"/>
      <c r="S12"/>
      <c r="T12"/>
    </row>
    <row r="13" spans="2:20" ht="15">
      <c r="B13" s="151"/>
      <c r="C13" s="152" t="s">
        <v>170</v>
      </c>
      <c r="D13" s="155">
        <v>1041</v>
      </c>
      <c r="E13" s="153"/>
      <c r="F13" s="153"/>
      <c r="G13" s="153"/>
      <c r="H13" s="153"/>
      <c r="L13"/>
      <c r="M13"/>
      <c r="N13"/>
      <c r="O13"/>
      <c r="P13"/>
      <c r="Q13"/>
      <c r="R13"/>
      <c r="S13"/>
      <c r="T13"/>
    </row>
    <row r="14" spans="2:20" ht="9.75" customHeight="1" thickBot="1">
      <c r="B14" s="156"/>
      <c r="C14" s="157"/>
      <c r="D14" s="153"/>
      <c r="E14" s="153"/>
      <c r="F14" s="153"/>
      <c r="G14" s="153"/>
      <c r="H14" s="153"/>
      <c r="L14"/>
      <c r="M14"/>
      <c r="N14"/>
      <c r="O14"/>
      <c r="P14"/>
      <c r="Q14"/>
      <c r="R14"/>
      <c r="S14"/>
      <c r="T14"/>
    </row>
    <row r="15" spans="2:20" ht="15.75" thickBot="1">
      <c r="B15" s="158" t="s">
        <v>171</v>
      </c>
      <c r="C15" s="159"/>
      <c r="D15" s="160">
        <f>SUM(D7:D13)</f>
        <v>2092231</v>
      </c>
      <c r="E15" s="160">
        <f>SUM(E7:E13)</f>
        <v>6616123</v>
      </c>
      <c r="F15" s="161" t="s">
        <v>172</v>
      </c>
      <c r="G15" s="160">
        <f>SUM(G7:G13)</f>
        <v>6616123</v>
      </c>
      <c r="H15" s="160">
        <f>SUM(H7:H13)</f>
        <v>5652029</v>
      </c>
      <c r="L15"/>
      <c r="M15"/>
      <c r="N15"/>
      <c r="O15"/>
      <c r="P15"/>
      <c r="Q15"/>
      <c r="R15"/>
      <c r="S15"/>
      <c r="T15"/>
    </row>
    <row r="16" spans="12:20" ht="15">
      <c r="L16"/>
      <c r="M16"/>
      <c r="N16"/>
      <c r="O16"/>
      <c r="P16"/>
      <c r="Q16"/>
      <c r="R16"/>
      <c r="S16"/>
      <c r="T16"/>
    </row>
    <row r="17" spans="2:20" ht="15.75" thickBot="1">
      <c r="B17" s="178" t="s">
        <v>242</v>
      </c>
      <c r="L17"/>
      <c r="M17"/>
      <c r="N17"/>
      <c r="O17"/>
      <c r="P17"/>
      <c r="Q17"/>
      <c r="R17"/>
      <c r="S17"/>
      <c r="T17"/>
    </row>
    <row r="18" spans="2:20" ht="20.25" customHeight="1" thickBot="1">
      <c r="B18" s="147" t="s">
        <v>173</v>
      </c>
      <c r="C18" s="148"/>
      <c r="D18" s="149" t="s">
        <v>162</v>
      </c>
      <c r="E18" s="149">
        <v>2002</v>
      </c>
      <c r="F18" s="149">
        <v>2003</v>
      </c>
      <c r="G18" s="149">
        <v>2004</v>
      </c>
      <c r="H18" s="149">
        <v>2005</v>
      </c>
      <c r="I18" s="149">
        <v>2006</v>
      </c>
      <c r="J18" s="149" t="s">
        <v>46</v>
      </c>
      <c r="L18"/>
      <c r="M18"/>
      <c r="N18"/>
      <c r="O18"/>
      <c r="P18"/>
      <c r="Q18"/>
      <c r="R18"/>
      <c r="S18"/>
      <c r="T18"/>
    </row>
    <row r="19" spans="2:20" ht="9.75" customHeight="1">
      <c r="B19" s="151"/>
      <c r="C19" s="152"/>
      <c r="D19" s="153"/>
      <c r="E19" s="153"/>
      <c r="F19" s="153"/>
      <c r="G19" s="153"/>
      <c r="H19" s="153"/>
      <c r="I19" s="153"/>
      <c r="J19" s="153"/>
      <c r="L19"/>
      <c r="M19"/>
      <c r="N19"/>
      <c r="O19"/>
      <c r="P19"/>
      <c r="Q19"/>
      <c r="R19"/>
      <c r="S19"/>
      <c r="T19"/>
    </row>
    <row r="20" spans="2:20" ht="15">
      <c r="B20" s="151"/>
      <c r="C20" s="162" t="s">
        <v>117</v>
      </c>
      <c r="D20" s="163">
        <v>37165</v>
      </c>
      <c r="E20" s="163">
        <v>37257</v>
      </c>
      <c r="F20" s="163">
        <v>37622</v>
      </c>
      <c r="G20" s="163">
        <v>37987</v>
      </c>
      <c r="H20" s="163">
        <v>38353</v>
      </c>
      <c r="I20" s="163">
        <v>38718</v>
      </c>
      <c r="J20" s="163"/>
      <c r="L20"/>
      <c r="M20"/>
      <c r="N20"/>
      <c r="O20"/>
      <c r="P20"/>
      <c r="Q20"/>
      <c r="R20"/>
      <c r="S20"/>
      <c r="T20"/>
    </row>
    <row r="21" spans="2:20" ht="15.75" thickBot="1">
      <c r="B21" s="156"/>
      <c r="C21" s="164" t="s">
        <v>118</v>
      </c>
      <c r="D21" s="165">
        <v>37256</v>
      </c>
      <c r="E21" s="165">
        <v>37621</v>
      </c>
      <c r="F21" s="165">
        <v>37986</v>
      </c>
      <c r="G21" s="165">
        <v>38352</v>
      </c>
      <c r="H21" s="165">
        <v>38717</v>
      </c>
      <c r="I21" s="165">
        <v>38837</v>
      </c>
      <c r="J21" s="153"/>
      <c r="L21"/>
      <c r="M21"/>
      <c r="N21"/>
      <c r="O21"/>
      <c r="P21"/>
      <c r="Q21"/>
      <c r="R21"/>
      <c r="S21"/>
      <c r="T21"/>
    </row>
    <row r="22" spans="2:20" ht="9.75" customHeight="1">
      <c r="B22" s="151"/>
      <c r="C22" s="152"/>
      <c r="D22" s="153"/>
      <c r="E22" s="153"/>
      <c r="F22" s="153"/>
      <c r="G22" s="153"/>
      <c r="H22" s="153"/>
      <c r="I22" s="153"/>
      <c r="J22" s="153"/>
      <c r="L22"/>
      <c r="M22"/>
      <c r="N22"/>
      <c r="O22"/>
      <c r="P22"/>
      <c r="Q22"/>
      <c r="R22"/>
      <c r="S22"/>
      <c r="T22"/>
    </row>
    <row r="23" spans="2:20" ht="15">
      <c r="B23" s="154" t="s">
        <v>174</v>
      </c>
      <c r="C23" s="152"/>
      <c r="D23" s="153"/>
      <c r="E23" s="153"/>
      <c r="F23" s="153"/>
      <c r="G23" s="153"/>
      <c r="H23" s="153"/>
      <c r="I23" s="153"/>
      <c r="J23" s="153"/>
      <c r="L23"/>
      <c r="M23"/>
      <c r="N23"/>
      <c r="O23"/>
      <c r="P23"/>
      <c r="Q23"/>
      <c r="R23"/>
      <c r="S23"/>
      <c r="T23"/>
    </row>
    <row r="24" spans="2:20" ht="15">
      <c r="B24" s="151"/>
      <c r="C24" s="152" t="s">
        <v>175</v>
      </c>
      <c r="D24" s="155">
        <f>+D15</f>
        <v>2092231</v>
      </c>
      <c r="F24" s="166">
        <f>+D24</f>
        <v>2092231</v>
      </c>
      <c r="G24" s="153"/>
      <c r="H24" s="153"/>
      <c r="I24" s="153"/>
      <c r="J24" s="153"/>
      <c r="L24"/>
      <c r="M24"/>
      <c r="N24"/>
      <c r="O24"/>
      <c r="P24"/>
      <c r="Q24"/>
      <c r="R24"/>
      <c r="S24"/>
      <c r="T24"/>
    </row>
    <row r="25" spans="2:20" ht="15">
      <c r="B25" s="151"/>
      <c r="C25" s="152" t="s">
        <v>176</v>
      </c>
      <c r="D25" s="155"/>
      <c r="F25" s="166"/>
      <c r="G25" s="166">
        <f>+D24*3/12</f>
        <v>523057.75</v>
      </c>
      <c r="H25" s="153"/>
      <c r="I25" s="153"/>
      <c r="J25" s="153"/>
      <c r="L25"/>
      <c r="M25"/>
      <c r="N25"/>
      <c r="O25"/>
      <c r="P25"/>
      <c r="Q25"/>
      <c r="R25"/>
      <c r="S25"/>
      <c r="T25"/>
    </row>
    <row r="26" spans="2:20" ht="15">
      <c r="B26" s="151"/>
      <c r="C26" s="152" t="s">
        <v>177</v>
      </c>
      <c r="D26" s="155"/>
      <c r="E26" s="155">
        <f>+E15</f>
        <v>6616123</v>
      </c>
      <c r="F26" s="166">
        <f>+E26</f>
        <v>6616123</v>
      </c>
      <c r="G26" s="166">
        <f>+F26</f>
        <v>6616123</v>
      </c>
      <c r="H26" s="153"/>
      <c r="I26" s="153"/>
      <c r="J26" s="153"/>
      <c r="L26"/>
      <c r="M26"/>
      <c r="N26"/>
      <c r="O26"/>
      <c r="P26"/>
      <c r="Q26"/>
      <c r="R26"/>
      <c r="S26"/>
      <c r="T26"/>
    </row>
    <row r="27" spans="2:20" ht="15">
      <c r="B27" s="151"/>
      <c r="C27" s="152" t="s">
        <v>178</v>
      </c>
      <c r="D27" s="155"/>
      <c r="E27" s="155"/>
      <c r="F27" s="166"/>
      <c r="G27" s="166"/>
      <c r="H27" s="166">
        <f>+E26*3/12</f>
        <v>1654030.75</v>
      </c>
      <c r="I27" s="153"/>
      <c r="J27" s="153"/>
      <c r="L27"/>
      <c r="M27"/>
      <c r="N27"/>
      <c r="O27"/>
      <c r="P27"/>
      <c r="Q27"/>
      <c r="R27"/>
      <c r="S27"/>
      <c r="T27"/>
    </row>
    <row r="28" spans="2:10" ht="18" customHeight="1">
      <c r="B28" s="151"/>
      <c r="C28" s="167" t="s">
        <v>179</v>
      </c>
      <c r="D28" s="155"/>
      <c r="E28" s="155"/>
      <c r="F28" s="153"/>
      <c r="G28" s="153"/>
      <c r="H28" s="155">
        <f>+H15*0.75</f>
        <v>4239021.75</v>
      </c>
      <c r="I28" s="153"/>
      <c r="J28" s="153"/>
    </row>
    <row r="29" spans="2:17" ht="18" customHeight="1">
      <c r="B29" s="151"/>
      <c r="C29" s="167" t="s">
        <v>180</v>
      </c>
      <c r="D29" s="153"/>
      <c r="E29" s="153"/>
      <c r="F29" s="153"/>
      <c r="G29" s="153"/>
      <c r="I29" s="155">
        <f>+H15*0.333333333333333</f>
        <v>1884009.6666666665</v>
      </c>
      <c r="J29" s="155"/>
      <c r="L29"/>
      <c r="M29"/>
      <c r="N29"/>
      <c r="O29"/>
      <c r="P29"/>
      <c r="Q29"/>
    </row>
    <row r="30" spans="2:17" ht="18" customHeight="1" thickBot="1">
      <c r="B30" s="156"/>
      <c r="C30" s="157" t="s">
        <v>181</v>
      </c>
      <c r="D30" s="153"/>
      <c r="E30" s="153"/>
      <c r="F30" s="153"/>
      <c r="G30" s="153"/>
      <c r="H30" s="153"/>
      <c r="I30" s="155">
        <f>-185811*0.333333333333333</f>
        <v>-61937</v>
      </c>
      <c r="J30" s="155"/>
      <c r="L30"/>
      <c r="M30"/>
      <c r="N30"/>
      <c r="O30"/>
      <c r="P30"/>
      <c r="Q30"/>
    </row>
    <row r="31" spans="2:17" ht="18" customHeight="1" thickBot="1">
      <c r="B31" s="158" t="s">
        <v>182</v>
      </c>
      <c r="C31" s="159"/>
      <c r="D31" s="160">
        <f aca="true" t="shared" si="0" ref="D31:I31">SUM(D24:D30)</f>
        <v>2092231</v>
      </c>
      <c r="E31" s="160">
        <f t="shared" si="0"/>
        <v>6616123</v>
      </c>
      <c r="F31" s="160">
        <f t="shared" si="0"/>
        <v>8708354</v>
      </c>
      <c r="G31" s="160">
        <f t="shared" si="0"/>
        <v>7139180.75</v>
      </c>
      <c r="H31" s="160">
        <f t="shared" si="0"/>
        <v>5893052.5</v>
      </c>
      <c r="I31" s="160">
        <f t="shared" si="0"/>
        <v>1822072.6666666665</v>
      </c>
      <c r="J31" s="160">
        <f>SUM(D31:I31)</f>
        <v>32271013.916666668</v>
      </c>
      <c r="L31"/>
      <c r="M31"/>
      <c r="N31"/>
      <c r="O31"/>
      <c r="P31"/>
      <c r="Q31"/>
    </row>
    <row r="32" spans="10:17" ht="15">
      <c r="J32"/>
      <c r="L32"/>
      <c r="M32"/>
      <c r="N32"/>
      <c r="O32"/>
      <c r="P32"/>
      <c r="Q32"/>
    </row>
    <row r="33" spans="12:17" ht="15">
      <c r="L33"/>
      <c r="M33"/>
      <c r="N33"/>
      <c r="O33"/>
      <c r="P33"/>
      <c r="Q33"/>
    </row>
    <row r="34" spans="12:17" ht="15">
      <c r="L34"/>
      <c r="M34"/>
      <c r="N34"/>
      <c r="O34"/>
      <c r="P34"/>
      <c r="Q34"/>
    </row>
    <row r="35" spans="12:17" ht="15">
      <c r="L35"/>
      <c r="M35"/>
      <c r="N35"/>
      <c r="O35"/>
      <c r="P35"/>
      <c r="Q35"/>
    </row>
    <row r="36" spans="12:17" ht="15">
      <c r="L36"/>
      <c r="M36"/>
      <c r="N36"/>
      <c r="O36"/>
      <c r="P36"/>
      <c r="Q36"/>
    </row>
    <row r="37" spans="12:17" ht="15">
      <c r="L37"/>
      <c r="M37"/>
      <c r="N37"/>
      <c r="O37"/>
      <c r="P37"/>
      <c r="Q37"/>
    </row>
    <row r="38" spans="12:17" ht="15">
      <c r="L38"/>
      <c r="M38"/>
      <c r="N38"/>
      <c r="O38"/>
      <c r="P38"/>
      <c r="Q38"/>
    </row>
    <row r="39" spans="12:17" ht="15">
      <c r="L39"/>
      <c r="M39"/>
      <c r="N39"/>
      <c r="O39"/>
      <c r="P39"/>
      <c r="Q39"/>
    </row>
    <row r="40" spans="12:17" ht="15">
      <c r="L40"/>
      <c r="M40"/>
      <c r="N40"/>
      <c r="O40"/>
      <c r="P40"/>
      <c r="Q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2"/>
  <sheetViews>
    <sheetView showGridLines="0" zoomScalePageLayoutView="0" workbookViewId="0" topLeftCell="A67">
      <selection activeCell="K36" sqref="K36"/>
    </sheetView>
  </sheetViews>
  <sheetFormatPr defaultColWidth="9.140625" defaultRowHeight="12.75"/>
  <cols>
    <col min="1" max="1" width="6.7109375" style="146" customWidth="1"/>
    <col min="2" max="2" width="57.00390625" style="146" customWidth="1"/>
    <col min="3" max="3" width="11.8515625" style="146" customWidth="1"/>
    <col min="4" max="4" width="11.57421875" style="146" customWidth="1"/>
    <col min="5" max="5" width="12.421875" style="146" customWidth="1"/>
    <col min="6" max="6" width="13.140625" style="146" customWidth="1"/>
    <col min="7" max="7" width="12.57421875" style="146" customWidth="1"/>
    <col min="8" max="8" width="13.7109375" style="146" customWidth="1"/>
    <col min="9" max="9" width="15.00390625" style="146" bestFit="1" customWidth="1"/>
    <col min="10" max="10" width="9.140625" style="146" customWidth="1"/>
    <col min="11" max="11" width="14.57421875" style="146" customWidth="1"/>
    <col min="12" max="16384" width="9.140625" style="146" customWidth="1"/>
  </cols>
  <sheetData>
    <row r="2" ht="15">
      <c r="B2" s="162" t="s">
        <v>184</v>
      </c>
    </row>
    <row r="3" ht="15.75" thickBot="1">
      <c r="B3" s="178" t="s">
        <v>243</v>
      </c>
    </row>
    <row r="4" spans="2:8" ht="34.5" customHeight="1" thickBot="1">
      <c r="B4" s="170" t="s">
        <v>185</v>
      </c>
      <c r="C4" s="171" t="s">
        <v>186</v>
      </c>
      <c r="D4" s="171">
        <v>2002</v>
      </c>
      <c r="E4" s="171">
        <v>2003</v>
      </c>
      <c r="F4" s="171">
        <v>2004</v>
      </c>
      <c r="G4" s="171">
        <v>2005</v>
      </c>
      <c r="H4" s="149" t="s">
        <v>272</v>
      </c>
    </row>
    <row r="5" spans="2:8" ht="18" customHeight="1">
      <c r="B5" s="151" t="s">
        <v>187</v>
      </c>
      <c r="C5" s="155">
        <v>52250</v>
      </c>
      <c r="D5" s="155">
        <v>-572294</v>
      </c>
      <c r="E5" s="155">
        <v>-359294</v>
      </c>
      <c r="F5" s="155">
        <v>-4018494</v>
      </c>
      <c r="G5" s="155">
        <v>3246244</v>
      </c>
      <c r="H5" s="155">
        <f>SUM(D5:G5)</f>
        <v>-1703838</v>
      </c>
    </row>
    <row r="6" spans="2:8" ht="18" customHeight="1">
      <c r="B6" s="151" t="s">
        <v>188</v>
      </c>
      <c r="C6" s="172">
        <v>0</v>
      </c>
      <c r="D6" s="172">
        <v>0.375</v>
      </c>
      <c r="E6" s="172">
        <v>0.375</v>
      </c>
      <c r="F6" s="172">
        <v>0.35</v>
      </c>
      <c r="G6" s="172">
        <v>0.3612</v>
      </c>
      <c r="H6" s="172" t="s">
        <v>0</v>
      </c>
    </row>
    <row r="7" spans="2:8" ht="18" customHeight="1">
      <c r="B7" s="151" t="s">
        <v>189</v>
      </c>
      <c r="C7" s="173">
        <f>+C6*C5</f>
        <v>0</v>
      </c>
      <c r="D7" s="173">
        <f>+D6*D5</f>
        <v>-214610.25</v>
      </c>
      <c r="E7" s="173">
        <f>+E6*E5</f>
        <v>-134735.25</v>
      </c>
      <c r="F7" s="173">
        <f>+F6*F5</f>
        <v>-1406472.9</v>
      </c>
      <c r="G7" s="173">
        <f>+G6*G5</f>
        <v>1172543.3328</v>
      </c>
      <c r="H7" s="173">
        <f>SUM(D7:G7)</f>
        <v>-583275.0671999999</v>
      </c>
    </row>
    <row r="8" spans="2:8" ht="18" customHeight="1">
      <c r="B8" s="151" t="s">
        <v>190</v>
      </c>
      <c r="C8" s="174"/>
      <c r="D8" s="174"/>
      <c r="E8" s="174"/>
      <c r="F8" s="173">
        <v>111098</v>
      </c>
      <c r="G8" s="173">
        <v>0</v>
      </c>
      <c r="H8" s="173">
        <f>SUM(D8:G8)</f>
        <v>111098</v>
      </c>
    </row>
    <row r="9" spans="2:8" ht="18" customHeight="1">
      <c r="B9" s="151" t="s">
        <v>191</v>
      </c>
      <c r="C9" s="174"/>
      <c r="D9" s="174"/>
      <c r="E9" s="174"/>
      <c r="F9" s="173">
        <f>+F7-F8</f>
        <v>-1517570.9</v>
      </c>
      <c r="G9" s="173">
        <f>+G7-G8</f>
        <v>1172543.3328</v>
      </c>
      <c r="H9" s="173">
        <f>SUM(D9:G9)</f>
        <v>-345027.56719999993</v>
      </c>
    </row>
    <row r="10" spans="2:8" ht="18" customHeight="1" thickBot="1">
      <c r="B10" s="151" t="s">
        <v>192</v>
      </c>
      <c r="C10" s="172">
        <v>0</v>
      </c>
      <c r="D10" s="172">
        <v>0.375</v>
      </c>
      <c r="E10" s="172">
        <v>0.375</v>
      </c>
      <c r="F10" s="172">
        <v>0.35</v>
      </c>
      <c r="G10" s="172">
        <v>0.35</v>
      </c>
      <c r="H10" s="172" t="s">
        <v>0</v>
      </c>
    </row>
    <row r="11" spans="2:8" ht="18" customHeight="1" thickBot="1">
      <c r="B11" s="170" t="s">
        <v>193</v>
      </c>
      <c r="C11" s="160">
        <v>52250</v>
      </c>
      <c r="D11" s="160">
        <f>D7/(1-D10)</f>
        <v>-343376.4</v>
      </c>
      <c r="E11" s="160">
        <f>E7/(1-E10)</f>
        <v>-215576.4</v>
      </c>
      <c r="F11" s="160">
        <f>F9/(1-F10)</f>
        <v>-2334724.4615384615</v>
      </c>
      <c r="G11" s="160">
        <f>G9/(1-G10)</f>
        <v>1803912.8196923076</v>
      </c>
      <c r="H11" s="160">
        <f>SUM(D11:G11)</f>
        <v>-1089764.4418461542</v>
      </c>
    </row>
    <row r="12" spans="2:8" ht="18" customHeight="1">
      <c r="B12" s="151"/>
      <c r="C12" s="175" t="s">
        <v>194</v>
      </c>
      <c r="D12" s="152"/>
      <c r="E12" s="152"/>
      <c r="F12" s="176"/>
      <c r="G12" s="177"/>
      <c r="H12" s="177"/>
    </row>
    <row r="13" spans="1:8" ht="15.75" thickBot="1">
      <c r="A13" s="178" t="s">
        <v>0</v>
      </c>
      <c r="B13" s="156" t="s">
        <v>195</v>
      </c>
      <c r="C13" s="179"/>
      <c r="D13" s="179"/>
      <c r="E13" s="179"/>
      <c r="F13" s="179"/>
      <c r="G13" s="157"/>
      <c r="H13" s="157"/>
    </row>
    <row r="14" ht="15">
      <c r="A14" s="178"/>
    </row>
    <row r="15" spans="1:2" ht="15.75" thickBot="1">
      <c r="A15" s="178"/>
      <c r="B15" s="178" t="s">
        <v>244</v>
      </c>
    </row>
    <row r="16" spans="1:8" ht="33" customHeight="1" thickBot="1">
      <c r="A16" s="178"/>
      <c r="B16" s="170" t="s">
        <v>196</v>
      </c>
      <c r="C16" s="171" t="s">
        <v>186</v>
      </c>
      <c r="D16" s="171">
        <v>2002</v>
      </c>
      <c r="E16" s="171">
        <v>2003</v>
      </c>
      <c r="F16" s="171">
        <v>2004</v>
      </c>
      <c r="G16" s="171">
        <v>2005</v>
      </c>
      <c r="H16" s="149" t="s">
        <v>272</v>
      </c>
    </row>
    <row r="17" spans="1:8" ht="18" customHeight="1">
      <c r="A17" s="178"/>
      <c r="B17" s="151" t="s">
        <v>197</v>
      </c>
      <c r="C17" s="155">
        <f>+C5</f>
        <v>52250</v>
      </c>
      <c r="D17" s="155">
        <f>+D5</f>
        <v>-572294</v>
      </c>
      <c r="E17" s="155">
        <f>+E5</f>
        <v>-359294</v>
      </c>
      <c r="F17" s="155">
        <f>+F5</f>
        <v>-4018494</v>
      </c>
      <c r="G17" s="155">
        <f>+G5</f>
        <v>3246244</v>
      </c>
      <c r="H17" s="155">
        <f>SUM(D17:G17)</f>
        <v>-1703838</v>
      </c>
    </row>
    <row r="18" spans="1:8" ht="18" customHeight="1">
      <c r="A18" s="178"/>
      <c r="B18" s="180" t="s">
        <v>198</v>
      </c>
      <c r="C18" s="153"/>
      <c r="D18" s="153"/>
      <c r="E18" s="153"/>
      <c r="F18" s="153"/>
      <c r="G18" s="153"/>
      <c r="H18" s="153"/>
    </row>
    <row r="19" spans="1:8" ht="18" customHeight="1">
      <c r="A19" s="178"/>
      <c r="B19" s="181" t="s">
        <v>199</v>
      </c>
      <c r="C19" s="153"/>
      <c r="D19" s="155">
        <v>0</v>
      </c>
      <c r="E19" s="155">
        <v>0</v>
      </c>
      <c r="F19" s="155">
        <v>3745200</v>
      </c>
      <c r="G19" s="155">
        <v>-3154000</v>
      </c>
      <c r="H19" s="155">
        <f>SUM(D19:G19)</f>
        <v>591200</v>
      </c>
    </row>
    <row r="20" spans="1:8" ht="18" customHeight="1">
      <c r="A20" s="178"/>
      <c r="B20" s="181" t="s">
        <v>200</v>
      </c>
      <c r="C20" s="153"/>
      <c r="D20" s="155"/>
      <c r="E20" s="155"/>
      <c r="F20" s="155"/>
      <c r="G20" s="155">
        <v>-365000</v>
      </c>
      <c r="H20" s="155">
        <f>SUM(D20:G20)</f>
        <v>-365000</v>
      </c>
    </row>
    <row r="21" spans="1:8" ht="18" customHeight="1">
      <c r="A21" s="178"/>
      <c r="B21" s="151" t="s">
        <v>201</v>
      </c>
      <c r="C21" s="182">
        <f>SUM(C17:C19)</f>
        <v>52250</v>
      </c>
      <c r="D21" s="182">
        <f>SUM(D17:D19)</f>
        <v>-572294</v>
      </c>
      <c r="E21" s="182">
        <f>SUM(E17:E19)</f>
        <v>-359294</v>
      </c>
      <c r="F21" s="182">
        <f>SUM(F17:F19)</f>
        <v>-273294</v>
      </c>
      <c r="G21" s="182">
        <f>SUM(G17:G20)</f>
        <v>-272756</v>
      </c>
      <c r="H21" s="182">
        <f>SUM(D21:G21)</f>
        <v>-1477638</v>
      </c>
    </row>
    <row r="22" spans="1:8" ht="18" customHeight="1">
      <c r="A22" s="178"/>
      <c r="B22" s="151" t="s">
        <v>188</v>
      </c>
      <c r="C22" s="172">
        <v>0.18</v>
      </c>
      <c r="D22" s="172">
        <v>0.3862</v>
      </c>
      <c r="E22" s="172">
        <v>0.3662</v>
      </c>
      <c r="F22" s="172">
        <v>0.3612</v>
      </c>
      <c r="G22" s="172">
        <v>0.3612</v>
      </c>
      <c r="H22" s="172" t="s">
        <v>0</v>
      </c>
    </row>
    <row r="23" spans="1:8" ht="18" customHeight="1">
      <c r="A23" s="178"/>
      <c r="B23" s="151" t="s">
        <v>189</v>
      </c>
      <c r="C23" s="173">
        <f>+C22*C21</f>
        <v>9405</v>
      </c>
      <c r="D23" s="173">
        <f>+D22*D21</f>
        <v>-221019.9428</v>
      </c>
      <c r="E23" s="173">
        <f>+E22*E21</f>
        <v>-131573.4628</v>
      </c>
      <c r="F23" s="173">
        <f>+F22*F21</f>
        <v>-98713.79280000001</v>
      </c>
      <c r="G23" s="173">
        <f>+G22*G21</f>
        <v>-98519.4672</v>
      </c>
      <c r="H23" s="173">
        <f>SUM(D23:G23)</f>
        <v>-549826.6656</v>
      </c>
    </row>
    <row r="24" spans="1:8" ht="18" customHeight="1">
      <c r="A24" s="178"/>
      <c r="B24" s="151" t="s">
        <v>190</v>
      </c>
      <c r="C24" s="174"/>
      <c r="D24" s="174"/>
      <c r="E24" s="174"/>
      <c r="F24" s="173">
        <v>111098</v>
      </c>
      <c r="G24" s="173">
        <v>0</v>
      </c>
      <c r="H24" s="173">
        <f>SUM(D24:G24)</f>
        <v>111098</v>
      </c>
    </row>
    <row r="25" spans="1:8" ht="18" customHeight="1">
      <c r="A25" s="178"/>
      <c r="B25" s="151" t="s">
        <v>191</v>
      </c>
      <c r="C25" s="174"/>
      <c r="D25" s="174"/>
      <c r="E25" s="174"/>
      <c r="F25" s="173">
        <f>+F23-F24</f>
        <v>-209811.7928</v>
      </c>
      <c r="G25" s="173">
        <f>+G23-G24</f>
        <v>-98519.4672</v>
      </c>
      <c r="H25" s="173">
        <f>SUM(D25:G25)</f>
        <v>-308331.26</v>
      </c>
    </row>
    <row r="26" spans="1:8" ht="18" customHeight="1" thickBot="1">
      <c r="A26" s="178"/>
      <c r="B26" s="151" t="s">
        <v>192</v>
      </c>
      <c r="C26" s="172">
        <v>0.395</v>
      </c>
      <c r="D26" s="172">
        <v>0.375</v>
      </c>
      <c r="E26" s="172">
        <v>0.355</v>
      </c>
      <c r="F26" s="172">
        <v>0.35</v>
      </c>
      <c r="G26" s="172">
        <v>0.35</v>
      </c>
      <c r="H26" s="172" t="s">
        <v>0</v>
      </c>
    </row>
    <row r="27" spans="1:8" ht="18" customHeight="1" thickBot="1">
      <c r="A27" s="178"/>
      <c r="B27" s="170" t="s">
        <v>202</v>
      </c>
      <c r="C27" s="160">
        <f>C23/(1-C26)</f>
        <v>15545.454545454546</v>
      </c>
      <c r="D27" s="160">
        <f>D23/(1-D26)</f>
        <v>-353631.90848</v>
      </c>
      <c r="E27" s="160">
        <f>E23/(1-E26)</f>
        <v>-203989.86480620157</v>
      </c>
      <c r="F27" s="160">
        <f>F25/(1-F26)</f>
        <v>-322787.3735384615</v>
      </c>
      <c r="G27" s="160">
        <f>G25/(1-G26)</f>
        <v>-151568.41107692308</v>
      </c>
      <c r="H27" s="160">
        <f>SUM(D27:G27)</f>
        <v>-1031977.5579015862</v>
      </c>
    </row>
    <row r="28" ht="15">
      <c r="A28" s="178"/>
    </row>
    <row r="29" ht="15">
      <c r="A29" s="178"/>
    </row>
    <row r="30" ht="15">
      <c r="A30" s="178"/>
    </row>
    <row r="31" ht="15">
      <c r="A31" s="178"/>
    </row>
    <row r="32" spans="1:7" ht="15">
      <c r="A32" s="178"/>
      <c r="G32" s="168" t="s">
        <v>0</v>
      </c>
    </row>
    <row r="33" ht="15">
      <c r="B33" s="162" t="s">
        <v>203</v>
      </c>
    </row>
    <row r="34" ht="15.75" thickBot="1">
      <c r="B34" s="178" t="s">
        <v>245</v>
      </c>
    </row>
    <row r="35" spans="2:7" ht="15.75" thickBot="1">
      <c r="B35" s="170" t="s">
        <v>204</v>
      </c>
      <c r="C35" s="171" t="s">
        <v>186</v>
      </c>
      <c r="D35" s="171">
        <v>2002</v>
      </c>
      <c r="E35" s="171">
        <v>2003</v>
      </c>
      <c r="F35" s="171">
        <v>2004</v>
      </c>
      <c r="G35" s="171">
        <v>2005</v>
      </c>
    </row>
    <row r="36" spans="2:7" ht="15">
      <c r="B36" s="183"/>
      <c r="C36" s="184"/>
      <c r="D36" s="184"/>
      <c r="E36" s="184"/>
      <c r="F36" s="184"/>
      <c r="G36" s="184"/>
    </row>
    <row r="37" spans="2:7" ht="15">
      <c r="B37" s="151" t="s">
        <v>205</v>
      </c>
      <c r="C37" s="155">
        <v>0</v>
      </c>
      <c r="D37" s="155">
        <v>0</v>
      </c>
      <c r="E37" s="155">
        <v>0</v>
      </c>
      <c r="F37" s="155">
        <v>-710837</v>
      </c>
      <c r="G37" s="155">
        <v>0</v>
      </c>
    </row>
    <row r="38" spans="2:7" ht="15">
      <c r="B38" s="151"/>
      <c r="C38" s="155"/>
      <c r="D38" s="155"/>
      <c r="E38" s="155"/>
      <c r="F38" s="155"/>
      <c r="G38" s="155"/>
    </row>
    <row r="39" spans="2:7" ht="15">
      <c r="B39" s="151" t="s">
        <v>206</v>
      </c>
      <c r="C39" s="173">
        <f>+C38*C36</f>
        <v>0</v>
      </c>
      <c r="D39" s="173">
        <f>+D38*D36</f>
        <v>0</v>
      </c>
      <c r="E39" s="173">
        <v>-287858</v>
      </c>
      <c r="F39" s="173">
        <f>+F38*F36</f>
        <v>0</v>
      </c>
      <c r="G39" s="173">
        <f>+G38*G36</f>
        <v>0</v>
      </c>
    </row>
    <row r="40" spans="2:7" ht="15.75" thickBot="1">
      <c r="B40" s="151"/>
      <c r="C40" s="173"/>
      <c r="D40" s="173"/>
      <c r="E40" s="173"/>
      <c r="F40" s="173"/>
      <c r="G40" s="173"/>
    </row>
    <row r="41" spans="2:9" ht="15.75" thickBot="1">
      <c r="B41" s="170" t="s">
        <v>207</v>
      </c>
      <c r="C41" s="160">
        <f>SUM(C37:C40)</f>
        <v>0</v>
      </c>
      <c r="D41" s="160">
        <f>SUM(D37:D40)</f>
        <v>0</v>
      </c>
      <c r="E41" s="160">
        <f>SUM(E37:E40)</f>
        <v>-287858</v>
      </c>
      <c r="F41" s="160">
        <f>SUM(F37:F40)</f>
        <v>-710837</v>
      </c>
      <c r="G41" s="160">
        <f>SUM(G37:G40)</f>
        <v>0</v>
      </c>
      <c r="H41" s="168" t="s">
        <v>0</v>
      </c>
      <c r="I41" s="168" t="s">
        <v>0</v>
      </c>
    </row>
    <row r="43" ht="15">
      <c r="K43" s="146" t="s">
        <v>0</v>
      </c>
    </row>
    <row r="44" ht="15.75" thickBot="1">
      <c r="B44" s="178" t="s">
        <v>249</v>
      </c>
    </row>
    <row r="45" spans="2:5" ht="37.5" customHeight="1" thickBot="1">
      <c r="B45" s="185" t="s">
        <v>208</v>
      </c>
      <c r="C45" s="149" t="s">
        <v>209</v>
      </c>
      <c r="D45" s="149" t="s">
        <v>210</v>
      </c>
      <c r="E45" s="149" t="s">
        <v>211</v>
      </c>
    </row>
    <row r="46" spans="2:5" ht="7.5" customHeight="1">
      <c r="B46" s="186"/>
      <c r="C46" s="187"/>
      <c r="D46" s="187"/>
      <c r="E46" s="187"/>
    </row>
    <row r="47" spans="2:5" ht="25.5">
      <c r="B47" s="188" t="s">
        <v>212</v>
      </c>
      <c r="C47" s="189">
        <v>9283414</v>
      </c>
      <c r="D47" s="189">
        <v>9283414</v>
      </c>
      <c r="E47" s="189">
        <f>+D47-C47</f>
        <v>0</v>
      </c>
    </row>
    <row r="48" spans="2:5" ht="7.5" customHeight="1">
      <c r="B48" s="186"/>
      <c r="C48" s="187"/>
      <c r="D48" s="187"/>
      <c r="E48" s="187"/>
    </row>
    <row r="49" spans="2:5" ht="15">
      <c r="B49" s="188" t="s">
        <v>213</v>
      </c>
      <c r="C49" s="190">
        <v>0.3862</v>
      </c>
      <c r="D49" s="190">
        <v>0.3662</v>
      </c>
      <c r="E49" s="190">
        <f>+D49-C49</f>
        <v>-0.019999999999999962</v>
      </c>
    </row>
    <row r="50" spans="2:5" ht="7.5" customHeight="1">
      <c r="B50" s="186"/>
      <c r="C50" s="187"/>
      <c r="D50" s="187"/>
      <c r="E50" s="187"/>
    </row>
    <row r="51" spans="2:5" ht="15">
      <c r="B51" s="188" t="s">
        <v>214</v>
      </c>
      <c r="C51" s="191">
        <f>IF(C47&gt;0,C47*C49,0)</f>
        <v>3585254.4868</v>
      </c>
      <c r="D51" s="191">
        <f>IF(D47&gt;0,D47*D49,0)</f>
        <v>3399586.2068000003</v>
      </c>
      <c r="E51" s="189">
        <f>+D51-C51</f>
        <v>-185668.2799999998</v>
      </c>
    </row>
    <row r="52" spans="2:5" ht="7.5" customHeight="1">
      <c r="B52" s="186"/>
      <c r="C52" s="187"/>
      <c r="D52" s="187"/>
      <c r="E52" s="187"/>
    </row>
    <row r="53" spans="2:5" ht="15">
      <c r="B53" s="188" t="s">
        <v>215</v>
      </c>
      <c r="C53" s="192">
        <f>'[2]TAXREC'!D112</f>
        <v>0</v>
      </c>
      <c r="D53" s="192">
        <f>'[2]TAXREC'!G112</f>
        <v>0</v>
      </c>
      <c r="E53" s="189">
        <f>+D53-C53</f>
        <v>0</v>
      </c>
    </row>
    <row r="54" spans="2:5" ht="7.5" customHeight="1">
      <c r="B54" s="186"/>
      <c r="C54" s="187"/>
      <c r="D54" s="187"/>
      <c r="E54" s="187"/>
    </row>
    <row r="55" spans="2:5" ht="15">
      <c r="B55" s="188" t="s">
        <v>216</v>
      </c>
      <c r="C55" s="189">
        <f>C51-C53</f>
        <v>3585254.4868</v>
      </c>
      <c r="D55" s="189">
        <f>D51-D53</f>
        <v>3399586.2068000003</v>
      </c>
      <c r="E55" s="189">
        <f>+D55-C55</f>
        <v>-185668.2799999998</v>
      </c>
    </row>
    <row r="56" spans="2:5" ht="7.5" customHeight="1">
      <c r="B56" s="186"/>
      <c r="C56" s="187"/>
      <c r="D56" s="187"/>
      <c r="E56" s="187"/>
    </row>
    <row r="57" spans="2:5" ht="25.5">
      <c r="B57" s="188" t="s">
        <v>217</v>
      </c>
      <c r="C57" s="189">
        <v>3585254</v>
      </c>
      <c r="D57" s="189">
        <v>3585254</v>
      </c>
      <c r="E57" s="189">
        <f>+D57-C57</f>
        <v>0</v>
      </c>
    </row>
    <row r="58" spans="2:5" ht="7.5" customHeight="1">
      <c r="B58" s="186"/>
      <c r="C58" s="187"/>
      <c r="D58" s="187"/>
      <c r="E58" s="187"/>
    </row>
    <row r="59" spans="2:5" ht="15">
      <c r="B59" s="188" t="s">
        <v>218</v>
      </c>
      <c r="C59" s="189">
        <f>C55-C57</f>
        <v>0.4868000000715256</v>
      </c>
      <c r="D59" s="189">
        <f>D55-D57</f>
        <v>-185667.79319999972</v>
      </c>
      <c r="E59" s="189">
        <f>+D59-C59</f>
        <v>-185668.2799999998</v>
      </c>
    </row>
    <row r="60" spans="2:5" ht="7.5" customHeight="1">
      <c r="B60" s="186"/>
      <c r="C60" s="187"/>
      <c r="D60" s="187"/>
      <c r="E60" s="187"/>
    </row>
    <row r="61" spans="2:5" ht="15">
      <c r="B61" s="193" t="s">
        <v>219</v>
      </c>
      <c r="C61" s="194"/>
      <c r="D61" s="194"/>
      <c r="E61" s="194"/>
    </row>
    <row r="62" spans="2:5" ht="15">
      <c r="B62" s="188" t="s">
        <v>220</v>
      </c>
      <c r="C62" s="189">
        <v>174041606</v>
      </c>
      <c r="D62" s="189">
        <v>174041606</v>
      </c>
      <c r="E62" s="189">
        <f>+D62-C62</f>
        <v>0</v>
      </c>
    </row>
    <row r="63" spans="2:5" ht="15">
      <c r="B63" s="188" t="s">
        <v>221</v>
      </c>
      <c r="C63" s="195">
        <v>5000000</v>
      </c>
      <c r="D63" s="195">
        <v>5000000</v>
      </c>
      <c r="E63" s="189">
        <f>+D63-C63</f>
        <v>0</v>
      </c>
    </row>
    <row r="64" spans="2:5" ht="15">
      <c r="B64" s="188" t="s">
        <v>222</v>
      </c>
      <c r="C64" s="189">
        <f>C62-C63</f>
        <v>169041606</v>
      </c>
      <c r="D64" s="189">
        <f>D62-D63</f>
        <v>169041606</v>
      </c>
      <c r="E64" s="189">
        <f>+D64-C64</f>
        <v>0</v>
      </c>
    </row>
    <row r="65" spans="2:5" ht="7.5" customHeight="1">
      <c r="B65" s="186"/>
      <c r="C65" s="187"/>
      <c r="D65" s="187"/>
      <c r="E65" s="187"/>
    </row>
    <row r="66" spans="2:5" ht="15">
      <c r="B66" s="188" t="s">
        <v>223</v>
      </c>
      <c r="C66" s="196">
        <v>0.003</v>
      </c>
      <c r="D66" s="196">
        <v>0.003</v>
      </c>
      <c r="E66" s="190">
        <f>+D66-C66</f>
        <v>0</v>
      </c>
    </row>
    <row r="67" spans="2:5" ht="7.5" customHeight="1">
      <c r="B67" s="186"/>
      <c r="C67" s="187"/>
      <c r="D67" s="187"/>
      <c r="E67" s="187"/>
    </row>
    <row r="68" spans="2:5" ht="15">
      <c r="B68" s="188" t="s">
        <v>224</v>
      </c>
      <c r="C68" s="189">
        <f>+C66*C64</f>
        <v>507124.818</v>
      </c>
      <c r="D68" s="189">
        <f>+D66*D64</f>
        <v>507124.818</v>
      </c>
      <c r="E68" s="189">
        <f>+D68-C68</f>
        <v>0</v>
      </c>
    </row>
    <row r="69" spans="2:5" ht="25.5">
      <c r="B69" s="188" t="s">
        <v>225</v>
      </c>
      <c r="C69" s="195">
        <v>507125</v>
      </c>
      <c r="D69" s="195">
        <v>507125</v>
      </c>
      <c r="E69" s="189">
        <f>+D69-C69</f>
        <v>0</v>
      </c>
    </row>
    <row r="70" spans="2:5" ht="15">
      <c r="B70" s="197" t="s">
        <v>226</v>
      </c>
      <c r="C70" s="198">
        <f>C68-C69</f>
        <v>-0.18199999997159466</v>
      </c>
      <c r="D70" s="198">
        <f>D68-D69</f>
        <v>-0.18199999997159466</v>
      </c>
      <c r="E70" s="198">
        <f>E68-E69</f>
        <v>0</v>
      </c>
    </row>
    <row r="71" spans="2:5" ht="7.5" customHeight="1">
      <c r="B71" s="186"/>
      <c r="C71" s="187"/>
      <c r="D71" s="187"/>
      <c r="E71" s="187"/>
    </row>
    <row r="72" spans="2:5" ht="15">
      <c r="B72" s="193" t="s">
        <v>227</v>
      </c>
      <c r="C72" s="192"/>
      <c r="D72" s="192"/>
      <c r="E72" s="192"/>
    </row>
    <row r="73" spans="2:5" ht="15">
      <c r="B73" s="188" t="s">
        <v>220</v>
      </c>
      <c r="C73" s="189">
        <f>+C62</f>
        <v>174041606</v>
      </c>
      <c r="D73" s="189">
        <f>+D62</f>
        <v>174041606</v>
      </c>
      <c r="E73" s="189">
        <f>+E62</f>
        <v>0</v>
      </c>
    </row>
    <row r="74" spans="2:5" ht="15">
      <c r="B74" s="188" t="s">
        <v>228</v>
      </c>
      <c r="C74" s="195">
        <v>10000000</v>
      </c>
      <c r="D74" s="195">
        <v>10000000</v>
      </c>
      <c r="E74" s="189">
        <f>+D74-C74</f>
        <v>0</v>
      </c>
    </row>
    <row r="75" spans="2:5" ht="15">
      <c r="B75" s="188" t="s">
        <v>229</v>
      </c>
      <c r="C75" s="189">
        <f>C73-C74</f>
        <v>164041606</v>
      </c>
      <c r="D75" s="189">
        <f>D73-D74</f>
        <v>164041606</v>
      </c>
      <c r="E75" s="189">
        <f>E73-E74</f>
        <v>0</v>
      </c>
    </row>
    <row r="76" spans="2:5" ht="7.5" customHeight="1">
      <c r="B76" s="186"/>
      <c r="C76" s="187"/>
      <c r="D76" s="187"/>
      <c r="E76" s="187"/>
    </row>
    <row r="77" spans="2:5" ht="15">
      <c r="B77" s="188" t="s">
        <v>230</v>
      </c>
      <c r="C77" s="196">
        <v>0.00225</v>
      </c>
      <c r="D77" s="196">
        <v>0.00225</v>
      </c>
      <c r="E77" s="190">
        <f>+D77-C77</f>
        <v>0</v>
      </c>
    </row>
    <row r="78" spans="2:5" ht="7.5" customHeight="1">
      <c r="B78" s="186"/>
      <c r="C78" s="187"/>
      <c r="D78" s="187"/>
      <c r="E78" s="187"/>
    </row>
    <row r="79" spans="2:5" ht="15">
      <c r="B79" s="188" t="s">
        <v>231</v>
      </c>
      <c r="C79" s="189">
        <f>+C77*C75</f>
        <v>369093.6135</v>
      </c>
      <c r="D79" s="189">
        <f>+D77*D75</f>
        <v>369093.6135</v>
      </c>
      <c r="E79" s="189">
        <f>+E77*E75</f>
        <v>0</v>
      </c>
    </row>
    <row r="80" spans="2:5" ht="15">
      <c r="B80" s="188" t="s">
        <v>232</v>
      </c>
      <c r="C80" s="199">
        <v>103975</v>
      </c>
      <c r="D80" s="199">
        <v>103975</v>
      </c>
      <c r="E80" s="189">
        <f>+D80-C80</f>
        <v>0</v>
      </c>
    </row>
    <row r="81" spans="2:5" ht="15">
      <c r="B81" s="188" t="s">
        <v>233</v>
      </c>
      <c r="C81" s="189">
        <f>C79-C80</f>
        <v>265118.6135</v>
      </c>
      <c r="D81" s="189">
        <f>D79-D80</f>
        <v>265118.6135</v>
      </c>
      <c r="E81" s="189">
        <f>E79-E80</f>
        <v>0</v>
      </c>
    </row>
    <row r="82" spans="2:5" ht="7.5" customHeight="1">
      <c r="B82" s="186"/>
      <c r="C82" s="187"/>
      <c r="D82" s="187"/>
      <c r="E82" s="187"/>
    </row>
    <row r="83" spans="2:5" ht="15">
      <c r="B83" s="200" t="s">
        <v>234</v>
      </c>
      <c r="C83" s="195">
        <v>265119</v>
      </c>
      <c r="D83" s="195">
        <v>265119</v>
      </c>
      <c r="E83" s="189">
        <f>+D83-C83</f>
        <v>0</v>
      </c>
    </row>
    <row r="84" spans="2:5" ht="15">
      <c r="B84" s="186" t="s">
        <v>235</v>
      </c>
      <c r="C84" s="198">
        <f>C81-C83</f>
        <v>-0.38650000002235174</v>
      </c>
      <c r="D84" s="198">
        <f>D81-D83</f>
        <v>-0.38650000002235174</v>
      </c>
      <c r="E84" s="198">
        <f>E81-E83</f>
        <v>0</v>
      </c>
    </row>
    <row r="85" spans="2:5" ht="7.5" customHeight="1">
      <c r="B85" s="186"/>
      <c r="C85" s="187"/>
      <c r="D85" s="187"/>
      <c r="E85" s="187"/>
    </row>
    <row r="86" spans="2:5" ht="15">
      <c r="B86" s="186" t="s">
        <v>236</v>
      </c>
      <c r="C86" s="201">
        <v>0.375</v>
      </c>
      <c r="D86" s="201">
        <v>0.355</v>
      </c>
      <c r="E86" s="201">
        <f>+D86-C86</f>
        <v>-0.020000000000000018</v>
      </c>
    </row>
    <row r="87" spans="2:5" ht="7.5" customHeight="1">
      <c r="B87" s="186"/>
      <c r="C87" s="187"/>
      <c r="D87" s="187"/>
      <c r="E87" s="187"/>
    </row>
    <row r="88" spans="2:5" ht="15">
      <c r="B88" s="202" t="s">
        <v>237</v>
      </c>
      <c r="C88" s="189">
        <f>C59/(1-C86)-1</f>
        <v>-0.22111999988555908</v>
      </c>
      <c r="D88" s="189">
        <f>D59/(1-D86)-1</f>
        <v>-287858.04372092977</v>
      </c>
      <c r="E88" s="189">
        <f>+D88-C88</f>
        <v>-287857.8226009299</v>
      </c>
    </row>
    <row r="89" spans="2:5" ht="15">
      <c r="B89" s="202" t="s">
        <v>238</v>
      </c>
      <c r="C89" s="189">
        <f>IF(C75&gt;0,C84/(1-C86),-A24)+1</f>
        <v>0.3815999999642372</v>
      </c>
      <c r="D89" s="189">
        <f>IF(D75&gt;0,D84/(1-D86),-D24)+1</f>
        <v>0.4007751937637958</v>
      </c>
      <c r="E89" s="189">
        <f>+D89-C89</f>
        <v>0.019175193799558565</v>
      </c>
    </row>
    <row r="90" spans="2:5" ht="15">
      <c r="B90" s="202" t="s">
        <v>219</v>
      </c>
      <c r="C90" s="189">
        <f>C70</f>
        <v>-0.18199999997159466</v>
      </c>
      <c r="D90" s="189">
        <f>D70</f>
        <v>-0.18199999997159466</v>
      </c>
      <c r="E90" s="189">
        <f>E70</f>
        <v>0</v>
      </c>
    </row>
    <row r="91" spans="2:5" ht="7.5" customHeight="1" thickBot="1">
      <c r="B91" s="186"/>
      <c r="C91" s="187"/>
      <c r="D91" s="187"/>
      <c r="E91" s="187"/>
    </row>
    <row r="92" spans="2:5" ht="15.75" thickBot="1">
      <c r="B92" s="203" t="s">
        <v>239</v>
      </c>
      <c r="C92" s="204">
        <f>SUM(C88:C90)</f>
        <v>-0.02151999989291653</v>
      </c>
      <c r="D92" s="204">
        <f>SUM(D88:D90)</f>
        <v>-287857.824945736</v>
      </c>
      <c r="E92" s="204">
        <f>SUM(E88:E90)</f>
        <v>-287857.8034257361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25"/>
  <sheetViews>
    <sheetView zoomScalePageLayoutView="0" workbookViewId="0" topLeftCell="A52">
      <selection activeCell="O85" sqref="O85"/>
    </sheetView>
  </sheetViews>
  <sheetFormatPr defaultColWidth="9.140625" defaultRowHeight="12.75"/>
  <cols>
    <col min="1" max="1" width="12.28125" style="2" customWidth="1"/>
    <col min="2" max="2" width="17.8515625" style="0" customWidth="1"/>
    <col min="3" max="3" width="16.140625" style="0" customWidth="1"/>
    <col min="4" max="4" width="14.8515625" style="0" customWidth="1"/>
    <col min="5" max="5" width="13.57421875" style="0" customWidth="1"/>
    <col min="6" max="6" width="12.140625" style="0" customWidth="1"/>
    <col min="7" max="7" width="14.140625" style="0" customWidth="1"/>
    <col min="8" max="8" width="11.28125" style="0" customWidth="1"/>
    <col min="9" max="9" width="11.8515625" style="0" bestFit="1" customWidth="1"/>
    <col min="10" max="10" width="12.7109375" style="0" customWidth="1"/>
    <col min="11" max="11" width="12.28125" style="0" customWidth="1"/>
    <col min="12" max="12" width="11.421875" style="0" customWidth="1"/>
    <col min="13" max="13" width="11.8515625" style="0" bestFit="1" customWidth="1"/>
    <col min="14" max="14" width="10.8515625" style="0" bestFit="1" customWidth="1"/>
    <col min="15" max="15" width="20.7109375" style="0" customWidth="1"/>
    <col min="16" max="17" width="11.57421875" style="0" customWidth="1"/>
    <col min="18" max="19" width="11.00390625" style="0" customWidth="1"/>
    <col min="20" max="20" width="11.7109375" style="0" customWidth="1"/>
    <col min="21" max="21" width="12.7109375" style="0" customWidth="1"/>
    <col min="22" max="22" width="12.57421875" style="0" customWidth="1"/>
    <col min="23" max="23" width="11.8515625" style="0" customWidth="1"/>
  </cols>
  <sheetData>
    <row r="1" ht="12.75">
      <c r="B1" s="13" t="s">
        <v>2</v>
      </c>
    </row>
    <row r="2" ht="12.75">
      <c r="B2" s="13"/>
    </row>
    <row r="3" spans="1:2" ht="13.5" thickBot="1">
      <c r="A3" s="13"/>
      <c r="B3" s="213" t="s">
        <v>251</v>
      </c>
    </row>
    <row r="4" spans="1:6" ht="30.75" customHeight="1" thickBot="1">
      <c r="A4" s="13"/>
      <c r="B4" s="205" t="s">
        <v>112</v>
      </c>
      <c r="C4" s="206"/>
      <c r="D4" s="207"/>
      <c r="E4" s="208" t="s">
        <v>116</v>
      </c>
      <c r="F4" s="209"/>
    </row>
    <row r="5" spans="1:6" ht="13.5" thickBot="1">
      <c r="A5" s="13"/>
      <c r="B5" s="28" t="s">
        <v>62</v>
      </c>
      <c r="C5" s="28" t="s">
        <v>1</v>
      </c>
      <c r="D5" s="28" t="s">
        <v>114</v>
      </c>
      <c r="E5" s="28" t="s">
        <v>1</v>
      </c>
      <c r="F5" s="28" t="s">
        <v>114</v>
      </c>
    </row>
    <row r="6" spans="1:6" ht="12.75">
      <c r="A6" s="13"/>
      <c r="B6" s="29"/>
      <c r="C6" s="29"/>
      <c r="D6" s="29"/>
      <c r="E6" s="29"/>
      <c r="F6" s="29"/>
    </row>
    <row r="7" spans="1:6" ht="12.75">
      <c r="A7" s="13"/>
      <c r="B7" s="29" t="s">
        <v>113</v>
      </c>
      <c r="C7" s="30">
        <v>2001</v>
      </c>
      <c r="D7" s="63">
        <f aca="true" t="shared" si="0" ref="D7:D14">+K29</f>
        <v>12304.993278538816</v>
      </c>
      <c r="E7" s="30">
        <v>2001</v>
      </c>
      <c r="F7" s="63">
        <f>+D7</f>
        <v>12304.993278538816</v>
      </c>
    </row>
    <row r="8" spans="1:6" ht="12.75">
      <c r="A8" s="13"/>
      <c r="B8" s="29" t="s">
        <v>63</v>
      </c>
      <c r="C8" s="30">
        <v>2002</v>
      </c>
      <c r="D8" s="64">
        <f t="shared" si="0"/>
        <v>222441.33017911998</v>
      </c>
      <c r="E8" s="30">
        <v>2002</v>
      </c>
      <c r="F8" s="64">
        <f>+D8</f>
        <v>222441.33017911998</v>
      </c>
    </row>
    <row r="9" spans="1:6" ht="12.75">
      <c r="A9" s="13"/>
      <c r="B9" s="29" t="s">
        <v>64</v>
      </c>
      <c r="C9" s="30">
        <v>2003</v>
      </c>
      <c r="D9" s="64">
        <f t="shared" si="0"/>
        <v>148529.69540844002</v>
      </c>
      <c r="E9" s="30">
        <v>2003</v>
      </c>
      <c r="F9" s="64">
        <f>+D9</f>
        <v>148529.69540844002</v>
      </c>
    </row>
    <row r="10" spans="1:6" ht="12.75">
      <c r="A10" s="13"/>
      <c r="B10" s="29" t="s">
        <v>65</v>
      </c>
      <c r="C10" s="30">
        <v>2004</v>
      </c>
      <c r="D10" s="64">
        <f t="shared" si="0"/>
        <v>31249.486657818084</v>
      </c>
      <c r="E10" s="30">
        <v>2004</v>
      </c>
      <c r="F10" s="64">
        <f>+D10+D11</f>
        <v>121283.18563422746</v>
      </c>
    </row>
    <row r="11" spans="1:6" ht="12.75">
      <c r="A11" s="13"/>
      <c r="B11" s="29" t="s">
        <v>66</v>
      </c>
      <c r="C11" s="30">
        <v>2004</v>
      </c>
      <c r="D11" s="64">
        <f t="shared" si="0"/>
        <v>90033.69897640937</v>
      </c>
      <c r="E11" s="30">
        <v>2005</v>
      </c>
      <c r="F11" s="64">
        <f>+D12+D13</f>
        <v>78464.75138374021</v>
      </c>
    </row>
    <row r="12" spans="1:6" ht="12.75">
      <c r="A12" s="13"/>
      <c r="B12" s="29" t="s">
        <v>65</v>
      </c>
      <c r="C12" s="30">
        <v>2005</v>
      </c>
      <c r="D12" s="64">
        <f t="shared" si="0"/>
        <v>30259.73898036517</v>
      </c>
      <c r="E12" s="30">
        <v>2006</v>
      </c>
      <c r="F12" s="64">
        <f>+D14+D15</f>
        <v>6635.651320679949</v>
      </c>
    </row>
    <row r="13" spans="1:6" ht="12.75">
      <c r="A13" s="13"/>
      <c r="B13" s="29" t="s">
        <v>66</v>
      </c>
      <c r="C13" s="30">
        <v>2005</v>
      </c>
      <c r="D13" s="64">
        <f t="shared" si="0"/>
        <v>48205.01240337503</v>
      </c>
      <c r="E13" s="30">
        <v>2007</v>
      </c>
      <c r="F13" s="64">
        <f aca="true" t="shared" si="1" ref="F13:F18">+D16</f>
        <v>-10555.85140844336</v>
      </c>
    </row>
    <row r="14" spans="1:6" ht="12.75">
      <c r="A14" s="13"/>
      <c r="B14" s="29" t="s">
        <v>67</v>
      </c>
      <c r="C14" s="30">
        <v>2006</v>
      </c>
      <c r="D14" s="64">
        <f t="shared" si="0"/>
        <v>10264.499963985325</v>
      </c>
      <c r="E14" s="30">
        <v>2008</v>
      </c>
      <c r="F14" s="64">
        <f t="shared" si="1"/>
        <v>-8869.863078673912</v>
      </c>
    </row>
    <row r="15" spans="1:6" ht="12.75">
      <c r="A15" s="13"/>
      <c r="B15" s="29" t="s">
        <v>115</v>
      </c>
      <c r="C15" s="30">
        <v>2006</v>
      </c>
      <c r="D15" s="64">
        <f>SUM(K37+K38)</f>
        <v>-3628.848643305376</v>
      </c>
      <c r="E15" s="30">
        <v>2009</v>
      </c>
      <c r="F15" s="64">
        <f t="shared" si="1"/>
        <v>-2524.059142075132</v>
      </c>
    </row>
    <row r="16" spans="1:6" ht="12.75">
      <c r="A16" s="13"/>
      <c r="B16" s="29" t="s">
        <v>64</v>
      </c>
      <c r="C16" s="30">
        <v>2007</v>
      </c>
      <c r="D16" s="64">
        <f>+K39+K40</f>
        <v>-10555.85140844336</v>
      </c>
      <c r="E16" s="30">
        <v>2010</v>
      </c>
      <c r="F16" s="64">
        <f t="shared" si="1"/>
        <v>-1784.8223393064839</v>
      </c>
    </row>
    <row r="17" spans="1:6" ht="12.75">
      <c r="A17" s="13"/>
      <c r="B17" s="29" t="s">
        <v>64</v>
      </c>
      <c r="C17" s="30">
        <v>2008</v>
      </c>
      <c r="D17" s="64">
        <f>+K41+K42+K43</f>
        <v>-8869.863078673912</v>
      </c>
      <c r="E17" s="30">
        <v>2011</v>
      </c>
      <c r="F17" s="64">
        <f t="shared" si="1"/>
        <v>-3315.2816553057114</v>
      </c>
    </row>
    <row r="18" spans="1:6" ht="12.75">
      <c r="A18" s="13"/>
      <c r="B18" s="29" t="s">
        <v>64</v>
      </c>
      <c r="C18" s="30">
        <v>2009</v>
      </c>
      <c r="D18" s="64">
        <f>+K44+K45+K46</f>
        <v>-2524.059142075132</v>
      </c>
      <c r="E18" s="30">
        <v>2012</v>
      </c>
      <c r="F18" s="64">
        <f t="shared" si="1"/>
        <v>-1100.8738686055824</v>
      </c>
    </row>
    <row r="19" spans="1:6" ht="12.75">
      <c r="A19" s="13"/>
      <c r="B19" s="29" t="s">
        <v>64</v>
      </c>
      <c r="C19" s="30">
        <v>2010</v>
      </c>
      <c r="D19" s="64">
        <f>+K47+K48+K49</f>
        <v>-1784.8223393064839</v>
      </c>
      <c r="E19" s="30"/>
      <c r="F19" s="64"/>
    </row>
    <row r="20" spans="1:6" ht="12.75">
      <c r="A20" s="13"/>
      <c r="B20" s="29" t="s">
        <v>64</v>
      </c>
      <c r="C20" s="30">
        <v>2011</v>
      </c>
      <c r="D20" s="64">
        <f>+K50+K51</f>
        <v>-3315.2816553057114</v>
      </c>
      <c r="E20" s="30"/>
      <c r="F20" s="64"/>
    </row>
    <row r="21" spans="1:6" ht="12.75">
      <c r="A21" s="13"/>
      <c r="B21" s="29" t="s">
        <v>67</v>
      </c>
      <c r="C21" s="30">
        <v>2012</v>
      </c>
      <c r="D21" s="64">
        <f>+K52</f>
        <v>-1100.8738686055824</v>
      </c>
      <c r="E21" s="30"/>
      <c r="F21" s="64"/>
    </row>
    <row r="22" spans="1:6" ht="13.5" thickBot="1">
      <c r="A22" s="13"/>
      <c r="B22" s="29"/>
      <c r="C22" s="30"/>
      <c r="D22" s="30"/>
      <c r="E22" s="30"/>
      <c r="F22" s="64"/>
    </row>
    <row r="23" spans="1:6" ht="23.25" customHeight="1" thickBot="1">
      <c r="A23" s="13"/>
      <c r="B23" s="132" t="s">
        <v>0</v>
      </c>
      <c r="C23" s="133"/>
      <c r="D23" s="65">
        <f>SUM(D7:D22)</f>
        <v>561508.8557123361</v>
      </c>
      <c r="E23" s="131"/>
      <c r="F23" s="65">
        <f>SUM(F7:F22)</f>
        <v>561508.8557123361</v>
      </c>
    </row>
    <row r="24" ht="12.75">
      <c r="A24" s="13"/>
    </row>
    <row r="25" ht="12.75">
      <c r="A25" s="13"/>
    </row>
    <row r="26" spans="1:2" ht="13.5" thickBot="1">
      <c r="A26" s="13"/>
      <c r="B26" s="213" t="s">
        <v>252</v>
      </c>
    </row>
    <row r="27" spans="1:13" ht="20.25" customHeight="1" thickBot="1">
      <c r="A27" s="13"/>
      <c r="B27" s="250" t="s">
        <v>109</v>
      </c>
      <c r="C27" s="251"/>
      <c r="D27" s="251"/>
      <c r="E27" s="251"/>
      <c r="F27" s="251"/>
      <c r="G27" s="251"/>
      <c r="H27" s="251"/>
      <c r="I27" s="251"/>
      <c r="J27" s="251"/>
      <c r="K27" s="85"/>
      <c r="L27" s="85"/>
      <c r="M27" s="86"/>
    </row>
    <row r="28" spans="2:13" ht="33" customHeight="1" thickBot="1">
      <c r="B28" s="87" t="s">
        <v>62</v>
      </c>
      <c r="C28" s="87" t="s">
        <v>87</v>
      </c>
      <c r="D28" s="87" t="s">
        <v>92</v>
      </c>
      <c r="E28" s="87" t="s">
        <v>75</v>
      </c>
      <c r="F28" s="87" t="s">
        <v>82</v>
      </c>
      <c r="G28" s="87" t="s">
        <v>78</v>
      </c>
      <c r="H28" s="87" t="s">
        <v>86</v>
      </c>
      <c r="I28" s="87" t="s">
        <v>83</v>
      </c>
      <c r="J28" s="87" t="s">
        <v>72</v>
      </c>
      <c r="K28" s="87" t="s">
        <v>84</v>
      </c>
      <c r="L28" s="87" t="s">
        <v>85</v>
      </c>
      <c r="M28" s="87" t="s">
        <v>90</v>
      </c>
    </row>
    <row r="29" spans="1:13" ht="12.75">
      <c r="A29" s="13"/>
      <c r="B29" s="67" t="s">
        <v>74</v>
      </c>
      <c r="C29" s="68">
        <v>2092231</v>
      </c>
      <c r="D29" s="11"/>
      <c r="E29" s="68">
        <f>+C29/3</f>
        <v>697410.3333333334</v>
      </c>
      <c r="F29" s="69">
        <v>3</v>
      </c>
      <c r="G29" s="68">
        <f>+F29*E29</f>
        <v>2092231</v>
      </c>
      <c r="H29" s="68">
        <f>SUM(F59:F61)</f>
        <v>0</v>
      </c>
      <c r="I29" s="68">
        <v>0</v>
      </c>
      <c r="J29" s="70">
        <f>+I59</f>
        <v>0.07</v>
      </c>
      <c r="K29" s="68">
        <f>SUM(J59:J61)</f>
        <v>12304.993278538816</v>
      </c>
      <c r="L29" s="68">
        <f>SUM(G29:K29)</f>
        <v>2104536.063278539</v>
      </c>
      <c r="M29" s="71">
        <v>37256</v>
      </c>
    </row>
    <row r="30" spans="1:13" ht="12.75">
      <c r="A30" s="13"/>
      <c r="B30" s="72">
        <v>2002</v>
      </c>
      <c r="C30" s="7">
        <v>6616123</v>
      </c>
      <c r="D30" s="11"/>
      <c r="E30" s="7">
        <f>+C30/12</f>
        <v>551343.5833333334</v>
      </c>
      <c r="F30" s="69">
        <v>12</v>
      </c>
      <c r="G30" s="7">
        <f>+F30*E30</f>
        <v>6616123</v>
      </c>
      <c r="H30" s="7">
        <f>SUM(F62:F73)</f>
        <v>-6216185</v>
      </c>
      <c r="I30" s="7">
        <f>+E67</f>
        <v>15545.454545454546</v>
      </c>
      <c r="J30" s="70">
        <f>+I62</f>
        <v>0.07</v>
      </c>
      <c r="K30" s="7">
        <f>SUM(J62:J73)</f>
        <v>222441.33017911998</v>
      </c>
      <c r="L30" s="7">
        <f aca="true" t="shared" si="2" ref="L30:L52">SUM(G30:K30)+L29</f>
        <v>2742460.9180031135</v>
      </c>
      <c r="M30" s="71">
        <v>37621</v>
      </c>
    </row>
    <row r="31" spans="1:13" ht="12.75">
      <c r="A31" s="13"/>
      <c r="B31" s="72">
        <v>2003</v>
      </c>
      <c r="C31" s="7">
        <f>+C30+C29</f>
        <v>8708354</v>
      </c>
      <c r="D31" s="11"/>
      <c r="E31" s="7">
        <f>+C31/12</f>
        <v>725696.1666666666</v>
      </c>
      <c r="F31" s="69">
        <v>12</v>
      </c>
      <c r="G31" s="7">
        <f aca="true" t="shared" si="3" ref="G31:G36">+F31*E31</f>
        <v>8708354</v>
      </c>
      <c r="H31" s="7">
        <f>SUM(F74:F85)</f>
        <v>-9028302</v>
      </c>
      <c r="I31" s="7">
        <f>+E79</f>
        <v>-353631.90848</v>
      </c>
      <c r="J31" s="70">
        <f>+I74</f>
        <v>0.07</v>
      </c>
      <c r="K31" s="7">
        <f>SUM(J74:J85)</f>
        <v>148529.69540844002</v>
      </c>
      <c r="L31" s="7">
        <f t="shared" si="2"/>
        <v>2217410.7749315538</v>
      </c>
      <c r="M31" s="71">
        <v>37986</v>
      </c>
    </row>
    <row r="32" spans="1:13" ht="12.75">
      <c r="A32" s="13"/>
      <c r="B32" s="67" t="s">
        <v>76</v>
      </c>
      <c r="C32" s="7">
        <f>+C31</f>
        <v>8708354</v>
      </c>
      <c r="D32" s="11"/>
      <c r="E32" s="7">
        <f>+E31</f>
        <v>725696.1666666666</v>
      </c>
      <c r="F32" s="69">
        <v>3</v>
      </c>
      <c r="G32" s="7">
        <f t="shared" si="3"/>
        <v>2177088.5</v>
      </c>
      <c r="H32" s="7">
        <f>SUM(F91:F93)</f>
        <v>-2376983</v>
      </c>
      <c r="I32" s="7">
        <v>0</v>
      </c>
      <c r="J32" s="70">
        <f>+I91</f>
        <v>0.07</v>
      </c>
      <c r="K32" s="7">
        <f>SUM(J91:J93)</f>
        <v>31249.486657818084</v>
      </c>
      <c r="L32" s="7">
        <f t="shared" si="2"/>
        <v>2048765.831589372</v>
      </c>
      <c r="M32" s="71">
        <v>38077</v>
      </c>
    </row>
    <row r="33" spans="1:13" ht="12.75">
      <c r="A33" s="13"/>
      <c r="B33" s="67" t="s">
        <v>77</v>
      </c>
      <c r="C33" s="7">
        <v>6616123</v>
      </c>
      <c r="D33" s="11"/>
      <c r="E33" s="7">
        <f>+C33/12</f>
        <v>551343.5833333334</v>
      </c>
      <c r="F33" s="69">
        <v>9</v>
      </c>
      <c r="G33" s="7">
        <f t="shared" si="3"/>
        <v>4962092.25</v>
      </c>
      <c r="H33" s="7">
        <f>SUM(F94:F102)</f>
        <v>-4315067</v>
      </c>
      <c r="I33" s="7">
        <f>+E96</f>
        <v>-491847.86480620154</v>
      </c>
      <c r="J33" s="70">
        <f>+I94</f>
        <v>0.07</v>
      </c>
      <c r="K33" s="7">
        <f>SUM(J94:J102)</f>
        <v>90033.69897640937</v>
      </c>
      <c r="L33" s="7">
        <f t="shared" si="2"/>
        <v>2293976.9857595796</v>
      </c>
      <c r="M33" s="71">
        <v>38352</v>
      </c>
    </row>
    <row r="34" spans="1:13" ht="12.75">
      <c r="A34" s="13"/>
      <c r="B34" s="67" t="s">
        <v>79</v>
      </c>
      <c r="C34" s="7">
        <f>+C33</f>
        <v>6616123</v>
      </c>
      <c r="D34" s="11"/>
      <c r="E34" s="7">
        <f>+E33</f>
        <v>551343.5833333334</v>
      </c>
      <c r="F34" s="69">
        <v>3</v>
      </c>
      <c r="G34" s="7">
        <f t="shared" si="3"/>
        <v>1654030.75</v>
      </c>
      <c r="H34" s="7">
        <f>SUM(F103:F105)</f>
        <v>-1757989.5699999998</v>
      </c>
      <c r="I34" s="7">
        <v>0</v>
      </c>
      <c r="J34" s="70">
        <f>+I103</f>
        <v>0.07</v>
      </c>
      <c r="K34" s="7">
        <f>SUM(J103:J105)</f>
        <v>30259.73898036517</v>
      </c>
      <c r="L34" s="7">
        <f t="shared" si="2"/>
        <v>2220277.974739945</v>
      </c>
      <c r="M34" s="71">
        <v>38442</v>
      </c>
    </row>
    <row r="35" spans="1:13" ht="12.75">
      <c r="A35" s="13"/>
      <c r="B35" s="67" t="s">
        <v>80</v>
      </c>
      <c r="C35" s="7">
        <v>5652029</v>
      </c>
      <c r="D35" s="11"/>
      <c r="E35" s="7">
        <f>+C35/12</f>
        <v>471002.4166666667</v>
      </c>
      <c r="F35" s="69">
        <v>9</v>
      </c>
      <c r="G35" s="7">
        <f t="shared" si="3"/>
        <v>4239021.75</v>
      </c>
      <c r="H35" s="7">
        <f>SUM(F106:F114)</f>
        <v>-4368295</v>
      </c>
      <c r="I35" s="7">
        <f>+E108</f>
        <v>-1033624.3735384615</v>
      </c>
      <c r="J35" s="70">
        <f>+I106</f>
        <v>0.07</v>
      </c>
      <c r="K35" s="7">
        <f>SUM(J106:J114)</f>
        <v>48205.01240337503</v>
      </c>
      <c r="L35" s="7">
        <f t="shared" si="2"/>
        <v>1105585.4336048586</v>
      </c>
      <c r="M35" s="71">
        <v>38717</v>
      </c>
    </row>
    <row r="36" spans="1:13" ht="12.75">
      <c r="A36" s="13"/>
      <c r="B36" s="67" t="s">
        <v>81</v>
      </c>
      <c r="C36" s="7">
        <f>+C35</f>
        <v>5652029</v>
      </c>
      <c r="D36" s="7">
        <v>-185811</v>
      </c>
      <c r="E36" s="7">
        <f>SUM(C36+D36)/12</f>
        <v>455518.1666666667</v>
      </c>
      <c r="F36" s="69">
        <v>4</v>
      </c>
      <c r="G36" s="7">
        <f t="shared" si="3"/>
        <v>1822072.6666666667</v>
      </c>
      <c r="H36" s="7">
        <f>SUM(F120:F123)</f>
        <v>-1910401</v>
      </c>
      <c r="I36" s="7">
        <v>0</v>
      </c>
      <c r="J36" s="70">
        <f>+I120</f>
        <v>0.07</v>
      </c>
      <c r="K36" s="7">
        <f>SUM(J120:J123)</f>
        <v>10264.499963985325</v>
      </c>
      <c r="L36" s="7">
        <f t="shared" si="2"/>
        <v>1027521.6702355107</v>
      </c>
      <c r="M36" s="71">
        <v>38837</v>
      </c>
    </row>
    <row r="37" spans="1:13" ht="12.75">
      <c r="A37" s="13"/>
      <c r="B37" s="67" t="s">
        <v>103</v>
      </c>
      <c r="C37" s="7">
        <v>0</v>
      </c>
      <c r="D37" s="11"/>
      <c r="E37" s="7">
        <v>0</v>
      </c>
      <c r="F37" s="69">
        <v>2</v>
      </c>
      <c r="G37" s="7">
        <v>0</v>
      </c>
      <c r="H37" s="7">
        <f>SUM(F124:F125)</f>
        <v>-503565</v>
      </c>
      <c r="I37" s="7">
        <f>+E125</f>
        <v>-151568.41107692308</v>
      </c>
      <c r="J37" s="70">
        <f>+I124</f>
        <v>0.0414</v>
      </c>
      <c r="K37" s="7">
        <f>SUM(J124:J125)</f>
        <v>1499.5048147673585</v>
      </c>
      <c r="L37" s="7">
        <f t="shared" si="2"/>
        <v>373887.80537335493</v>
      </c>
      <c r="M37" s="71">
        <v>38898</v>
      </c>
    </row>
    <row r="38" spans="1:14" ht="12.75">
      <c r="A38" s="13"/>
      <c r="B38" s="73" t="s">
        <v>104</v>
      </c>
      <c r="C38" s="74">
        <v>0</v>
      </c>
      <c r="D38" s="75"/>
      <c r="E38" s="74">
        <v>0</v>
      </c>
      <c r="F38" s="76">
        <v>6</v>
      </c>
      <c r="G38" s="74">
        <v>0</v>
      </c>
      <c r="H38" s="74">
        <f>SUM(F126:F131)</f>
        <v>-2332</v>
      </c>
      <c r="I38" s="74">
        <f>+E126</f>
        <v>0</v>
      </c>
      <c r="J38" s="77">
        <f>+I126</f>
        <v>0.0459</v>
      </c>
      <c r="K38" s="74">
        <f>SUM(J126:J131)</f>
        <v>-5128.353458072735</v>
      </c>
      <c r="L38" s="83">
        <f t="shared" si="2"/>
        <v>366427.4978152822</v>
      </c>
      <c r="M38" s="84">
        <v>39082</v>
      </c>
      <c r="N38" s="23" t="s">
        <v>0</v>
      </c>
    </row>
    <row r="39" spans="1:13" ht="12.75">
      <c r="A39" s="13"/>
      <c r="B39" s="67" t="s">
        <v>105</v>
      </c>
      <c r="C39" s="7">
        <v>0</v>
      </c>
      <c r="D39" s="11"/>
      <c r="E39" s="7">
        <v>0</v>
      </c>
      <c r="F39" s="69">
        <v>9</v>
      </c>
      <c r="G39" s="7">
        <v>0</v>
      </c>
      <c r="H39" s="7">
        <v>0</v>
      </c>
      <c r="I39" s="7">
        <v>0</v>
      </c>
      <c r="J39" s="70">
        <f>+I132</f>
        <v>0.0459</v>
      </c>
      <c r="K39" s="7">
        <f>SUM(J132:J140)</f>
        <v>-7663.73343629776</v>
      </c>
      <c r="L39" s="7">
        <f t="shared" si="2"/>
        <v>358763.8102789844</v>
      </c>
      <c r="M39" s="71">
        <v>39355</v>
      </c>
    </row>
    <row r="40" spans="1:13" ht="12.75">
      <c r="A40" s="13"/>
      <c r="B40" s="67" t="s">
        <v>91</v>
      </c>
      <c r="C40" s="7">
        <v>0</v>
      </c>
      <c r="D40" s="11"/>
      <c r="E40" s="7">
        <v>0</v>
      </c>
      <c r="F40" s="69">
        <v>3</v>
      </c>
      <c r="G40" s="7">
        <v>0</v>
      </c>
      <c r="H40" s="7">
        <v>0</v>
      </c>
      <c r="I40" s="7">
        <v>0</v>
      </c>
      <c r="J40" s="70">
        <f>+I141</f>
        <v>0.0514</v>
      </c>
      <c r="K40" s="7">
        <f>SUM(J141:J143)</f>
        <v>-2892.117972145599</v>
      </c>
      <c r="L40" s="7">
        <f t="shared" si="2"/>
        <v>355871.7437068388</v>
      </c>
      <c r="M40" s="71">
        <v>39447</v>
      </c>
    </row>
    <row r="41" spans="1:13" ht="12.75">
      <c r="A41" s="13"/>
      <c r="B41" s="67" t="s">
        <v>93</v>
      </c>
      <c r="C41" s="7">
        <v>0</v>
      </c>
      <c r="D41" s="11"/>
      <c r="E41" s="7">
        <v>0</v>
      </c>
      <c r="F41" s="69">
        <v>3</v>
      </c>
      <c r="G41" s="7">
        <v>0</v>
      </c>
      <c r="H41" s="7">
        <v>0</v>
      </c>
      <c r="I41" s="7">
        <v>0</v>
      </c>
      <c r="J41" s="70">
        <f>+I149</f>
        <v>0.0514</v>
      </c>
      <c r="K41" s="7">
        <f>SUM(J149:J151)</f>
        <v>-2829.2458423163466</v>
      </c>
      <c r="L41" s="7">
        <f t="shared" si="2"/>
        <v>353042.54926452244</v>
      </c>
      <c r="M41" s="71">
        <v>39538</v>
      </c>
    </row>
    <row r="42" spans="1:13" ht="12.75">
      <c r="A42" s="13"/>
      <c r="B42" s="67" t="s">
        <v>94</v>
      </c>
      <c r="C42" s="7">
        <v>0</v>
      </c>
      <c r="D42" s="11"/>
      <c r="E42" s="7">
        <v>0</v>
      </c>
      <c r="F42" s="69">
        <v>3</v>
      </c>
      <c r="G42" s="7">
        <v>0</v>
      </c>
      <c r="H42" s="7">
        <v>0</v>
      </c>
      <c r="I42" s="7">
        <v>0</v>
      </c>
      <c r="J42" s="70">
        <f>+I152</f>
        <v>0.0408</v>
      </c>
      <c r="K42" s="7">
        <f>SUM(J152:J154)</f>
        <v>-2270.735832977115</v>
      </c>
      <c r="L42" s="7">
        <f t="shared" si="2"/>
        <v>350771.85423154535</v>
      </c>
      <c r="M42" s="71">
        <v>39629</v>
      </c>
    </row>
    <row r="43" spans="1:13" ht="12.75">
      <c r="A43" s="13"/>
      <c r="B43" s="67" t="s">
        <v>95</v>
      </c>
      <c r="C43" s="7">
        <v>0</v>
      </c>
      <c r="D43" s="11"/>
      <c r="E43" s="7">
        <v>0</v>
      </c>
      <c r="F43" s="69">
        <v>6</v>
      </c>
      <c r="G43" s="7">
        <v>0</v>
      </c>
      <c r="H43" s="7">
        <v>0</v>
      </c>
      <c r="I43" s="7">
        <v>0</v>
      </c>
      <c r="J43" s="70">
        <f>+I155</f>
        <v>0.0335</v>
      </c>
      <c r="K43" s="7">
        <f>SUM(J155:J160)</f>
        <v>-3769.8814033804497</v>
      </c>
      <c r="L43" s="7">
        <f t="shared" si="2"/>
        <v>347002.0063281649</v>
      </c>
      <c r="M43" s="71">
        <v>39813</v>
      </c>
    </row>
    <row r="44" spans="1:13" ht="12.75">
      <c r="A44" s="13"/>
      <c r="B44" s="67" t="s">
        <v>96</v>
      </c>
      <c r="C44" s="7">
        <v>0</v>
      </c>
      <c r="D44" s="11"/>
      <c r="E44" s="7">
        <v>0</v>
      </c>
      <c r="F44" s="69">
        <v>3</v>
      </c>
      <c r="G44" s="7">
        <v>0</v>
      </c>
      <c r="H44" s="7">
        <v>0</v>
      </c>
      <c r="I44" s="7">
        <v>0</v>
      </c>
      <c r="J44" s="70">
        <f>+I161</f>
        <v>0.0245</v>
      </c>
      <c r="K44" s="7">
        <f>SUM(J161:J163)</f>
        <v>-1348.5704890418383</v>
      </c>
      <c r="L44" s="7">
        <f t="shared" si="2"/>
        <v>345653.46033912303</v>
      </c>
      <c r="M44" s="71">
        <v>39903</v>
      </c>
    </row>
    <row r="45" spans="1:13" ht="12.75">
      <c r="A45" s="13"/>
      <c r="B45" s="67" t="s">
        <v>97</v>
      </c>
      <c r="C45" s="7">
        <v>0</v>
      </c>
      <c r="D45" s="11"/>
      <c r="E45" s="7">
        <v>0</v>
      </c>
      <c r="F45" s="69">
        <v>3</v>
      </c>
      <c r="G45" s="7">
        <v>0</v>
      </c>
      <c r="H45" s="7">
        <v>0</v>
      </c>
      <c r="I45" s="7">
        <v>0</v>
      </c>
      <c r="J45" s="70">
        <f>+I164</f>
        <v>0.01</v>
      </c>
      <c r="K45" s="7">
        <f>SUM(J164:J166)</f>
        <v>-556.5529002394888</v>
      </c>
      <c r="L45" s="7">
        <f t="shared" si="2"/>
        <v>345096.91743888357</v>
      </c>
      <c r="M45" s="71">
        <v>39994</v>
      </c>
    </row>
    <row r="46" spans="1:14" ht="12.75">
      <c r="A46" s="13"/>
      <c r="B46" s="67" t="s">
        <v>98</v>
      </c>
      <c r="C46" s="7">
        <v>0</v>
      </c>
      <c r="D46" s="11"/>
      <c r="E46" s="7">
        <v>0</v>
      </c>
      <c r="F46" s="69">
        <v>6</v>
      </c>
      <c r="G46" s="7">
        <v>0</v>
      </c>
      <c r="H46" s="7">
        <v>0</v>
      </c>
      <c r="I46" s="7">
        <v>0</v>
      </c>
      <c r="J46" s="70">
        <f>+I167</f>
        <v>0.0055</v>
      </c>
      <c r="K46" s="7">
        <f>SUM(J167:J172)</f>
        <v>-618.9357527938051</v>
      </c>
      <c r="L46" s="7">
        <f t="shared" si="2"/>
        <v>344477.98718608974</v>
      </c>
      <c r="M46" s="71">
        <v>40178</v>
      </c>
      <c r="N46" s="23" t="s">
        <v>0</v>
      </c>
    </row>
    <row r="47" spans="1:13" ht="12.75">
      <c r="A47" s="13"/>
      <c r="B47" s="67" t="s">
        <v>100</v>
      </c>
      <c r="C47" s="7">
        <v>0</v>
      </c>
      <c r="D47" s="11"/>
      <c r="E47" s="7">
        <v>0</v>
      </c>
      <c r="F47" s="69">
        <v>6</v>
      </c>
      <c r="G47" s="7">
        <v>0</v>
      </c>
      <c r="H47" s="7">
        <v>0</v>
      </c>
      <c r="I47" s="7">
        <v>0</v>
      </c>
      <c r="J47" s="70">
        <f>+I178</f>
        <v>0.0055</v>
      </c>
      <c r="K47" s="7">
        <f>SUM(J178:J183)</f>
        <v>-608.8444089982539</v>
      </c>
      <c r="L47" s="7">
        <f t="shared" si="2"/>
        <v>343869.1482770915</v>
      </c>
      <c r="M47" s="71">
        <v>40359</v>
      </c>
    </row>
    <row r="48" spans="1:13" ht="12.75">
      <c r="A48" s="13"/>
      <c r="B48" s="67" t="s">
        <v>106</v>
      </c>
      <c r="C48" s="7">
        <v>0</v>
      </c>
      <c r="D48" s="11"/>
      <c r="E48" s="7">
        <v>0</v>
      </c>
      <c r="F48" s="69">
        <v>3</v>
      </c>
      <c r="G48" s="7">
        <v>0</v>
      </c>
      <c r="H48" s="7">
        <v>0</v>
      </c>
      <c r="I48" s="7">
        <v>0</v>
      </c>
      <c r="J48" s="70">
        <f>+I184</f>
        <v>0.0089</v>
      </c>
      <c r="K48" s="7">
        <f>SUM(J184:J186)</f>
        <v>-500.77529089680604</v>
      </c>
      <c r="L48" s="7">
        <f t="shared" si="2"/>
        <v>343368.3818861947</v>
      </c>
      <c r="M48" s="71">
        <v>40451</v>
      </c>
    </row>
    <row r="49" spans="1:13" ht="12.75">
      <c r="A49" s="13"/>
      <c r="B49" s="67" t="s">
        <v>99</v>
      </c>
      <c r="C49" s="7">
        <v>0</v>
      </c>
      <c r="D49" s="11"/>
      <c r="E49" s="7">
        <v>0</v>
      </c>
      <c r="F49" s="69">
        <v>3</v>
      </c>
      <c r="G49" s="7">
        <v>0</v>
      </c>
      <c r="H49" s="7">
        <v>0</v>
      </c>
      <c r="I49" s="7">
        <v>0</v>
      </c>
      <c r="J49" s="70">
        <f>+I187</f>
        <v>0.012</v>
      </c>
      <c r="K49" s="7">
        <f>SUM(J187:J189)</f>
        <v>-675.2026394114239</v>
      </c>
      <c r="L49" s="7">
        <f t="shared" si="2"/>
        <v>342693.19124678324</v>
      </c>
      <c r="M49" s="71">
        <v>40543</v>
      </c>
    </row>
    <row r="50" spans="1:15" ht="12.75">
      <c r="A50" s="13"/>
      <c r="B50" s="67" t="s">
        <v>101</v>
      </c>
      <c r="C50" s="7">
        <v>0</v>
      </c>
      <c r="D50" s="11"/>
      <c r="E50" s="7">
        <v>0</v>
      </c>
      <c r="F50" s="69">
        <v>6</v>
      </c>
      <c r="G50" s="7">
        <v>0</v>
      </c>
      <c r="H50" s="7">
        <v>0</v>
      </c>
      <c r="I50" s="7">
        <v>0</v>
      </c>
      <c r="J50" s="70">
        <f>+I190</f>
        <v>0.0147</v>
      </c>
      <c r="K50" s="7">
        <f>SUM(J190:J195)</f>
        <v>-1627.2750567771518</v>
      </c>
      <c r="L50" s="7">
        <f t="shared" si="2"/>
        <v>341065.9308900061</v>
      </c>
      <c r="M50" s="71">
        <v>40724</v>
      </c>
      <c r="O50" s="24" t="s">
        <v>0</v>
      </c>
    </row>
    <row r="51" spans="1:15" ht="12.75">
      <c r="A51" s="13"/>
      <c r="B51" s="67" t="s">
        <v>107</v>
      </c>
      <c r="C51" s="7">
        <v>0</v>
      </c>
      <c r="D51" s="11"/>
      <c r="E51" s="7">
        <v>0</v>
      </c>
      <c r="F51" s="69">
        <v>6</v>
      </c>
      <c r="G51" s="7">
        <v>0</v>
      </c>
      <c r="H51" s="7">
        <v>0</v>
      </c>
      <c r="I51" s="7">
        <v>0</v>
      </c>
      <c r="J51" s="70">
        <f>+I196</f>
        <v>0.015</v>
      </c>
      <c r="K51" s="7">
        <f>SUM(J196:J201)</f>
        <v>-1688.0065985285596</v>
      </c>
      <c r="L51" s="7">
        <f t="shared" si="2"/>
        <v>339377.9392914775</v>
      </c>
      <c r="M51" s="71">
        <v>40908</v>
      </c>
      <c r="O51" s="24"/>
    </row>
    <row r="52" spans="1:13" ht="12.75">
      <c r="A52" s="13"/>
      <c r="B52" s="67" t="s">
        <v>102</v>
      </c>
      <c r="C52" s="7"/>
      <c r="D52" s="7"/>
      <c r="E52" s="69"/>
      <c r="F52" s="7">
        <v>4</v>
      </c>
      <c r="G52" s="7"/>
      <c r="H52" s="7"/>
      <c r="I52" s="7"/>
      <c r="J52" s="70">
        <f>+I202</f>
        <v>0.015</v>
      </c>
      <c r="K52" s="7">
        <f>SUM(J202:J205)</f>
        <v>-1100.8738686055824</v>
      </c>
      <c r="L52" s="7">
        <f t="shared" si="2"/>
        <v>338277.0804228719</v>
      </c>
      <c r="M52" s="71">
        <v>41029</v>
      </c>
    </row>
    <row r="53" spans="1:13" ht="12.75">
      <c r="A53" s="13"/>
      <c r="B53" s="67"/>
      <c r="C53" s="7"/>
      <c r="D53" s="7"/>
      <c r="E53" s="78"/>
      <c r="F53" s="11"/>
      <c r="G53" s="11"/>
      <c r="H53" s="11"/>
      <c r="I53" s="11"/>
      <c r="J53" s="11"/>
      <c r="K53" s="11"/>
      <c r="L53" s="11"/>
      <c r="M53" s="66"/>
    </row>
    <row r="54" spans="1:13" ht="13.5" thickBot="1">
      <c r="A54" s="13"/>
      <c r="B54" s="79"/>
      <c r="C54" s="80"/>
      <c r="D54" s="80"/>
      <c r="E54" s="80"/>
      <c r="F54" s="80"/>
      <c r="G54" s="82">
        <f>SUM(G29:G53)</f>
        <v>32271013.916666668</v>
      </c>
      <c r="H54" s="82">
        <f>SUM(H29:H53)</f>
        <v>-30479119.57</v>
      </c>
      <c r="I54" s="82">
        <f>SUM(I29:I53)</f>
        <v>-2015127.1033561316</v>
      </c>
      <c r="J54" s="80"/>
      <c r="K54" s="82">
        <f>SUM(K29:K53)</f>
        <v>561508.8557123364</v>
      </c>
      <c r="L54" s="82">
        <f>SUM(G54:K54)</f>
        <v>338276.0990228724</v>
      </c>
      <c r="M54" s="81"/>
    </row>
    <row r="55" ht="12.75">
      <c r="A55" s="13"/>
    </row>
    <row r="56" spans="1:8" ht="13.5" thickBot="1">
      <c r="A56" s="9"/>
      <c r="B56" s="213" t="s">
        <v>253</v>
      </c>
      <c r="C56" s="3"/>
      <c r="D56" s="3"/>
      <c r="E56" s="3"/>
      <c r="F56" s="3"/>
      <c r="G56" s="3"/>
      <c r="H56" s="3"/>
    </row>
    <row r="57" spans="2:12" ht="45.75" thickBot="1">
      <c r="B57" s="117" t="s">
        <v>1</v>
      </c>
      <c r="C57" s="87" t="s">
        <v>88</v>
      </c>
      <c r="D57" s="87" t="s">
        <v>3</v>
      </c>
      <c r="E57" s="87" t="s">
        <v>4</v>
      </c>
      <c r="F57" s="87" t="s">
        <v>5</v>
      </c>
      <c r="G57" s="87" t="s">
        <v>89</v>
      </c>
      <c r="H57" s="87" t="s">
        <v>71</v>
      </c>
      <c r="I57" s="87" t="s">
        <v>72</v>
      </c>
      <c r="J57" s="87" t="s">
        <v>73</v>
      </c>
      <c r="K57" s="87" t="s">
        <v>6</v>
      </c>
      <c r="L57" s="87" t="s">
        <v>29</v>
      </c>
    </row>
    <row r="58" spans="2:12" ht="12.75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 ht="12.75">
      <c r="B59" s="90">
        <v>37165</v>
      </c>
      <c r="C59" s="91">
        <v>0</v>
      </c>
      <c r="D59" s="91">
        <f>+E29</f>
        <v>697410.3333333334</v>
      </c>
      <c r="E59" s="91">
        <v>0</v>
      </c>
      <c r="F59" s="91">
        <v>0</v>
      </c>
      <c r="G59" s="91">
        <f>SUM(C59:F59)</f>
        <v>697410.3333333334</v>
      </c>
      <c r="H59" s="92">
        <v>31</v>
      </c>
      <c r="I59" s="93">
        <v>0.07</v>
      </c>
      <c r="J59" s="91">
        <f>SUM(C59*I59*H59/365)</f>
        <v>0</v>
      </c>
      <c r="K59" s="91">
        <f>+J59</f>
        <v>0</v>
      </c>
      <c r="L59" s="91">
        <f>+G59+K59</f>
        <v>697410.3333333334</v>
      </c>
    </row>
    <row r="60" spans="2:12" ht="12.75">
      <c r="B60" s="90">
        <v>37196</v>
      </c>
      <c r="C60" s="94">
        <f>+G59</f>
        <v>697410.3333333334</v>
      </c>
      <c r="D60" s="95">
        <f>+D59</f>
        <v>697410.3333333334</v>
      </c>
      <c r="E60" s="95">
        <v>0</v>
      </c>
      <c r="F60" s="95">
        <v>0</v>
      </c>
      <c r="G60" s="95">
        <f>SUM(C60:F60)</f>
        <v>1394820.6666666667</v>
      </c>
      <c r="H60" s="92">
        <v>30</v>
      </c>
      <c r="I60" s="93">
        <v>0.07</v>
      </c>
      <c r="J60" s="95">
        <f>SUM(C60*I60*H60/365)</f>
        <v>4012.4978082191788</v>
      </c>
      <c r="K60" s="95">
        <f>+K59+J60</f>
        <v>4012.4978082191788</v>
      </c>
      <c r="L60" s="95">
        <f>+G60+K60</f>
        <v>1398833.164474886</v>
      </c>
    </row>
    <row r="61" spans="2:15" ht="12.75">
      <c r="B61" s="96">
        <v>37226</v>
      </c>
      <c r="C61" s="97">
        <f>+G60</f>
        <v>1394820.6666666667</v>
      </c>
      <c r="D61" s="98">
        <f>+D60</f>
        <v>697410.3333333334</v>
      </c>
      <c r="E61" s="98">
        <v>0</v>
      </c>
      <c r="F61" s="98">
        <v>0</v>
      </c>
      <c r="G61" s="98">
        <f aca="true" t="shared" si="4" ref="G61:G73">SUM(C61:F61)</f>
        <v>2092231</v>
      </c>
      <c r="H61" s="99">
        <v>31</v>
      </c>
      <c r="I61" s="100">
        <v>0.07</v>
      </c>
      <c r="J61" s="98">
        <f>SUM(C61*I61*H61/365)</f>
        <v>8292.495470319636</v>
      </c>
      <c r="K61" s="98">
        <f>+K60+J61</f>
        <v>12304.993278538816</v>
      </c>
      <c r="L61" s="98">
        <f>+G61+K61</f>
        <v>2104535.993278539</v>
      </c>
      <c r="N61" s="11"/>
      <c r="O61" s="11"/>
    </row>
    <row r="62" spans="2:12" ht="12.75">
      <c r="B62" s="90">
        <v>37257</v>
      </c>
      <c r="C62" s="94">
        <f aca="true" t="shared" si="5" ref="C62:C131">+G61</f>
        <v>2092231</v>
      </c>
      <c r="D62" s="101">
        <f>+E30</f>
        <v>551343.5833333334</v>
      </c>
      <c r="E62" s="101">
        <v>0</v>
      </c>
      <c r="F62" s="101">
        <v>0</v>
      </c>
      <c r="G62" s="95">
        <f t="shared" si="4"/>
        <v>2643574.5833333335</v>
      </c>
      <c r="H62" s="92">
        <v>31</v>
      </c>
      <c r="I62" s="93">
        <v>0.07</v>
      </c>
      <c r="J62" s="95">
        <f aca="true" t="shared" si="6" ref="J62:J131">SUM(C62*I62*H62/365)</f>
        <v>12438.743205479454</v>
      </c>
      <c r="K62" s="95">
        <f aca="true" t="shared" si="7" ref="K62:K131">+K61+J62</f>
        <v>24743.73648401827</v>
      </c>
      <c r="L62" s="95">
        <f>+G62+K62</f>
        <v>2668318.3198173516</v>
      </c>
    </row>
    <row r="63" spans="2:12" ht="12.75">
      <c r="B63" s="90">
        <v>37288</v>
      </c>
      <c r="C63" s="94">
        <f t="shared" si="5"/>
        <v>2643574.5833333335</v>
      </c>
      <c r="D63" s="101">
        <f>+D62</f>
        <v>551343.5833333334</v>
      </c>
      <c r="E63" s="101"/>
      <c r="F63" s="101"/>
      <c r="G63" s="95">
        <f t="shared" si="4"/>
        <v>3194918.166666667</v>
      </c>
      <c r="H63" s="92">
        <v>28</v>
      </c>
      <c r="I63" s="93">
        <v>0.07</v>
      </c>
      <c r="J63" s="95">
        <f t="shared" si="6"/>
        <v>14195.633378995435</v>
      </c>
      <c r="K63" s="95">
        <f t="shared" si="7"/>
        <v>38939.36986301371</v>
      </c>
      <c r="L63" s="95">
        <f aca="true" t="shared" si="8" ref="L63:L73">+G63+K63</f>
        <v>3233857.5365296807</v>
      </c>
    </row>
    <row r="64" spans="2:12" ht="12.75">
      <c r="B64" s="90">
        <v>37316</v>
      </c>
      <c r="C64" s="94">
        <f t="shared" si="5"/>
        <v>3194918.166666667</v>
      </c>
      <c r="D64" s="101">
        <f aca="true" t="shared" si="9" ref="D64:D72">+D63</f>
        <v>551343.5833333334</v>
      </c>
      <c r="E64" s="101"/>
      <c r="F64" s="101">
        <v>-40185</v>
      </c>
      <c r="G64" s="95">
        <f t="shared" si="4"/>
        <v>3706076.7500000005</v>
      </c>
      <c r="H64" s="92">
        <v>31</v>
      </c>
      <c r="I64" s="93">
        <v>0.07</v>
      </c>
      <c r="J64" s="95">
        <f t="shared" si="6"/>
        <v>18994.44499086758</v>
      </c>
      <c r="K64" s="95">
        <f t="shared" si="7"/>
        <v>57933.81485388129</v>
      </c>
      <c r="L64" s="95">
        <f t="shared" si="8"/>
        <v>3764010.564853882</v>
      </c>
    </row>
    <row r="65" spans="2:12" ht="12.75">
      <c r="B65" s="90">
        <v>37347</v>
      </c>
      <c r="C65" s="94">
        <f t="shared" si="5"/>
        <v>3706076.7500000005</v>
      </c>
      <c r="D65" s="101">
        <f t="shared" si="9"/>
        <v>551343.5833333334</v>
      </c>
      <c r="E65" s="101"/>
      <c r="F65" s="101">
        <v>-572639</v>
      </c>
      <c r="G65" s="95">
        <f t="shared" si="4"/>
        <v>3684781.333333334</v>
      </c>
      <c r="H65" s="92">
        <v>30</v>
      </c>
      <c r="I65" s="93">
        <v>0.07</v>
      </c>
      <c r="J65" s="95">
        <f t="shared" si="6"/>
        <v>21322.633356164388</v>
      </c>
      <c r="K65" s="95">
        <f t="shared" si="7"/>
        <v>79256.44821004568</v>
      </c>
      <c r="L65" s="95">
        <f t="shared" si="8"/>
        <v>3764037.7815433796</v>
      </c>
    </row>
    <row r="66" spans="2:12" ht="12.75">
      <c r="B66" s="90">
        <v>37377</v>
      </c>
      <c r="C66" s="94">
        <f t="shared" si="5"/>
        <v>3684781.333333334</v>
      </c>
      <c r="D66" s="101">
        <f t="shared" si="9"/>
        <v>551343.5833333334</v>
      </c>
      <c r="E66" s="101"/>
      <c r="F66" s="101">
        <v>-391806</v>
      </c>
      <c r="G66" s="95">
        <f t="shared" si="4"/>
        <v>3844318.916666667</v>
      </c>
      <c r="H66" s="92">
        <v>31</v>
      </c>
      <c r="I66" s="93">
        <v>0.07</v>
      </c>
      <c r="J66" s="95">
        <f t="shared" si="6"/>
        <v>21906.782173515985</v>
      </c>
      <c r="K66" s="95">
        <f t="shared" si="7"/>
        <v>101163.23038356166</v>
      </c>
      <c r="L66" s="95">
        <f t="shared" si="8"/>
        <v>3945482.1470502284</v>
      </c>
    </row>
    <row r="67" spans="2:12" ht="12.75">
      <c r="B67" s="90">
        <v>37408</v>
      </c>
      <c r="C67" s="94">
        <f t="shared" si="5"/>
        <v>3844318.916666667</v>
      </c>
      <c r="D67" s="101">
        <f t="shared" si="9"/>
        <v>551343.5833333334</v>
      </c>
      <c r="E67" s="95">
        <f>+'True Up Variance Adjustments'!C27</f>
        <v>15545.454545454546</v>
      </c>
      <c r="F67" s="101">
        <v>-658395</v>
      </c>
      <c r="G67" s="95">
        <f t="shared" si="4"/>
        <v>3752812.954545454</v>
      </c>
      <c r="H67" s="92">
        <v>30</v>
      </c>
      <c r="I67" s="93">
        <v>0.07</v>
      </c>
      <c r="J67" s="95">
        <f t="shared" si="6"/>
        <v>22117.999246575346</v>
      </c>
      <c r="K67" s="95">
        <f t="shared" si="7"/>
        <v>123281.22963013701</v>
      </c>
      <c r="L67" s="95">
        <f t="shared" si="8"/>
        <v>3876094.184175591</v>
      </c>
    </row>
    <row r="68" spans="2:12" ht="12.75">
      <c r="B68" s="90">
        <v>37438</v>
      </c>
      <c r="C68" s="94">
        <f t="shared" si="5"/>
        <v>3752812.954545454</v>
      </c>
      <c r="D68" s="101">
        <f t="shared" si="9"/>
        <v>551343.5833333334</v>
      </c>
      <c r="E68" s="101"/>
      <c r="F68" s="101">
        <v>-793155</v>
      </c>
      <c r="G68" s="95">
        <f t="shared" si="4"/>
        <v>3511001.537878787</v>
      </c>
      <c r="H68" s="92">
        <v>31</v>
      </c>
      <c r="I68" s="93">
        <v>0.07</v>
      </c>
      <c r="J68" s="95">
        <f t="shared" si="6"/>
        <v>22311.24414072229</v>
      </c>
      <c r="K68" s="95">
        <f t="shared" si="7"/>
        <v>145592.4737708593</v>
      </c>
      <c r="L68" s="95">
        <f t="shared" si="8"/>
        <v>3656594.0116496463</v>
      </c>
    </row>
    <row r="69" spans="2:12" ht="12.75">
      <c r="B69" s="90">
        <v>37469</v>
      </c>
      <c r="C69" s="94">
        <f t="shared" si="5"/>
        <v>3511001.537878787</v>
      </c>
      <c r="D69" s="101">
        <f t="shared" si="9"/>
        <v>551343.5833333334</v>
      </c>
      <c r="E69" s="101"/>
      <c r="F69" s="101">
        <v>-812470</v>
      </c>
      <c r="G69" s="95">
        <f t="shared" si="4"/>
        <v>3249875.1212121206</v>
      </c>
      <c r="H69" s="92">
        <v>31</v>
      </c>
      <c r="I69" s="93">
        <v>0.07</v>
      </c>
      <c r="J69" s="95">
        <f t="shared" si="6"/>
        <v>20873.62558136156</v>
      </c>
      <c r="K69" s="95">
        <f t="shared" si="7"/>
        <v>166466.09935222086</v>
      </c>
      <c r="L69" s="95">
        <f t="shared" si="8"/>
        <v>3416341.2205643416</v>
      </c>
    </row>
    <row r="70" spans="2:12" ht="12.75">
      <c r="B70" s="90">
        <v>37500</v>
      </c>
      <c r="C70" s="94">
        <f t="shared" si="5"/>
        <v>3249875.1212121206</v>
      </c>
      <c r="D70" s="101">
        <f t="shared" si="9"/>
        <v>551343.5833333334</v>
      </c>
      <c r="E70" s="101"/>
      <c r="F70" s="101">
        <v>-783297</v>
      </c>
      <c r="G70" s="95">
        <f t="shared" si="4"/>
        <v>3017921.704545454</v>
      </c>
      <c r="H70" s="92">
        <v>30</v>
      </c>
      <c r="I70" s="93">
        <v>0.07</v>
      </c>
      <c r="J70" s="95">
        <f t="shared" si="6"/>
        <v>18697.911656288914</v>
      </c>
      <c r="K70" s="95">
        <f t="shared" si="7"/>
        <v>185164.01100850978</v>
      </c>
      <c r="L70" s="95">
        <f t="shared" si="8"/>
        <v>3203085.715553964</v>
      </c>
    </row>
    <row r="71" spans="2:12" ht="12.75">
      <c r="B71" s="90">
        <v>37530</v>
      </c>
      <c r="C71" s="94">
        <f t="shared" si="5"/>
        <v>3017921.704545454</v>
      </c>
      <c r="D71" s="101">
        <f t="shared" si="9"/>
        <v>551343.5833333334</v>
      </c>
      <c r="E71" s="101"/>
      <c r="F71" s="101">
        <v>-789625</v>
      </c>
      <c r="G71" s="95">
        <f t="shared" si="4"/>
        <v>2779640.2878787876</v>
      </c>
      <c r="H71" s="92">
        <v>31</v>
      </c>
      <c r="I71" s="93">
        <v>0.07</v>
      </c>
      <c r="J71" s="95">
        <f t="shared" si="6"/>
        <v>17942.16465442092</v>
      </c>
      <c r="K71" s="95">
        <f t="shared" si="7"/>
        <v>203106.1756629307</v>
      </c>
      <c r="L71" s="95">
        <f t="shared" si="8"/>
        <v>2982746.463541718</v>
      </c>
    </row>
    <row r="72" spans="2:12" ht="12.75">
      <c r="B72" s="90">
        <v>37561</v>
      </c>
      <c r="C72" s="94">
        <f t="shared" si="5"/>
        <v>2779640.2878787876</v>
      </c>
      <c r="D72" s="101">
        <f t="shared" si="9"/>
        <v>551343.5833333334</v>
      </c>
      <c r="E72" s="101"/>
      <c r="F72" s="101">
        <v>-698998</v>
      </c>
      <c r="G72" s="95">
        <f t="shared" si="4"/>
        <v>2631985.871212121</v>
      </c>
      <c r="H72" s="92">
        <v>30</v>
      </c>
      <c r="I72" s="93">
        <v>0.07</v>
      </c>
      <c r="J72" s="95">
        <f t="shared" si="6"/>
        <v>15992.45097135741</v>
      </c>
      <c r="K72" s="95">
        <f t="shared" si="7"/>
        <v>219098.6266342881</v>
      </c>
      <c r="L72" s="95">
        <f t="shared" si="8"/>
        <v>2851084.497846409</v>
      </c>
    </row>
    <row r="73" spans="2:15" ht="12.75">
      <c r="B73" s="96">
        <v>37591</v>
      </c>
      <c r="C73" s="97">
        <f t="shared" si="5"/>
        <v>2631985.871212121</v>
      </c>
      <c r="D73" s="102">
        <f>+D72</f>
        <v>551343.5833333334</v>
      </c>
      <c r="E73" s="102"/>
      <c r="F73" s="102">
        <v>-675615</v>
      </c>
      <c r="G73" s="98">
        <f t="shared" si="4"/>
        <v>2507714.4545454546</v>
      </c>
      <c r="H73" s="99">
        <v>31</v>
      </c>
      <c r="I73" s="100">
        <v>0.07</v>
      </c>
      <c r="J73" s="98">
        <f t="shared" si="6"/>
        <v>15647.696823370694</v>
      </c>
      <c r="K73" s="98">
        <f t="shared" si="7"/>
        <v>234746.32345765881</v>
      </c>
      <c r="L73" s="98">
        <f t="shared" si="8"/>
        <v>2742460.7780031133</v>
      </c>
      <c r="O73">
        <f>25*3017.5</f>
        <v>75437.5</v>
      </c>
    </row>
    <row r="74" spans="2:12" ht="12.75">
      <c r="B74" s="90">
        <v>37622</v>
      </c>
      <c r="C74" s="94">
        <f t="shared" si="5"/>
        <v>2507714.4545454546</v>
      </c>
      <c r="D74" s="101">
        <f>+E31</f>
        <v>725696.1666666666</v>
      </c>
      <c r="E74" s="101">
        <v>0</v>
      </c>
      <c r="F74" s="101">
        <v>-833966</v>
      </c>
      <c r="G74" s="95">
        <f aca="true" t="shared" si="10" ref="G74:G85">SUM(C74:F74)</f>
        <v>2399444.621212121</v>
      </c>
      <c r="H74" s="92">
        <v>31</v>
      </c>
      <c r="I74" s="93">
        <v>0.07</v>
      </c>
      <c r="J74" s="95">
        <f t="shared" si="6"/>
        <v>14908.877716064759</v>
      </c>
      <c r="K74" s="95">
        <f t="shared" si="7"/>
        <v>249655.20117372356</v>
      </c>
      <c r="L74" s="95">
        <f aca="true" t="shared" si="11" ref="L74:L85">+G74+K74</f>
        <v>2649099.822385845</v>
      </c>
    </row>
    <row r="75" spans="2:12" ht="12.75">
      <c r="B75" s="90">
        <v>37653</v>
      </c>
      <c r="C75" s="94">
        <f t="shared" si="5"/>
        <v>2399444.621212121</v>
      </c>
      <c r="D75" s="101">
        <f>+D74</f>
        <v>725696.1666666666</v>
      </c>
      <c r="E75" s="101"/>
      <c r="F75" s="101">
        <v>-731366</v>
      </c>
      <c r="G75" s="95">
        <f t="shared" si="10"/>
        <v>2393774.7878787876</v>
      </c>
      <c r="H75" s="92">
        <v>28</v>
      </c>
      <c r="I75" s="93">
        <v>0.07</v>
      </c>
      <c r="J75" s="95">
        <f t="shared" si="6"/>
        <v>12884.68892486509</v>
      </c>
      <c r="K75" s="95">
        <f t="shared" si="7"/>
        <v>262539.89009858866</v>
      </c>
      <c r="L75" s="95">
        <f t="shared" si="11"/>
        <v>2656314.677977376</v>
      </c>
    </row>
    <row r="76" spans="2:12" ht="12.75">
      <c r="B76" s="90">
        <v>37681</v>
      </c>
      <c r="C76" s="94">
        <f t="shared" si="5"/>
        <v>2393774.7878787876</v>
      </c>
      <c r="D76" s="101">
        <f aca="true" t="shared" si="12" ref="D76:D84">+D75</f>
        <v>725696.1666666666</v>
      </c>
      <c r="E76" s="101"/>
      <c r="F76" s="101">
        <v>-814667</v>
      </c>
      <c r="G76" s="95">
        <f t="shared" si="10"/>
        <v>2304803.954545454</v>
      </c>
      <c r="H76" s="92">
        <v>31</v>
      </c>
      <c r="I76" s="93">
        <v>0.07</v>
      </c>
      <c r="J76" s="95">
        <f t="shared" si="6"/>
        <v>14231.482985471148</v>
      </c>
      <c r="K76" s="95">
        <f t="shared" si="7"/>
        <v>276771.3730840598</v>
      </c>
      <c r="L76" s="95">
        <f t="shared" si="11"/>
        <v>2581575.327629514</v>
      </c>
    </row>
    <row r="77" spans="2:12" ht="12.75">
      <c r="B77" s="90">
        <v>37712</v>
      </c>
      <c r="C77" s="94">
        <f t="shared" si="5"/>
        <v>2304803.954545454</v>
      </c>
      <c r="D77" s="101">
        <f>+D76</f>
        <v>725696.1666666666</v>
      </c>
      <c r="E77" s="101"/>
      <c r="F77" s="101">
        <v>-743518</v>
      </c>
      <c r="G77" s="95">
        <f t="shared" si="10"/>
        <v>2286982.1212121206</v>
      </c>
      <c r="H77" s="92">
        <v>30</v>
      </c>
      <c r="I77" s="93">
        <v>0.07</v>
      </c>
      <c r="J77" s="95">
        <f t="shared" si="6"/>
        <v>13260.515902864257</v>
      </c>
      <c r="K77" s="95">
        <f t="shared" si="7"/>
        <v>290031.8889869241</v>
      </c>
      <c r="L77" s="95">
        <f t="shared" si="11"/>
        <v>2577014.010199045</v>
      </c>
    </row>
    <row r="78" spans="2:12" ht="12.75">
      <c r="B78" s="90">
        <v>37742</v>
      </c>
      <c r="C78" s="94">
        <f t="shared" si="5"/>
        <v>2286982.1212121206</v>
      </c>
      <c r="D78" s="101">
        <f t="shared" si="12"/>
        <v>725696.1666666666</v>
      </c>
      <c r="E78" s="101"/>
      <c r="F78" s="101">
        <v>-715226</v>
      </c>
      <c r="G78" s="95">
        <f t="shared" si="10"/>
        <v>2297452.287878787</v>
      </c>
      <c r="H78" s="92">
        <v>31</v>
      </c>
      <c r="I78" s="93">
        <v>0.07</v>
      </c>
      <c r="J78" s="95">
        <f t="shared" si="6"/>
        <v>13596.578638439185</v>
      </c>
      <c r="K78" s="95">
        <f t="shared" si="7"/>
        <v>303628.46762536326</v>
      </c>
      <c r="L78" s="95">
        <f t="shared" si="11"/>
        <v>2601080.7555041504</v>
      </c>
    </row>
    <row r="79" spans="2:12" ht="12.75">
      <c r="B79" s="90">
        <v>37773</v>
      </c>
      <c r="C79" s="94">
        <f t="shared" si="5"/>
        <v>2297452.287878787</v>
      </c>
      <c r="D79" s="101">
        <f t="shared" si="12"/>
        <v>725696.1666666666</v>
      </c>
      <c r="E79" s="95">
        <f>+'True Up Variance Adjustments'!D27+'True Up Variance Adjustments'!D41</f>
        <v>-353631.90848</v>
      </c>
      <c r="F79" s="101">
        <v>-699383</v>
      </c>
      <c r="G79" s="95">
        <f t="shared" si="10"/>
        <v>1970133.5460654534</v>
      </c>
      <c r="H79" s="92">
        <v>30</v>
      </c>
      <c r="I79" s="93">
        <v>0.07</v>
      </c>
      <c r="J79" s="95">
        <f t="shared" si="6"/>
        <v>13218.218642590284</v>
      </c>
      <c r="K79" s="95">
        <f t="shared" si="7"/>
        <v>316846.68626795354</v>
      </c>
      <c r="L79" s="95">
        <f t="shared" si="11"/>
        <v>2286980.232333407</v>
      </c>
    </row>
    <row r="80" spans="2:12" ht="12.75">
      <c r="B80" s="90">
        <v>37803</v>
      </c>
      <c r="C80" s="94">
        <f t="shared" si="5"/>
        <v>1970133.5460654534</v>
      </c>
      <c r="D80" s="101">
        <f t="shared" si="12"/>
        <v>725696.1666666666</v>
      </c>
      <c r="E80" s="95"/>
      <c r="F80" s="101">
        <v>-768769</v>
      </c>
      <c r="G80" s="95">
        <f t="shared" si="10"/>
        <v>1927060.71273212</v>
      </c>
      <c r="H80" s="92">
        <v>31</v>
      </c>
      <c r="I80" s="93">
        <v>0.07</v>
      </c>
      <c r="J80" s="95">
        <f t="shared" si="6"/>
        <v>11712.84875332064</v>
      </c>
      <c r="K80" s="95">
        <f t="shared" si="7"/>
        <v>328559.5350212742</v>
      </c>
      <c r="L80" s="95">
        <f t="shared" si="11"/>
        <v>2255620.2477533943</v>
      </c>
    </row>
    <row r="81" spans="2:12" ht="12.75">
      <c r="B81" s="90">
        <v>37834</v>
      </c>
      <c r="C81" s="94">
        <f t="shared" si="5"/>
        <v>1927060.71273212</v>
      </c>
      <c r="D81" s="101">
        <f t="shared" si="12"/>
        <v>725696.1666666666</v>
      </c>
      <c r="E81" s="101"/>
      <c r="F81" s="101">
        <v>-742616</v>
      </c>
      <c r="G81" s="95">
        <f t="shared" si="10"/>
        <v>1910140.8793987865</v>
      </c>
      <c r="H81" s="92">
        <v>31</v>
      </c>
      <c r="I81" s="93">
        <v>0.07</v>
      </c>
      <c r="J81" s="95">
        <f t="shared" si="6"/>
        <v>11456.771908571784</v>
      </c>
      <c r="K81" s="95">
        <f t="shared" si="7"/>
        <v>340016.30692984594</v>
      </c>
      <c r="L81" s="95">
        <f t="shared" si="11"/>
        <v>2250157.1863286323</v>
      </c>
    </row>
    <row r="82" spans="2:13" ht="12.75">
      <c r="B82" s="90">
        <v>37865</v>
      </c>
      <c r="C82" s="94">
        <f t="shared" si="5"/>
        <v>1910140.8793987865</v>
      </c>
      <c r="D82" s="101">
        <f t="shared" si="12"/>
        <v>725696.1666666666</v>
      </c>
      <c r="E82" s="101"/>
      <c r="F82" s="101">
        <v>-796824</v>
      </c>
      <c r="G82" s="95">
        <f t="shared" si="10"/>
        <v>1839013.046065453</v>
      </c>
      <c r="H82" s="92">
        <v>30</v>
      </c>
      <c r="I82" s="93">
        <v>0.07</v>
      </c>
      <c r="J82" s="95">
        <f t="shared" si="6"/>
        <v>10989.85163489713</v>
      </c>
      <c r="K82" s="95">
        <f t="shared" si="7"/>
        <v>351006.15856474306</v>
      </c>
      <c r="L82" s="95">
        <f t="shared" si="11"/>
        <v>2190019.204630196</v>
      </c>
      <c r="M82" s="23" t="s">
        <v>0</v>
      </c>
    </row>
    <row r="83" spans="2:12" ht="12.75">
      <c r="B83" s="90">
        <v>37895</v>
      </c>
      <c r="C83" s="94">
        <f t="shared" si="5"/>
        <v>1839013.046065453</v>
      </c>
      <c r="D83" s="101">
        <f t="shared" si="12"/>
        <v>725696.1666666666</v>
      </c>
      <c r="E83" s="101"/>
      <c r="F83" s="101">
        <v>-758063</v>
      </c>
      <c r="G83" s="95">
        <f t="shared" si="10"/>
        <v>1806646.2127321195</v>
      </c>
      <c r="H83" s="92">
        <v>31</v>
      </c>
      <c r="I83" s="93">
        <v>0.07</v>
      </c>
      <c r="J83" s="95">
        <f t="shared" si="6"/>
        <v>10933.310438252145</v>
      </c>
      <c r="K83" s="95">
        <f t="shared" si="7"/>
        <v>361939.46900299523</v>
      </c>
      <c r="L83" s="95">
        <f t="shared" si="11"/>
        <v>2168585.6817351147</v>
      </c>
    </row>
    <row r="84" spans="2:12" ht="12.75">
      <c r="B84" s="90">
        <v>37926</v>
      </c>
      <c r="C84" s="94">
        <f t="shared" si="5"/>
        <v>1806646.2127321195</v>
      </c>
      <c r="D84" s="101">
        <f t="shared" si="12"/>
        <v>725696.1666666666</v>
      </c>
      <c r="E84" s="101"/>
      <c r="F84" s="101">
        <v>-691843</v>
      </c>
      <c r="G84" s="95">
        <f t="shared" si="10"/>
        <v>1840499.379398786</v>
      </c>
      <c r="H84" s="92">
        <v>30</v>
      </c>
      <c r="I84" s="93">
        <v>0.07</v>
      </c>
      <c r="J84" s="95">
        <f t="shared" si="6"/>
        <v>10394.402867773839</v>
      </c>
      <c r="K84" s="95">
        <f t="shared" si="7"/>
        <v>372333.8718707691</v>
      </c>
      <c r="L84" s="95">
        <f t="shared" si="11"/>
        <v>2212833.251269555</v>
      </c>
    </row>
    <row r="85" spans="2:13" ht="12.75">
      <c r="B85" s="96">
        <v>37956</v>
      </c>
      <c r="C85" s="97">
        <f t="shared" si="5"/>
        <v>1840499.379398786</v>
      </c>
      <c r="D85" s="102">
        <f>+D84</f>
        <v>725696.1666666666</v>
      </c>
      <c r="E85" s="102"/>
      <c r="F85" s="102">
        <v>-732061</v>
      </c>
      <c r="G85" s="98">
        <f t="shared" si="10"/>
        <v>1834134.5460654525</v>
      </c>
      <c r="H85" s="99">
        <v>31</v>
      </c>
      <c r="I85" s="100">
        <v>0.07</v>
      </c>
      <c r="J85" s="98">
        <f t="shared" si="6"/>
        <v>10942.146995329771</v>
      </c>
      <c r="K85" s="98">
        <f t="shared" si="7"/>
        <v>383276.01886609884</v>
      </c>
      <c r="L85" s="98">
        <f t="shared" si="11"/>
        <v>2217410.5649315515</v>
      </c>
      <c r="M85" s="23" t="s">
        <v>0</v>
      </c>
    </row>
    <row r="86" spans="2:13" ht="13.5" thickBot="1">
      <c r="B86" s="124"/>
      <c r="C86" s="125"/>
      <c r="D86" s="126"/>
      <c r="E86" s="126"/>
      <c r="F86" s="126"/>
      <c r="G86" s="127"/>
      <c r="H86" s="128"/>
      <c r="I86" s="129"/>
      <c r="J86" s="127"/>
      <c r="K86" s="127"/>
      <c r="L86" s="127"/>
      <c r="M86" s="23"/>
    </row>
    <row r="87" spans="1:13" ht="12.75">
      <c r="A87"/>
      <c r="M87" s="23"/>
    </row>
    <row r="88" spans="1:13" ht="13.5" thickBot="1">
      <c r="A88"/>
      <c r="B88" s="213" t="s">
        <v>254</v>
      </c>
      <c r="M88" s="23"/>
    </row>
    <row r="89" spans="2:13" ht="45.75" thickBot="1">
      <c r="B89" s="117" t="s">
        <v>1</v>
      </c>
      <c r="C89" s="87" t="s">
        <v>88</v>
      </c>
      <c r="D89" s="87" t="s">
        <v>3</v>
      </c>
      <c r="E89" s="87" t="s">
        <v>4</v>
      </c>
      <c r="F89" s="87" t="s">
        <v>5</v>
      </c>
      <c r="G89" s="87" t="s">
        <v>89</v>
      </c>
      <c r="H89" s="87" t="s">
        <v>71</v>
      </c>
      <c r="I89" s="87" t="s">
        <v>72</v>
      </c>
      <c r="J89" s="87" t="s">
        <v>73</v>
      </c>
      <c r="K89" s="87" t="s">
        <v>6</v>
      </c>
      <c r="L89" s="87" t="s">
        <v>29</v>
      </c>
      <c r="M89" s="23"/>
    </row>
    <row r="90" spans="2:13" ht="12.75">
      <c r="B90" s="118"/>
      <c r="C90" s="119"/>
      <c r="D90" s="120"/>
      <c r="E90" s="120"/>
      <c r="F90" s="120"/>
      <c r="G90" s="121"/>
      <c r="H90" s="122"/>
      <c r="I90" s="123"/>
      <c r="J90" s="121"/>
      <c r="K90" s="121"/>
      <c r="L90" s="121"/>
      <c r="M90" s="23"/>
    </row>
    <row r="91" spans="2:12" ht="12.75">
      <c r="B91" s="90">
        <v>37987</v>
      </c>
      <c r="C91" s="94">
        <f>+G85</f>
        <v>1834134.5460654525</v>
      </c>
      <c r="D91" s="101">
        <f>+E32</f>
        <v>725696.1666666666</v>
      </c>
      <c r="E91" s="101">
        <v>0</v>
      </c>
      <c r="F91" s="101">
        <v>-784134</v>
      </c>
      <c r="G91" s="95">
        <f aca="true" t="shared" si="13" ref="G91:G102">SUM(C91:F91)</f>
        <v>1775696.712732119</v>
      </c>
      <c r="H91" s="92">
        <v>31</v>
      </c>
      <c r="I91" s="93">
        <v>0.07</v>
      </c>
      <c r="J91" s="95">
        <f t="shared" si="6"/>
        <v>10904.306753320638</v>
      </c>
      <c r="K91" s="95">
        <f>+K85+J91</f>
        <v>394180.32561941945</v>
      </c>
      <c r="L91" s="95">
        <f aca="true" t="shared" si="14" ref="L91:L102">+G91+K91</f>
        <v>2169877.0383515386</v>
      </c>
    </row>
    <row r="92" spans="2:12" ht="12.75">
      <c r="B92" s="90">
        <v>38018</v>
      </c>
      <c r="C92" s="94">
        <f t="shared" si="5"/>
        <v>1775696.712732119</v>
      </c>
      <c r="D92" s="101">
        <f>+D91</f>
        <v>725696.1666666666</v>
      </c>
      <c r="E92" s="101"/>
      <c r="F92" s="101">
        <v>-740413</v>
      </c>
      <c r="G92" s="95">
        <f t="shared" si="13"/>
        <v>1760979.8793987855</v>
      </c>
      <c r="H92" s="92">
        <v>29</v>
      </c>
      <c r="I92" s="93">
        <v>0.07</v>
      </c>
      <c r="J92" s="95">
        <f t="shared" si="6"/>
        <v>9875.792676290965</v>
      </c>
      <c r="K92" s="95">
        <f t="shared" si="7"/>
        <v>404056.1182957104</v>
      </c>
      <c r="L92" s="95">
        <f t="shared" si="14"/>
        <v>2165035.997694496</v>
      </c>
    </row>
    <row r="93" spans="2:12" ht="12.75">
      <c r="B93" s="90">
        <v>38047</v>
      </c>
      <c r="C93" s="94">
        <f t="shared" si="5"/>
        <v>1760979.8793987855</v>
      </c>
      <c r="D93" s="101">
        <f>+D92</f>
        <v>725696.1666666666</v>
      </c>
      <c r="E93" s="101"/>
      <c r="F93" s="101">
        <v>-852436</v>
      </c>
      <c r="G93" s="95">
        <f t="shared" si="13"/>
        <v>1634240.046065452</v>
      </c>
      <c r="H93" s="92">
        <v>31</v>
      </c>
      <c r="I93" s="93">
        <v>0.07</v>
      </c>
      <c r="J93" s="95">
        <f t="shared" si="6"/>
        <v>10469.38722820648</v>
      </c>
      <c r="K93" s="95">
        <f t="shared" si="7"/>
        <v>414525.5055239169</v>
      </c>
      <c r="L93" s="95">
        <f t="shared" si="14"/>
        <v>2048765.5515893688</v>
      </c>
    </row>
    <row r="94" spans="2:12" ht="12.75">
      <c r="B94" s="90">
        <v>38078</v>
      </c>
      <c r="C94" s="94">
        <f t="shared" si="5"/>
        <v>1634240.046065452</v>
      </c>
      <c r="D94" s="101">
        <f>+E33</f>
        <v>551343.5833333334</v>
      </c>
      <c r="E94" s="101"/>
      <c r="F94" s="101">
        <v>-294605</v>
      </c>
      <c r="G94" s="95">
        <f t="shared" si="13"/>
        <v>1890978.6293987855</v>
      </c>
      <c r="H94" s="92">
        <v>30</v>
      </c>
      <c r="I94" s="93">
        <v>0.07</v>
      </c>
      <c r="J94" s="95">
        <f t="shared" si="6"/>
        <v>9402.476977362876</v>
      </c>
      <c r="K94" s="95">
        <f t="shared" si="7"/>
        <v>423927.9825012798</v>
      </c>
      <c r="L94" s="95">
        <f t="shared" si="14"/>
        <v>2314906.611900065</v>
      </c>
    </row>
    <row r="95" spans="2:12" ht="12.75">
      <c r="B95" s="90">
        <v>38108</v>
      </c>
      <c r="C95" s="94">
        <f t="shared" si="5"/>
        <v>1890978.6293987855</v>
      </c>
      <c r="D95" s="101">
        <f>+D94</f>
        <v>551343.5833333334</v>
      </c>
      <c r="E95" s="101"/>
      <c r="F95" s="101">
        <v>-433334</v>
      </c>
      <c r="G95" s="95">
        <f t="shared" si="13"/>
        <v>2008988.212732119</v>
      </c>
      <c r="H95" s="92">
        <v>31</v>
      </c>
      <c r="I95" s="93">
        <v>0.07</v>
      </c>
      <c r="J95" s="95">
        <f t="shared" si="6"/>
        <v>11242.256509028399</v>
      </c>
      <c r="K95" s="95">
        <f t="shared" si="7"/>
        <v>435170.23901030817</v>
      </c>
      <c r="L95" s="95">
        <f t="shared" si="14"/>
        <v>2444158.4517424274</v>
      </c>
    </row>
    <row r="96" spans="2:12" ht="12.75">
      <c r="B96" s="90">
        <v>38139</v>
      </c>
      <c r="C96" s="94">
        <f t="shared" si="5"/>
        <v>2008988.212732119</v>
      </c>
      <c r="D96" s="101">
        <f aca="true" t="shared" si="15" ref="D96:D101">+D95</f>
        <v>551343.5833333334</v>
      </c>
      <c r="E96" s="95">
        <f>+'True Up Variance Adjustments'!E27+'True Up Variance Adjustments'!E41</f>
        <v>-491847.86480620154</v>
      </c>
      <c r="F96" s="101">
        <v>-496324</v>
      </c>
      <c r="G96" s="95">
        <f t="shared" si="13"/>
        <v>1572159.931259251</v>
      </c>
      <c r="H96" s="92">
        <v>30</v>
      </c>
      <c r="I96" s="93">
        <v>0.07</v>
      </c>
      <c r="J96" s="95">
        <f t="shared" si="6"/>
        <v>11558.56231982863</v>
      </c>
      <c r="K96" s="95">
        <f t="shared" si="7"/>
        <v>446728.8013301368</v>
      </c>
      <c r="L96" s="95">
        <f t="shared" si="14"/>
        <v>2018888.7325893878</v>
      </c>
    </row>
    <row r="97" spans="2:12" ht="12.75">
      <c r="B97" s="90">
        <v>38169</v>
      </c>
      <c r="C97" s="94">
        <f t="shared" si="5"/>
        <v>1572159.931259251</v>
      </c>
      <c r="D97" s="101">
        <f t="shared" si="15"/>
        <v>551343.5833333334</v>
      </c>
      <c r="E97" s="101"/>
      <c r="F97" s="101">
        <v>-502206</v>
      </c>
      <c r="G97" s="95">
        <f t="shared" si="13"/>
        <v>1621297.5145925842</v>
      </c>
      <c r="H97" s="92">
        <v>31</v>
      </c>
      <c r="I97" s="93">
        <v>0.07</v>
      </c>
      <c r="J97" s="95">
        <f t="shared" si="6"/>
        <v>9346.813837897465</v>
      </c>
      <c r="K97" s="95">
        <f t="shared" si="7"/>
        <v>456075.6151680342</v>
      </c>
      <c r="L97" s="95">
        <f t="shared" si="14"/>
        <v>2077373.1297606183</v>
      </c>
    </row>
    <row r="98" spans="2:12" ht="12.75">
      <c r="B98" s="90">
        <v>38200</v>
      </c>
      <c r="C98" s="94">
        <f t="shared" si="5"/>
        <v>1621297.5145925842</v>
      </c>
      <c r="D98" s="101">
        <f t="shared" si="15"/>
        <v>551343.5833333334</v>
      </c>
      <c r="E98" s="101"/>
      <c r="F98" s="101">
        <v>-562582</v>
      </c>
      <c r="G98" s="95">
        <f t="shared" si="13"/>
        <v>1610059.0979259177</v>
      </c>
      <c r="H98" s="92">
        <v>31</v>
      </c>
      <c r="I98" s="93">
        <v>0.07</v>
      </c>
      <c r="J98" s="95">
        <f t="shared" si="6"/>
        <v>9638.946867577832</v>
      </c>
      <c r="K98" s="95">
        <f t="shared" si="7"/>
        <v>465714.56203561206</v>
      </c>
      <c r="L98" s="95">
        <f t="shared" si="14"/>
        <v>2075773.6599615298</v>
      </c>
    </row>
    <row r="99" spans="2:12" ht="12.75">
      <c r="B99" s="90">
        <v>38231</v>
      </c>
      <c r="C99" s="94">
        <f t="shared" si="5"/>
        <v>1610059.0979259177</v>
      </c>
      <c r="D99" s="101">
        <f t="shared" si="15"/>
        <v>551343.5833333334</v>
      </c>
      <c r="E99" s="101"/>
      <c r="F99" s="101">
        <v>-529663</v>
      </c>
      <c r="G99" s="95">
        <f t="shared" si="13"/>
        <v>1631739.6812592512</v>
      </c>
      <c r="H99" s="92">
        <v>30</v>
      </c>
      <c r="I99" s="93">
        <v>0.07</v>
      </c>
      <c r="J99" s="95">
        <f t="shared" si="6"/>
        <v>9263.35371409432</v>
      </c>
      <c r="K99" s="95">
        <f t="shared" si="7"/>
        <v>474977.9157497064</v>
      </c>
      <c r="L99" s="95">
        <f t="shared" si="14"/>
        <v>2106717.5970089575</v>
      </c>
    </row>
    <row r="100" spans="2:12" ht="12.75">
      <c r="B100" s="90">
        <v>38261</v>
      </c>
      <c r="C100" s="94">
        <f t="shared" si="5"/>
        <v>1631739.6812592512</v>
      </c>
      <c r="D100" s="101">
        <f t="shared" si="15"/>
        <v>551343.5833333334</v>
      </c>
      <c r="E100" s="101"/>
      <c r="F100" s="101">
        <v>-518004</v>
      </c>
      <c r="G100" s="95">
        <f t="shared" si="13"/>
        <v>1665079.2645925847</v>
      </c>
      <c r="H100" s="92">
        <v>31</v>
      </c>
      <c r="I100" s="93">
        <v>0.07</v>
      </c>
      <c r="J100" s="95">
        <f t="shared" si="6"/>
        <v>9701.027694061851</v>
      </c>
      <c r="K100" s="95">
        <f t="shared" si="7"/>
        <v>484678.94344376825</v>
      </c>
      <c r="L100" s="95">
        <f t="shared" si="14"/>
        <v>2149758.208036353</v>
      </c>
    </row>
    <row r="101" spans="2:13" ht="12.75">
      <c r="B101" s="90">
        <v>38292</v>
      </c>
      <c r="C101" s="94">
        <f t="shared" si="5"/>
        <v>1665079.2645925847</v>
      </c>
      <c r="D101" s="101">
        <f t="shared" si="15"/>
        <v>551343.5833333334</v>
      </c>
      <c r="E101" s="101"/>
      <c r="F101" s="101">
        <v>-483875</v>
      </c>
      <c r="G101" s="95">
        <f t="shared" si="13"/>
        <v>1732547.8479259182</v>
      </c>
      <c r="H101" s="92">
        <v>30</v>
      </c>
      <c r="I101" s="93">
        <v>0.07</v>
      </c>
      <c r="J101" s="95">
        <f t="shared" si="6"/>
        <v>9579.908097655967</v>
      </c>
      <c r="K101" s="95">
        <f t="shared" si="7"/>
        <v>494258.8515414242</v>
      </c>
      <c r="L101" s="95">
        <f t="shared" si="14"/>
        <v>2226806.6994673423</v>
      </c>
      <c r="M101" s="16" t="s">
        <v>0</v>
      </c>
    </row>
    <row r="102" spans="2:12" ht="12.75">
      <c r="B102" s="96">
        <v>38322</v>
      </c>
      <c r="C102" s="97">
        <f t="shared" si="5"/>
        <v>1732547.8479259182</v>
      </c>
      <c r="D102" s="102">
        <f>+D101</f>
        <v>551343.5833333334</v>
      </c>
      <c r="E102" s="102"/>
      <c r="F102" s="102">
        <v>-494474</v>
      </c>
      <c r="G102" s="98">
        <f t="shared" si="13"/>
        <v>1789417.4312592517</v>
      </c>
      <c r="H102" s="99">
        <v>31</v>
      </c>
      <c r="I102" s="100">
        <v>0.07</v>
      </c>
      <c r="J102" s="98">
        <f t="shared" si="6"/>
        <v>10300.352958902035</v>
      </c>
      <c r="K102" s="98">
        <f t="shared" si="7"/>
        <v>504559.20450032625</v>
      </c>
      <c r="L102" s="98">
        <f t="shared" si="14"/>
        <v>2293976.635759578</v>
      </c>
    </row>
    <row r="103" spans="2:12" ht="12.75">
      <c r="B103" s="90">
        <v>38353</v>
      </c>
      <c r="C103" s="94">
        <f t="shared" si="5"/>
        <v>1789417.4312592517</v>
      </c>
      <c r="D103" s="101">
        <f>+E34</f>
        <v>551343.5833333334</v>
      </c>
      <c r="E103" s="101">
        <v>0</v>
      </c>
      <c r="F103" s="101">
        <v>-601380.57</v>
      </c>
      <c r="G103" s="95">
        <f aca="true" t="shared" si="16" ref="G103:G114">SUM(C103:F103)</f>
        <v>1739380.4445925853</v>
      </c>
      <c r="H103" s="92">
        <v>31</v>
      </c>
      <c r="I103" s="93">
        <v>0.07</v>
      </c>
      <c r="J103" s="95">
        <f t="shared" si="6"/>
        <v>10638.454317349524</v>
      </c>
      <c r="K103" s="95">
        <f t="shared" si="7"/>
        <v>515197.6588176758</v>
      </c>
      <c r="L103" s="95">
        <f aca="true" t="shared" si="17" ref="L103:L114">+G103+K103</f>
        <v>2254578.103410261</v>
      </c>
    </row>
    <row r="104" spans="2:12" ht="12.75">
      <c r="B104" s="90">
        <v>38384</v>
      </c>
      <c r="C104" s="94">
        <f t="shared" si="5"/>
        <v>1739380.4445925853</v>
      </c>
      <c r="D104" s="101">
        <f>+D103</f>
        <v>551343.5833333334</v>
      </c>
      <c r="E104" s="101"/>
      <c r="F104" s="101">
        <v>-561423</v>
      </c>
      <c r="G104" s="95">
        <f t="shared" si="16"/>
        <v>1729301.0279259188</v>
      </c>
      <c r="H104" s="92">
        <v>28</v>
      </c>
      <c r="I104" s="93">
        <v>0.07</v>
      </c>
      <c r="J104" s="95">
        <f t="shared" si="6"/>
        <v>9340.234716168405</v>
      </c>
      <c r="K104" s="95">
        <f t="shared" si="7"/>
        <v>524537.8935338442</v>
      </c>
      <c r="L104" s="95">
        <f t="shared" si="17"/>
        <v>2253838.921459763</v>
      </c>
    </row>
    <row r="105" spans="2:12" ht="12.75">
      <c r="B105" s="90">
        <v>38412</v>
      </c>
      <c r="C105" s="94">
        <f t="shared" si="5"/>
        <v>1729301.0279259188</v>
      </c>
      <c r="D105" s="101">
        <f>+D104</f>
        <v>551343.5833333334</v>
      </c>
      <c r="E105" s="101"/>
      <c r="F105" s="101">
        <v>-595186</v>
      </c>
      <c r="G105" s="95">
        <f t="shared" si="16"/>
        <v>1685458.6112592523</v>
      </c>
      <c r="H105" s="92">
        <v>31</v>
      </c>
      <c r="I105" s="93">
        <v>0.07</v>
      </c>
      <c r="J105" s="95">
        <f t="shared" si="6"/>
        <v>10281.049946847244</v>
      </c>
      <c r="K105" s="95">
        <f t="shared" si="7"/>
        <v>534818.9434806914</v>
      </c>
      <c r="L105" s="95">
        <f t="shared" si="17"/>
        <v>2220277.5547399437</v>
      </c>
    </row>
    <row r="106" spans="2:12" ht="12.75">
      <c r="B106" s="90">
        <v>38443</v>
      </c>
      <c r="C106" s="94">
        <f t="shared" si="5"/>
        <v>1685458.6112592523</v>
      </c>
      <c r="D106" s="101">
        <f>+E35</f>
        <v>471002.4166666667</v>
      </c>
      <c r="E106" s="101"/>
      <c r="F106" s="101">
        <v>-514215</v>
      </c>
      <c r="G106" s="95">
        <f t="shared" si="16"/>
        <v>1642246.0279259188</v>
      </c>
      <c r="H106" s="92">
        <v>30</v>
      </c>
      <c r="I106" s="93">
        <v>0.07</v>
      </c>
      <c r="J106" s="95">
        <f t="shared" si="6"/>
        <v>9697.159133272411</v>
      </c>
      <c r="K106" s="95">
        <f t="shared" si="7"/>
        <v>544516.1026139638</v>
      </c>
      <c r="L106" s="95">
        <f t="shared" si="17"/>
        <v>2186762.1305398825</v>
      </c>
    </row>
    <row r="107" spans="2:12" ht="12.75">
      <c r="B107" s="90">
        <v>38473</v>
      </c>
      <c r="C107" s="94">
        <f t="shared" si="5"/>
        <v>1642246.0279259188</v>
      </c>
      <c r="D107" s="101">
        <f>+D106</f>
        <v>471002.4166666667</v>
      </c>
      <c r="E107" s="101"/>
      <c r="F107" s="101">
        <v>-437526</v>
      </c>
      <c r="G107" s="95">
        <f t="shared" si="16"/>
        <v>1675722.4445925853</v>
      </c>
      <c r="H107" s="92">
        <v>31</v>
      </c>
      <c r="I107" s="93">
        <v>0.07</v>
      </c>
      <c r="J107" s="95">
        <f t="shared" si="6"/>
        <v>9763.490083833547</v>
      </c>
      <c r="K107" s="95">
        <f t="shared" si="7"/>
        <v>554279.5926977973</v>
      </c>
      <c r="L107" s="95">
        <f t="shared" si="17"/>
        <v>2230002.0372903827</v>
      </c>
    </row>
    <row r="108" spans="2:12" ht="12.75">
      <c r="B108" s="90">
        <v>38504</v>
      </c>
      <c r="C108" s="94">
        <f t="shared" si="5"/>
        <v>1675722.4445925853</v>
      </c>
      <c r="D108" s="101">
        <f aca="true" t="shared" si="18" ref="D108:D113">+D107</f>
        <v>471002.4166666667</v>
      </c>
      <c r="E108" s="95">
        <f>+'True Up Variance Adjustments'!F27+'True Up Variance Adjustments'!F41</f>
        <v>-1033624.3735384615</v>
      </c>
      <c r="F108" s="101">
        <v>-415078</v>
      </c>
      <c r="G108" s="95">
        <f t="shared" si="16"/>
        <v>698022.4877207903</v>
      </c>
      <c r="H108" s="92">
        <v>30</v>
      </c>
      <c r="I108" s="93">
        <v>0.07</v>
      </c>
      <c r="J108" s="95">
        <f t="shared" si="6"/>
        <v>9641.142831902547</v>
      </c>
      <c r="K108" s="95">
        <f t="shared" si="7"/>
        <v>563920.7355297</v>
      </c>
      <c r="L108" s="95">
        <f t="shared" si="17"/>
        <v>1261943.2232504901</v>
      </c>
    </row>
    <row r="109" spans="2:12" ht="12.75">
      <c r="B109" s="90">
        <v>38534</v>
      </c>
      <c r="C109" s="94">
        <f t="shared" si="5"/>
        <v>698022.4877207903</v>
      </c>
      <c r="D109" s="101">
        <f t="shared" si="18"/>
        <v>471002.4166666667</v>
      </c>
      <c r="E109" s="101"/>
      <c r="F109" s="101">
        <v>-513739</v>
      </c>
      <c r="G109" s="95">
        <f t="shared" si="16"/>
        <v>655285.9043874571</v>
      </c>
      <c r="H109" s="92">
        <v>31</v>
      </c>
      <c r="I109" s="93">
        <v>0.07</v>
      </c>
      <c r="J109" s="95">
        <f t="shared" si="6"/>
        <v>4149.887118778398</v>
      </c>
      <c r="K109" s="95">
        <f t="shared" si="7"/>
        <v>568070.6226484784</v>
      </c>
      <c r="L109" s="95">
        <f t="shared" si="17"/>
        <v>1223356.5270359353</v>
      </c>
    </row>
    <row r="110" spans="2:12" ht="12.75">
      <c r="B110" s="90">
        <v>38565</v>
      </c>
      <c r="C110" s="94">
        <f t="shared" si="5"/>
        <v>655285.9043874571</v>
      </c>
      <c r="D110" s="101">
        <f t="shared" si="18"/>
        <v>471002.4166666667</v>
      </c>
      <c r="E110" s="101"/>
      <c r="F110" s="101">
        <v>-617654</v>
      </c>
      <c r="G110" s="95">
        <f t="shared" si="16"/>
        <v>508634.3210541238</v>
      </c>
      <c r="H110" s="92">
        <v>31</v>
      </c>
      <c r="I110" s="93">
        <v>0.07</v>
      </c>
      <c r="J110" s="95">
        <f t="shared" si="6"/>
        <v>3895.8093493720053</v>
      </c>
      <c r="K110" s="95">
        <f t="shared" si="7"/>
        <v>571966.4319978504</v>
      </c>
      <c r="L110" s="95">
        <f t="shared" si="17"/>
        <v>1080600.7530519743</v>
      </c>
    </row>
    <row r="111" spans="2:12" ht="12.75">
      <c r="B111" s="90">
        <v>38596</v>
      </c>
      <c r="C111" s="94">
        <f t="shared" si="5"/>
        <v>508634.3210541238</v>
      </c>
      <c r="D111" s="101">
        <f t="shared" si="18"/>
        <v>471002.4166666667</v>
      </c>
      <c r="E111" s="101"/>
      <c r="F111" s="101">
        <v>-525193</v>
      </c>
      <c r="G111" s="95">
        <f t="shared" si="16"/>
        <v>454443.73772079055</v>
      </c>
      <c r="H111" s="92">
        <v>30</v>
      </c>
      <c r="I111" s="93">
        <v>0.07</v>
      </c>
      <c r="J111" s="95">
        <f t="shared" si="6"/>
        <v>2926.3892444209864</v>
      </c>
      <c r="K111" s="95">
        <f t="shared" si="7"/>
        <v>574892.8212422715</v>
      </c>
      <c r="L111" s="95">
        <f t="shared" si="17"/>
        <v>1029336.558963062</v>
      </c>
    </row>
    <row r="112" spans="2:12" ht="12.75">
      <c r="B112" s="90">
        <v>38626</v>
      </c>
      <c r="C112" s="94">
        <f t="shared" si="5"/>
        <v>454443.73772079055</v>
      </c>
      <c r="D112" s="101">
        <f t="shared" si="18"/>
        <v>471002.4166666667</v>
      </c>
      <c r="E112" s="101"/>
      <c r="F112" s="101">
        <v>-483134</v>
      </c>
      <c r="G112" s="95">
        <f t="shared" si="16"/>
        <v>442312.1543874573</v>
      </c>
      <c r="H112" s="92">
        <v>31</v>
      </c>
      <c r="I112" s="93">
        <v>0.07</v>
      </c>
      <c r="J112" s="95">
        <f t="shared" si="6"/>
        <v>2701.7613996003165</v>
      </c>
      <c r="K112" s="95">
        <f t="shared" si="7"/>
        <v>577594.5826418718</v>
      </c>
      <c r="L112" s="95">
        <f t="shared" si="17"/>
        <v>1019906.7370293291</v>
      </c>
    </row>
    <row r="113" spans="2:12" ht="12.75">
      <c r="B113" s="90">
        <v>38657</v>
      </c>
      <c r="C113" s="94">
        <f t="shared" si="5"/>
        <v>442312.1543874573</v>
      </c>
      <c r="D113" s="101">
        <f t="shared" si="18"/>
        <v>471002.4166666667</v>
      </c>
      <c r="E113" s="101"/>
      <c r="F113" s="101">
        <v>-428123</v>
      </c>
      <c r="G113" s="95">
        <f t="shared" si="16"/>
        <v>485191.57105412404</v>
      </c>
      <c r="H113" s="92">
        <v>30</v>
      </c>
      <c r="I113" s="93">
        <v>0.07</v>
      </c>
      <c r="J113" s="95">
        <f t="shared" si="6"/>
        <v>2544.8096553798914</v>
      </c>
      <c r="K113" s="95">
        <f t="shared" si="7"/>
        <v>580139.3922972516</v>
      </c>
      <c r="L113" s="95">
        <f t="shared" si="17"/>
        <v>1065330.9633513757</v>
      </c>
    </row>
    <row r="114" spans="2:12" ht="12.75">
      <c r="B114" s="96">
        <v>38687</v>
      </c>
      <c r="C114" s="97">
        <f t="shared" si="5"/>
        <v>485191.57105412404</v>
      </c>
      <c r="D114" s="102">
        <f>+D113</f>
        <v>471002.4166666667</v>
      </c>
      <c r="E114" s="102"/>
      <c r="F114" s="102">
        <v>-433633</v>
      </c>
      <c r="G114" s="98">
        <f t="shared" si="16"/>
        <v>522560.9877207908</v>
      </c>
      <c r="H114" s="99">
        <v>31</v>
      </c>
      <c r="I114" s="100">
        <v>0.07</v>
      </c>
      <c r="J114" s="98">
        <f t="shared" si="6"/>
        <v>2884.5635868149293</v>
      </c>
      <c r="K114" s="98">
        <f t="shared" si="7"/>
        <v>583023.9558840665</v>
      </c>
      <c r="L114" s="98">
        <f t="shared" si="17"/>
        <v>1105584.9436048572</v>
      </c>
    </row>
    <row r="115" spans="2:12" ht="13.5" thickBot="1">
      <c r="B115" s="124"/>
      <c r="C115" s="125"/>
      <c r="D115" s="126"/>
      <c r="E115" s="126"/>
      <c r="F115" s="126"/>
      <c r="G115" s="127"/>
      <c r="H115" s="128"/>
      <c r="I115" s="129"/>
      <c r="J115" s="127"/>
      <c r="K115" s="127"/>
      <c r="L115" s="127"/>
    </row>
    <row r="117" ht="13.5" thickBot="1">
      <c r="B117" s="213" t="s">
        <v>255</v>
      </c>
    </row>
    <row r="118" spans="2:12" ht="45.75" thickBot="1">
      <c r="B118" s="117" t="s">
        <v>1</v>
      </c>
      <c r="C118" s="87" t="s">
        <v>88</v>
      </c>
      <c r="D118" s="87" t="s">
        <v>3</v>
      </c>
      <c r="E118" s="87" t="s">
        <v>4</v>
      </c>
      <c r="F118" s="87" t="s">
        <v>5</v>
      </c>
      <c r="G118" s="87" t="s">
        <v>89</v>
      </c>
      <c r="H118" s="87" t="s">
        <v>71</v>
      </c>
      <c r="I118" s="87" t="s">
        <v>72</v>
      </c>
      <c r="J118" s="87" t="s">
        <v>73</v>
      </c>
      <c r="K118" s="87" t="s">
        <v>6</v>
      </c>
      <c r="L118" s="87" t="s">
        <v>29</v>
      </c>
    </row>
    <row r="119" spans="2:12" ht="12.75">
      <c r="B119" s="118"/>
      <c r="C119" s="119"/>
      <c r="D119" s="120"/>
      <c r="E119" s="120"/>
      <c r="F119" s="120"/>
      <c r="G119" s="121"/>
      <c r="H119" s="122"/>
      <c r="I119" s="123"/>
      <c r="J119" s="121"/>
      <c r="K119" s="121"/>
      <c r="L119" s="121"/>
    </row>
    <row r="120" spans="2:12" ht="12.75">
      <c r="B120" s="90">
        <v>38718</v>
      </c>
      <c r="C120" s="94">
        <f>+G114</f>
        <v>522560.9877207908</v>
      </c>
      <c r="D120" s="101">
        <f>+E36</f>
        <v>455518.1666666667</v>
      </c>
      <c r="E120" s="101">
        <v>0</v>
      </c>
      <c r="F120" s="101">
        <v>-537412</v>
      </c>
      <c r="G120" s="95">
        <f aca="true" t="shared" si="19" ref="G120:G125">SUM(C120:F120)</f>
        <v>440667.1543874575</v>
      </c>
      <c r="H120" s="92">
        <v>31</v>
      </c>
      <c r="I120" s="93">
        <v>0.07</v>
      </c>
      <c r="J120" s="95">
        <f t="shared" si="6"/>
        <v>3106.732447545523</v>
      </c>
      <c r="K120" s="95">
        <f>+K114+J120</f>
        <v>586130.688331612</v>
      </c>
      <c r="L120" s="95">
        <f aca="true" t="shared" si="20" ref="L120:L131">+G120+K120</f>
        <v>1026797.8427190696</v>
      </c>
    </row>
    <row r="121" spans="2:12" ht="12.75">
      <c r="B121" s="90">
        <v>38749</v>
      </c>
      <c r="C121" s="94">
        <f t="shared" si="5"/>
        <v>440667.1543874575</v>
      </c>
      <c r="D121" s="101">
        <f>+D120</f>
        <v>455518.1666666667</v>
      </c>
      <c r="E121" s="101"/>
      <c r="F121" s="101">
        <v>-460825</v>
      </c>
      <c r="G121" s="95">
        <f t="shared" si="19"/>
        <v>435360.3210541243</v>
      </c>
      <c r="H121" s="92">
        <v>28</v>
      </c>
      <c r="I121" s="93">
        <v>0.07</v>
      </c>
      <c r="J121" s="95">
        <f t="shared" si="6"/>
        <v>2366.3222536970325</v>
      </c>
      <c r="K121" s="95">
        <f t="shared" si="7"/>
        <v>588497.0105853091</v>
      </c>
      <c r="L121" s="95">
        <f t="shared" si="20"/>
        <v>1023857.3316394334</v>
      </c>
    </row>
    <row r="122" spans="2:12" ht="12.75">
      <c r="B122" s="90">
        <v>38777</v>
      </c>
      <c r="C122" s="94">
        <f t="shared" si="5"/>
        <v>435360.3210541243</v>
      </c>
      <c r="D122" s="101">
        <f>+D121</f>
        <v>455518.1666666667</v>
      </c>
      <c r="E122" s="101"/>
      <c r="F122" s="101">
        <v>-507952</v>
      </c>
      <c r="G122" s="95">
        <f t="shared" si="19"/>
        <v>382926.487720791</v>
      </c>
      <c r="H122" s="92">
        <v>31</v>
      </c>
      <c r="I122" s="93">
        <v>0.07</v>
      </c>
      <c r="J122" s="95">
        <f t="shared" si="6"/>
        <v>2588.3065662669856</v>
      </c>
      <c r="K122" s="95">
        <f t="shared" si="7"/>
        <v>591085.3171515762</v>
      </c>
      <c r="L122" s="95">
        <f t="shared" si="20"/>
        <v>974011.8048723672</v>
      </c>
    </row>
    <row r="123" spans="2:12" ht="12.75">
      <c r="B123" s="90">
        <v>38808</v>
      </c>
      <c r="C123" s="94">
        <f t="shared" si="5"/>
        <v>382926.487720791</v>
      </c>
      <c r="D123" s="101">
        <f>+D122</f>
        <v>455518.1666666667</v>
      </c>
      <c r="E123" s="101"/>
      <c r="F123" s="101">
        <v>-404212</v>
      </c>
      <c r="G123" s="95">
        <f t="shared" si="19"/>
        <v>434232.65438745776</v>
      </c>
      <c r="H123" s="92">
        <v>30</v>
      </c>
      <c r="I123" s="93">
        <v>0.07</v>
      </c>
      <c r="J123" s="95">
        <f t="shared" si="6"/>
        <v>2203.138696475784</v>
      </c>
      <c r="K123" s="95">
        <f t="shared" si="7"/>
        <v>593288.4558480519</v>
      </c>
      <c r="L123" s="95">
        <f t="shared" si="20"/>
        <v>1027521.1102355097</v>
      </c>
    </row>
    <row r="124" spans="2:12" ht="12.75">
      <c r="B124" s="90">
        <v>38838</v>
      </c>
      <c r="C124" s="94">
        <f t="shared" si="5"/>
        <v>434232.65438745776</v>
      </c>
      <c r="D124" s="101">
        <v>0</v>
      </c>
      <c r="E124" s="101"/>
      <c r="F124" s="101">
        <v>-442264</v>
      </c>
      <c r="G124" s="95">
        <f t="shared" si="19"/>
        <v>-8031.345612542238</v>
      </c>
      <c r="H124" s="92">
        <v>31</v>
      </c>
      <c r="I124" s="93">
        <v>0.0414</v>
      </c>
      <c r="J124" s="95">
        <f t="shared" si="6"/>
        <v>1526.8333935366118</v>
      </c>
      <c r="K124" s="95">
        <f t="shared" si="7"/>
        <v>594815.2892415886</v>
      </c>
      <c r="L124" s="95">
        <f t="shared" si="20"/>
        <v>586783.9436290463</v>
      </c>
    </row>
    <row r="125" spans="2:12" ht="12.75">
      <c r="B125" s="90">
        <v>38869</v>
      </c>
      <c r="C125" s="94">
        <f t="shared" si="5"/>
        <v>-8031.345612542238</v>
      </c>
      <c r="D125" s="101">
        <v>0</v>
      </c>
      <c r="E125" s="101">
        <f>+'True Up Variance Adjustments'!G27+'True Up Variance Adjustments'!G41</f>
        <v>-151568.41107692308</v>
      </c>
      <c r="F125" s="101">
        <v>-61301</v>
      </c>
      <c r="G125" s="95">
        <f t="shared" si="19"/>
        <v>-220900.7566894653</v>
      </c>
      <c r="H125" s="92">
        <v>30</v>
      </c>
      <c r="I125" s="93">
        <v>0.0414</v>
      </c>
      <c r="J125" s="95">
        <f t="shared" si="6"/>
        <v>-27.328578769253312</v>
      </c>
      <c r="K125" s="95">
        <f t="shared" si="7"/>
        <v>594787.9606628193</v>
      </c>
      <c r="L125" s="95">
        <f t="shared" si="20"/>
        <v>373887.203973354</v>
      </c>
    </row>
    <row r="126" spans="2:12" ht="12.75">
      <c r="B126" s="90">
        <v>38899</v>
      </c>
      <c r="C126" s="94">
        <f t="shared" si="5"/>
        <v>-220900.7566894653</v>
      </c>
      <c r="D126" s="101">
        <v>0</v>
      </c>
      <c r="E126" s="101">
        <v>0</v>
      </c>
      <c r="F126" s="101">
        <v>-317</v>
      </c>
      <c r="G126" s="95">
        <f aca="true" t="shared" si="21" ref="G126:G131">SUM(C126:F126)</f>
        <v>-221217.7566894653</v>
      </c>
      <c r="H126" s="92">
        <v>31</v>
      </c>
      <c r="I126" s="93">
        <v>0.0459</v>
      </c>
      <c r="J126" s="95">
        <f t="shared" si="6"/>
        <v>-861.1498265573704</v>
      </c>
      <c r="K126" s="95">
        <f t="shared" si="7"/>
        <v>593926.810836262</v>
      </c>
      <c r="L126" s="95">
        <f t="shared" si="20"/>
        <v>372709.05414679664</v>
      </c>
    </row>
    <row r="127" spans="2:12" ht="12.75">
      <c r="B127" s="90">
        <v>38930</v>
      </c>
      <c r="C127" s="94">
        <f t="shared" si="5"/>
        <v>-221217.7566894653</v>
      </c>
      <c r="D127" s="101">
        <v>0</v>
      </c>
      <c r="E127" s="101">
        <v>0</v>
      </c>
      <c r="F127" s="101">
        <v>-149</v>
      </c>
      <c r="G127" s="95">
        <f t="shared" si="21"/>
        <v>-221366.7566894653</v>
      </c>
      <c r="H127" s="92">
        <v>31</v>
      </c>
      <c r="I127" s="93">
        <v>0.0459</v>
      </c>
      <c r="J127" s="95">
        <f t="shared" si="6"/>
        <v>-862.38560546148</v>
      </c>
      <c r="K127" s="95">
        <f t="shared" si="7"/>
        <v>593064.4252308005</v>
      </c>
      <c r="L127" s="95">
        <f t="shared" si="20"/>
        <v>371697.6685413352</v>
      </c>
    </row>
    <row r="128" spans="2:12" ht="12.75">
      <c r="B128" s="90">
        <v>38961</v>
      </c>
      <c r="C128" s="94">
        <f t="shared" si="5"/>
        <v>-221366.7566894653</v>
      </c>
      <c r="D128" s="101">
        <v>0</v>
      </c>
      <c r="E128" s="101">
        <v>0</v>
      </c>
      <c r="F128" s="101">
        <v>-143</v>
      </c>
      <c r="G128" s="95">
        <f t="shared" si="21"/>
        <v>-221509.7566894653</v>
      </c>
      <c r="H128" s="92">
        <v>30</v>
      </c>
      <c r="I128" s="93">
        <v>0.0459</v>
      </c>
      <c r="J128" s="95">
        <f t="shared" si="6"/>
        <v>-835.1288327709418</v>
      </c>
      <c r="K128" s="95">
        <f t="shared" si="7"/>
        <v>592229.2963980295</v>
      </c>
      <c r="L128" s="95">
        <f t="shared" si="20"/>
        <v>370719.53970856423</v>
      </c>
    </row>
    <row r="129" spans="2:12" ht="12.75">
      <c r="B129" s="90">
        <v>38991</v>
      </c>
      <c r="C129" s="94">
        <f t="shared" si="5"/>
        <v>-221509.7566894653</v>
      </c>
      <c r="D129" s="101">
        <v>0</v>
      </c>
      <c r="E129" s="101">
        <v>0</v>
      </c>
      <c r="F129" s="101">
        <v>-257</v>
      </c>
      <c r="G129" s="95">
        <f t="shared" si="21"/>
        <v>-221766.7566894653</v>
      </c>
      <c r="H129" s="92">
        <v>31</v>
      </c>
      <c r="I129" s="93">
        <v>0.0459</v>
      </c>
      <c r="J129" s="95">
        <f t="shared" si="6"/>
        <v>-863.5239254614801</v>
      </c>
      <c r="K129" s="95">
        <f t="shared" si="7"/>
        <v>591365.7724725681</v>
      </c>
      <c r="L129" s="95">
        <f t="shared" si="20"/>
        <v>369599.0157831028</v>
      </c>
    </row>
    <row r="130" spans="2:13" ht="12.75">
      <c r="B130" s="90">
        <v>39022</v>
      </c>
      <c r="C130" s="94">
        <f t="shared" si="5"/>
        <v>-221766.7566894653</v>
      </c>
      <c r="D130" s="101">
        <v>0</v>
      </c>
      <c r="E130" s="101">
        <v>0</v>
      </c>
      <c r="F130" s="101">
        <v>-1283</v>
      </c>
      <c r="G130" s="95">
        <f t="shared" si="21"/>
        <v>-223049.7566894653</v>
      </c>
      <c r="H130" s="92">
        <v>30</v>
      </c>
      <c r="I130" s="93">
        <v>0.0459</v>
      </c>
      <c r="J130" s="95">
        <f t="shared" si="6"/>
        <v>-836.6378738668323</v>
      </c>
      <c r="K130" s="95">
        <f t="shared" si="7"/>
        <v>590529.1345987013</v>
      </c>
      <c r="L130" s="95">
        <f t="shared" si="20"/>
        <v>367479.37790923595</v>
      </c>
      <c r="M130" s="23" t="s">
        <v>0</v>
      </c>
    </row>
    <row r="131" spans="2:12" ht="12.75">
      <c r="B131" s="96">
        <v>39052</v>
      </c>
      <c r="C131" s="97">
        <f t="shared" si="5"/>
        <v>-223049.7566894653</v>
      </c>
      <c r="D131" s="102">
        <v>0</v>
      </c>
      <c r="E131" s="102">
        <v>0</v>
      </c>
      <c r="F131" s="102">
        <v>-183</v>
      </c>
      <c r="G131" s="98">
        <f t="shared" si="21"/>
        <v>-223232.7566894653</v>
      </c>
      <c r="H131" s="99">
        <v>31</v>
      </c>
      <c r="I131" s="100">
        <v>0.0459</v>
      </c>
      <c r="J131" s="98">
        <f t="shared" si="6"/>
        <v>-869.5273939546307</v>
      </c>
      <c r="K131" s="98">
        <f t="shared" si="7"/>
        <v>589659.6072047467</v>
      </c>
      <c r="L131" s="98">
        <f t="shared" si="20"/>
        <v>366426.8505152814</v>
      </c>
    </row>
    <row r="132" spans="2:15" ht="12.75">
      <c r="B132" s="90">
        <v>39083</v>
      </c>
      <c r="C132" s="94">
        <f aca="true" t="shared" si="22" ref="C132:C137">+G131</f>
        <v>-223232.7566894653</v>
      </c>
      <c r="D132" s="101">
        <v>0</v>
      </c>
      <c r="E132" s="101">
        <v>0</v>
      </c>
      <c r="F132" s="101">
        <v>0</v>
      </c>
      <c r="G132" s="95">
        <f aca="true" t="shared" si="23" ref="G132:G137">SUM(C132:F132)</f>
        <v>-223232.7566894653</v>
      </c>
      <c r="H132" s="92">
        <v>31</v>
      </c>
      <c r="I132" s="93">
        <v>0.0459</v>
      </c>
      <c r="J132" s="95">
        <f aca="true" t="shared" si="24" ref="J132:J137">SUM(C132*I132*H132/365)</f>
        <v>-870.240793132713</v>
      </c>
      <c r="K132" s="95">
        <f aca="true" t="shared" si="25" ref="K132:K137">+K131+J132</f>
        <v>588789.366411614</v>
      </c>
      <c r="L132" s="95">
        <f aca="true" t="shared" si="26" ref="L132:L137">+G132+K132</f>
        <v>365556.6097221487</v>
      </c>
      <c r="O132" s="23" t="s">
        <v>0</v>
      </c>
    </row>
    <row r="133" spans="2:12" ht="12.75">
      <c r="B133" s="90">
        <v>39114</v>
      </c>
      <c r="C133" s="94">
        <f t="shared" si="22"/>
        <v>-223232.7566894653</v>
      </c>
      <c r="D133" s="101">
        <v>0</v>
      </c>
      <c r="E133" s="101">
        <v>0</v>
      </c>
      <c r="F133" s="101">
        <v>0</v>
      </c>
      <c r="G133" s="95">
        <f t="shared" si="23"/>
        <v>-223232.7566894653</v>
      </c>
      <c r="H133" s="92">
        <v>28</v>
      </c>
      <c r="I133" s="93">
        <v>0.0459</v>
      </c>
      <c r="J133" s="95">
        <f t="shared" si="24"/>
        <v>-786.0239421843859</v>
      </c>
      <c r="K133" s="95">
        <f t="shared" si="25"/>
        <v>588003.3424694296</v>
      </c>
      <c r="L133" s="95">
        <f t="shared" si="26"/>
        <v>364770.5857799643</v>
      </c>
    </row>
    <row r="134" spans="2:12" ht="12.75">
      <c r="B134" s="90">
        <v>39142</v>
      </c>
      <c r="C134" s="94">
        <f t="shared" si="22"/>
        <v>-223232.7566894653</v>
      </c>
      <c r="D134" s="101">
        <v>0</v>
      </c>
      <c r="E134" s="101">
        <v>0</v>
      </c>
      <c r="F134" s="101">
        <v>0</v>
      </c>
      <c r="G134" s="95">
        <f t="shared" si="23"/>
        <v>-223232.7566894653</v>
      </c>
      <c r="H134" s="92">
        <v>31</v>
      </c>
      <c r="I134" s="93">
        <v>0.0459</v>
      </c>
      <c r="J134" s="95">
        <f t="shared" si="24"/>
        <v>-870.240793132713</v>
      </c>
      <c r="K134" s="95">
        <f t="shared" si="25"/>
        <v>587133.1016762969</v>
      </c>
      <c r="L134" s="95">
        <f t="shared" si="26"/>
        <v>363900.3449868316</v>
      </c>
    </row>
    <row r="135" spans="2:12" ht="12.75">
      <c r="B135" s="90">
        <v>39173</v>
      </c>
      <c r="C135" s="94">
        <f t="shared" si="22"/>
        <v>-223232.7566894653</v>
      </c>
      <c r="D135" s="101">
        <v>0</v>
      </c>
      <c r="E135" s="101">
        <v>0</v>
      </c>
      <c r="F135" s="101">
        <v>0</v>
      </c>
      <c r="G135" s="95">
        <f t="shared" si="23"/>
        <v>-223232.7566894653</v>
      </c>
      <c r="H135" s="92">
        <v>30</v>
      </c>
      <c r="I135" s="93">
        <v>0.0459</v>
      </c>
      <c r="J135" s="95">
        <f t="shared" si="24"/>
        <v>-842.1685094832706</v>
      </c>
      <c r="K135" s="95">
        <f t="shared" si="25"/>
        <v>586290.9331668137</v>
      </c>
      <c r="L135" s="95">
        <f t="shared" si="26"/>
        <v>363058.1764773484</v>
      </c>
    </row>
    <row r="136" spans="2:12" ht="12.75">
      <c r="B136" s="90">
        <v>39203</v>
      </c>
      <c r="C136" s="94">
        <f t="shared" si="22"/>
        <v>-223232.7566894653</v>
      </c>
      <c r="D136" s="101">
        <v>0</v>
      </c>
      <c r="E136" s="101">
        <v>0</v>
      </c>
      <c r="F136" s="101">
        <v>0</v>
      </c>
      <c r="G136" s="95">
        <f t="shared" si="23"/>
        <v>-223232.7566894653</v>
      </c>
      <c r="H136" s="92">
        <v>31</v>
      </c>
      <c r="I136" s="93">
        <v>0.0459</v>
      </c>
      <c r="J136" s="95">
        <f t="shared" si="24"/>
        <v>-870.240793132713</v>
      </c>
      <c r="K136" s="95">
        <f t="shared" si="25"/>
        <v>585420.692373681</v>
      </c>
      <c r="L136" s="95">
        <f t="shared" si="26"/>
        <v>362187.9356842157</v>
      </c>
    </row>
    <row r="137" spans="2:12" ht="12.75">
      <c r="B137" s="90">
        <v>39234</v>
      </c>
      <c r="C137" s="94">
        <f t="shared" si="22"/>
        <v>-223232.7566894653</v>
      </c>
      <c r="D137" s="101">
        <v>0</v>
      </c>
      <c r="E137" s="101">
        <v>0</v>
      </c>
      <c r="F137" s="101">
        <v>0</v>
      </c>
      <c r="G137" s="95">
        <f t="shared" si="23"/>
        <v>-223232.7566894653</v>
      </c>
      <c r="H137" s="92">
        <v>30</v>
      </c>
      <c r="I137" s="93">
        <v>0.0459</v>
      </c>
      <c r="J137" s="95">
        <f t="shared" si="24"/>
        <v>-842.1685094832706</v>
      </c>
      <c r="K137" s="95">
        <f t="shared" si="25"/>
        <v>584578.5238641978</v>
      </c>
      <c r="L137" s="95">
        <f t="shared" si="26"/>
        <v>361345.76717473246</v>
      </c>
    </row>
    <row r="138" spans="2:12" ht="12.75">
      <c r="B138" s="90">
        <v>39264</v>
      </c>
      <c r="C138" s="94">
        <f aca="true" t="shared" si="27" ref="C138:C154">+G137</f>
        <v>-223232.7566894653</v>
      </c>
      <c r="D138" s="101">
        <v>0</v>
      </c>
      <c r="E138" s="101">
        <v>0</v>
      </c>
      <c r="F138" s="101">
        <v>0</v>
      </c>
      <c r="G138" s="95">
        <f aca="true" t="shared" si="28" ref="G138:G154">SUM(C138:F138)</f>
        <v>-223232.7566894653</v>
      </c>
      <c r="H138" s="92">
        <v>31</v>
      </c>
      <c r="I138" s="93">
        <v>0.0459</v>
      </c>
      <c r="J138" s="95">
        <f aca="true" t="shared" si="29" ref="J138:J154">SUM(C138*I138*H138/365)</f>
        <v>-870.240793132713</v>
      </c>
      <c r="K138" s="95">
        <f aca="true" t="shared" si="30" ref="K138:K154">+K137+J138</f>
        <v>583708.2830710651</v>
      </c>
      <c r="L138" s="95">
        <f aca="true" t="shared" si="31" ref="L138:L154">+G138+K138</f>
        <v>360475.5263815998</v>
      </c>
    </row>
    <row r="139" spans="2:12" ht="12.75">
      <c r="B139" s="90">
        <v>39295</v>
      </c>
      <c r="C139" s="94">
        <f t="shared" si="27"/>
        <v>-223232.7566894653</v>
      </c>
      <c r="D139" s="101">
        <v>0</v>
      </c>
      <c r="E139" s="101">
        <v>0</v>
      </c>
      <c r="F139" s="101">
        <v>0</v>
      </c>
      <c r="G139" s="95">
        <f t="shared" si="28"/>
        <v>-223232.7566894653</v>
      </c>
      <c r="H139" s="92">
        <v>31</v>
      </c>
      <c r="I139" s="93">
        <v>0.0459</v>
      </c>
      <c r="J139" s="95">
        <f t="shared" si="29"/>
        <v>-870.240793132713</v>
      </c>
      <c r="K139" s="95">
        <f t="shared" si="30"/>
        <v>582838.0422779324</v>
      </c>
      <c r="L139" s="95">
        <f t="shared" si="31"/>
        <v>359605.2855884671</v>
      </c>
    </row>
    <row r="140" spans="2:12" ht="12.75">
      <c r="B140" s="118">
        <v>39326</v>
      </c>
      <c r="C140" s="119">
        <f t="shared" si="27"/>
        <v>-223232.7566894653</v>
      </c>
      <c r="D140" s="120">
        <v>0</v>
      </c>
      <c r="E140" s="120">
        <v>0</v>
      </c>
      <c r="F140" s="120">
        <v>0</v>
      </c>
      <c r="G140" s="121">
        <f t="shared" si="28"/>
        <v>-223232.7566894653</v>
      </c>
      <c r="H140" s="122">
        <v>30</v>
      </c>
      <c r="I140" s="123">
        <v>0.0459</v>
      </c>
      <c r="J140" s="121">
        <f t="shared" si="29"/>
        <v>-842.1685094832706</v>
      </c>
      <c r="K140" s="121">
        <f t="shared" si="30"/>
        <v>581995.8737684492</v>
      </c>
      <c r="L140" s="121">
        <f t="shared" si="31"/>
        <v>358763.11707898387</v>
      </c>
    </row>
    <row r="141" spans="2:12" ht="12.75">
      <c r="B141" s="90">
        <v>39356</v>
      </c>
      <c r="C141" s="94">
        <f t="shared" si="27"/>
        <v>-223232.7566894653</v>
      </c>
      <c r="D141" s="101">
        <v>0</v>
      </c>
      <c r="E141" s="101">
        <v>0</v>
      </c>
      <c r="F141" s="101">
        <v>0</v>
      </c>
      <c r="G141" s="95">
        <f t="shared" si="28"/>
        <v>-223232.7566894653</v>
      </c>
      <c r="H141" s="92">
        <v>31</v>
      </c>
      <c r="I141" s="93">
        <v>0.0514</v>
      </c>
      <c r="J141" s="95">
        <f t="shared" si="29"/>
        <v>-974.5180123534084</v>
      </c>
      <c r="K141" s="95">
        <f t="shared" si="30"/>
        <v>581021.3557560957</v>
      </c>
      <c r="L141" s="95">
        <f t="shared" si="31"/>
        <v>357788.5990666304</v>
      </c>
    </row>
    <row r="142" spans="2:12" ht="12.75">
      <c r="B142" s="90">
        <v>39387</v>
      </c>
      <c r="C142" s="94">
        <f t="shared" si="27"/>
        <v>-223232.7566894653</v>
      </c>
      <c r="D142" s="101">
        <v>0</v>
      </c>
      <c r="E142" s="101">
        <v>0</v>
      </c>
      <c r="F142" s="101">
        <v>0</v>
      </c>
      <c r="G142" s="95">
        <f t="shared" si="28"/>
        <v>-223232.7566894653</v>
      </c>
      <c r="H142" s="92">
        <v>30</v>
      </c>
      <c r="I142" s="93">
        <v>0.0514</v>
      </c>
      <c r="J142" s="95">
        <f t="shared" si="29"/>
        <v>-943.0819474387823</v>
      </c>
      <c r="K142" s="95">
        <f t="shared" si="30"/>
        <v>580078.273808657</v>
      </c>
      <c r="L142" s="95">
        <f t="shared" si="31"/>
        <v>356845.51711919165</v>
      </c>
    </row>
    <row r="143" spans="2:12" ht="12.75">
      <c r="B143" s="96">
        <v>39417</v>
      </c>
      <c r="C143" s="103">
        <f t="shared" si="27"/>
        <v>-223232.7566894653</v>
      </c>
      <c r="D143" s="104">
        <v>0</v>
      </c>
      <c r="E143" s="104">
        <v>0</v>
      </c>
      <c r="F143" s="104">
        <v>0</v>
      </c>
      <c r="G143" s="105">
        <f t="shared" si="28"/>
        <v>-223232.7566894653</v>
      </c>
      <c r="H143" s="106">
        <v>31</v>
      </c>
      <c r="I143" s="107">
        <v>0.0514</v>
      </c>
      <c r="J143" s="105">
        <f t="shared" si="29"/>
        <v>-974.5180123534084</v>
      </c>
      <c r="K143" s="105">
        <f t="shared" si="30"/>
        <v>579103.7557963035</v>
      </c>
      <c r="L143" s="105">
        <f t="shared" si="31"/>
        <v>355870.9991068382</v>
      </c>
    </row>
    <row r="144" spans="2:12" ht="13.5" thickBot="1">
      <c r="B144" s="124"/>
      <c r="C144" s="125"/>
      <c r="D144" s="126"/>
      <c r="E144" s="126"/>
      <c r="F144" s="126"/>
      <c r="G144" s="127"/>
      <c r="H144" s="128"/>
      <c r="I144" s="129"/>
      <c r="J144" s="127"/>
      <c r="K144" s="127"/>
      <c r="L144" s="127"/>
    </row>
    <row r="146" ht="13.5" thickBot="1">
      <c r="B146" s="213" t="s">
        <v>256</v>
      </c>
    </row>
    <row r="147" spans="2:12" ht="45.75" thickBot="1">
      <c r="B147" s="117" t="s">
        <v>1</v>
      </c>
      <c r="C147" s="87" t="s">
        <v>88</v>
      </c>
      <c r="D147" s="87" t="s">
        <v>3</v>
      </c>
      <c r="E147" s="87" t="s">
        <v>4</v>
      </c>
      <c r="F147" s="87" t="s">
        <v>5</v>
      </c>
      <c r="G147" s="87" t="s">
        <v>89</v>
      </c>
      <c r="H147" s="87" t="s">
        <v>71</v>
      </c>
      <c r="I147" s="87" t="s">
        <v>72</v>
      </c>
      <c r="J147" s="87" t="s">
        <v>73</v>
      </c>
      <c r="K147" s="87" t="s">
        <v>6</v>
      </c>
      <c r="L147" s="87" t="s">
        <v>29</v>
      </c>
    </row>
    <row r="148" spans="2:12" ht="12.75">
      <c r="B148" s="118"/>
      <c r="C148" s="119"/>
      <c r="D148" s="120"/>
      <c r="E148" s="120"/>
      <c r="F148" s="120"/>
      <c r="G148" s="121"/>
      <c r="H148" s="122"/>
      <c r="I148" s="123"/>
      <c r="J148" s="121"/>
      <c r="K148" s="121"/>
      <c r="L148" s="121"/>
    </row>
    <row r="149" spans="2:12" ht="12.75">
      <c r="B149" s="90">
        <v>39448</v>
      </c>
      <c r="C149" s="94">
        <f>+G143</f>
        <v>-223232.7566894653</v>
      </c>
      <c r="D149" s="101">
        <v>0</v>
      </c>
      <c r="E149" s="101">
        <v>0</v>
      </c>
      <c r="F149" s="101">
        <v>0</v>
      </c>
      <c r="G149" s="95">
        <f t="shared" si="28"/>
        <v>-223232.7566894653</v>
      </c>
      <c r="H149" s="92">
        <v>31</v>
      </c>
      <c r="I149" s="93">
        <v>0.0514</v>
      </c>
      <c r="J149" s="95">
        <f t="shared" si="29"/>
        <v>-974.5180123534084</v>
      </c>
      <c r="K149" s="95">
        <f>+K143+J149</f>
        <v>578129.23778395</v>
      </c>
      <c r="L149" s="95">
        <f t="shared" si="31"/>
        <v>354896.48109448474</v>
      </c>
    </row>
    <row r="150" spans="2:12" ht="12.75">
      <c r="B150" s="90">
        <v>39479</v>
      </c>
      <c r="C150" s="94">
        <f t="shared" si="27"/>
        <v>-223232.7566894653</v>
      </c>
      <c r="D150" s="101">
        <v>0</v>
      </c>
      <c r="E150" s="101">
        <v>0</v>
      </c>
      <c r="F150" s="101">
        <v>0</v>
      </c>
      <c r="G150" s="95">
        <f t="shared" si="28"/>
        <v>-223232.7566894653</v>
      </c>
      <c r="H150" s="92">
        <v>28</v>
      </c>
      <c r="I150" s="93">
        <v>0.0514</v>
      </c>
      <c r="J150" s="95">
        <f t="shared" si="29"/>
        <v>-880.2098176095301</v>
      </c>
      <c r="K150" s="95">
        <f t="shared" si="30"/>
        <v>577249.0279663405</v>
      </c>
      <c r="L150" s="95">
        <f t="shared" si="31"/>
        <v>354016.2712768752</v>
      </c>
    </row>
    <row r="151" spans="2:12" ht="12.75">
      <c r="B151" s="90">
        <v>39508</v>
      </c>
      <c r="C151" s="94">
        <f t="shared" si="27"/>
        <v>-223232.7566894653</v>
      </c>
      <c r="D151" s="101">
        <v>0</v>
      </c>
      <c r="E151" s="101">
        <v>0</v>
      </c>
      <c r="F151" s="101">
        <v>0</v>
      </c>
      <c r="G151" s="95">
        <f t="shared" si="28"/>
        <v>-223232.7566894653</v>
      </c>
      <c r="H151" s="92">
        <v>31</v>
      </c>
      <c r="I151" s="93">
        <v>0.0514</v>
      </c>
      <c r="J151" s="95">
        <f t="shared" si="29"/>
        <v>-974.5180123534084</v>
      </c>
      <c r="K151" s="95">
        <f t="shared" si="30"/>
        <v>576274.5099539871</v>
      </c>
      <c r="L151" s="95">
        <f t="shared" si="31"/>
        <v>353041.7532645218</v>
      </c>
    </row>
    <row r="152" spans="2:12" ht="12.75">
      <c r="B152" s="90">
        <v>39539</v>
      </c>
      <c r="C152" s="94">
        <f t="shared" si="27"/>
        <v>-223232.7566894653</v>
      </c>
      <c r="D152" s="101">
        <v>0</v>
      </c>
      <c r="E152" s="101">
        <v>0</v>
      </c>
      <c r="F152" s="101">
        <v>0</v>
      </c>
      <c r="G152" s="95">
        <f t="shared" si="28"/>
        <v>-223232.7566894653</v>
      </c>
      <c r="H152" s="92">
        <v>30</v>
      </c>
      <c r="I152" s="93">
        <v>0.0408</v>
      </c>
      <c r="J152" s="95">
        <f t="shared" si="29"/>
        <v>-748.5942306517961</v>
      </c>
      <c r="K152" s="95">
        <f t="shared" si="30"/>
        <v>575525.9157233353</v>
      </c>
      <c r="L152" s="95">
        <f t="shared" si="31"/>
        <v>352293.15903387003</v>
      </c>
    </row>
    <row r="153" spans="2:12" ht="12.75">
      <c r="B153" s="90">
        <v>39569</v>
      </c>
      <c r="C153" s="94">
        <f t="shared" si="27"/>
        <v>-223232.7566894653</v>
      </c>
      <c r="D153" s="101">
        <v>0</v>
      </c>
      <c r="E153" s="101">
        <v>0</v>
      </c>
      <c r="F153" s="101">
        <v>0</v>
      </c>
      <c r="G153" s="95">
        <f t="shared" si="28"/>
        <v>-223232.7566894653</v>
      </c>
      <c r="H153" s="92">
        <v>31</v>
      </c>
      <c r="I153" s="93">
        <v>0.0408</v>
      </c>
      <c r="J153" s="95">
        <f t="shared" si="29"/>
        <v>-773.5473716735225</v>
      </c>
      <c r="K153" s="95">
        <f t="shared" si="30"/>
        <v>574752.3683516618</v>
      </c>
      <c r="L153" s="95">
        <f t="shared" si="31"/>
        <v>351519.6116621965</v>
      </c>
    </row>
    <row r="154" spans="2:12" ht="12.75">
      <c r="B154" s="90">
        <v>39600</v>
      </c>
      <c r="C154" s="94">
        <f t="shared" si="27"/>
        <v>-223232.7566894653</v>
      </c>
      <c r="D154" s="101">
        <v>0</v>
      </c>
      <c r="E154" s="101">
        <v>0</v>
      </c>
      <c r="F154" s="101">
        <v>0</v>
      </c>
      <c r="G154" s="95">
        <f t="shared" si="28"/>
        <v>-223232.7566894653</v>
      </c>
      <c r="H154" s="92">
        <v>30</v>
      </c>
      <c r="I154" s="93">
        <v>0.0408</v>
      </c>
      <c r="J154" s="95">
        <f t="shared" si="29"/>
        <v>-748.5942306517961</v>
      </c>
      <c r="K154" s="95">
        <f t="shared" si="30"/>
        <v>574003.7741210101</v>
      </c>
      <c r="L154" s="95">
        <f t="shared" si="31"/>
        <v>350771.0174315448</v>
      </c>
    </row>
    <row r="155" spans="2:12" ht="12.75">
      <c r="B155" s="90">
        <v>39630</v>
      </c>
      <c r="C155" s="94">
        <f aca="true" t="shared" si="32" ref="C155:C204">+G154</f>
        <v>-223232.7566894653</v>
      </c>
      <c r="D155" s="101">
        <v>0</v>
      </c>
      <c r="E155" s="101">
        <v>0</v>
      </c>
      <c r="F155" s="101">
        <v>0</v>
      </c>
      <c r="G155" s="95">
        <f aca="true" t="shared" si="33" ref="G155:G204">SUM(C155:F155)</f>
        <v>-223232.7566894653</v>
      </c>
      <c r="H155" s="92">
        <v>31</v>
      </c>
      <c r="I155" s="93">
        <v>0.0335</v>
      </c>
      <c r="J155" s="95">
        <f aca="true" t="shared" si="34" ref="J155:J195">SUM(C155*I155*H155/365)</f>
        <v>-635.143062526054</v>
      </c>
      <c r="K155" s="95">
        <f aca="true" t="shared" si="35" ref="K155:K195">+K154+J155</f>
        <v>573368.6310584841</v>
      </c>
      <c r="L155" s="95">
        <f aca="true" t="shared" si="36" ref="L155:L195">+G155+K155</f>
        <v>350135.87436901877</v>
      </c>
    </row>
    <row r="156" spans="2:12" ht="12.75">
      <c r="B156" s="90">
        <v>39661</v>
      </c>
      <c r="C156" s="94">
        <f t="shared" si="32"/>
        <v>-223232.7566894653</v>
      </c>
      <c r="D156" s="101">
        <v>0</v>
      </c>
      <c r="E156" s="101">
        <v>0</v>
      </c>
      <c r="F156" s="101">
        <v>0</v>
      </c>
      <c r="G156" s="95">
        <f t="shared" si="33"/>
        <v>-223232.7566894653</v>
      </c>
      <c r="H156" s="92">
        <v>31</v>
      </c>
      <c r="I156" s="93">
        <v>0.0335</v>
      </c>
      <c r="J156" s="95">
        <f t="shared" si="34"/>
        <v>-635.143062526054</v>
      </c>
      <c r="K156" s="95">
        <f t="shared" si="35"/>
        <v>572733.4879959581</v>
      </c>
      <c r="L156" s="95">
        <f t="shared" si="36"/>
        <v>349500.73130649276</v>
      </c>
    </row>
    <row r="157" spans="2:12" ht="12.75">
      <c r="B157" s="90">
        <v>39692</v>
      </c>
      <c r="C157" s="94">
        <f t="shared" si="32"/>
        <v>-223232.7566894653</v>
      </c>
      <c r="D157" s="101">
        <v>0</v>
      </c>
      <c r="E157" s="101">
        <v>0</v>
      </c>
      <c r="F157" s="101">
        <v>0</v>
      </c>
      <c r="G157" s="95">
        <f t="shared" si="33"/>
        <v>-223232.7566894653</v>
      </c>
      <c r="H157" s="92">
        <v>30</v>
      </c>
      <c r="I157" s="93">
        <v>0.0335</v>
      </c>
      <c r="J157" s="95">
        <f t="shared" si="34"/>
        <v>-614.6545766381169</v>
      </c>
      <c r="K157" s="95">
        <f t="shared" si="35"/>
        <v>572118.8334193199</v>
      </c>
      <c r="L157" s="95">
        <f t="shared" si="36"/>
        <v>348886.0767298546</v>
      </c>
    </row>
    <row r="158" spans="2:12" ht="12.75">
      <c r="B158" s="90">
        <v>39722</v>
      </c>
      <c r="C158" s="94">
        <f t="shared" si="32"/>
        <v>-223232.7566894653</v>
      </c>
      <c r="D158" s="101">
        <v>0</v>
      </c>
      <c r="E158" s="101">
        <v>0</v>
      </c>
      <c r="F158" s="101">
        <v>0</v>
      </c>
      <c r="G158" s="95">
        <f t="shared" si="33"/>
        <v>-223232.7566894653</v>
      </c>
      <c r="H158" s="92">
        <v>31</v>
      </c>
      <c r="I158" s="93">
        <v>0.0335</v>
      </c>
      <c r="J158" s="95">
        <f t="shared" si="34"/>
        <v>-635.143062526054</v>
      </c>
      <c r="K158" s="95">
        <f t="shared" si="35"/>
        <v>571483.6903567939</v>
      </c>
      <c r="L158" s="95">
        <f t="shared" si="36"/>
        <v>348250.9336673286</v>
      </c>
    </row>
    <row r="159" spans="2:12" ht="12.75">
      <c r="B159" s="90">
        <v>39753</v>
      </c>
      <c r="C159" s="94">
        <f t="shared" si="32"/>
        <v>-223232.7566894653</v>
      </c>
      <c r="D159" s="101">
        <v>0</v>
      </c>
      <c r="E159" s="101">
        <v>0</v>
      </c>
      <c r="F159" s="101">
        <v>0</v>
      </c>
      <c r="G159" s="95">
        <f t="shared" si="33"/>
        <v>-223232.7566894653</v>
      </c>
      <c r="H159" s="92">
        <v>30</v>
      </c>
      <c r="I159" s="93">
        <v>0.0335</v>
      </c>
      <c r="J159" s="95">
        <f t="shared" si="34"/>
        <v>-614.6545766381169</v>
      </c>
      <c r="K159" s="95">
        <f t="shared" si="35"/>
        <v>570869.0357801558</v>
      </c>
      <c r="L159" s="95">
        <f t="shared" si="36"/>
        <v>347636.2790906905</v>
      </c>
    </row>
    <row r="160" spans="2:12" ht="12.75">
      <c r="B160" s="96">
        <v>39783</v>
      </c>
      <c r="C160" s="103">
        <f t="shared" si="32"/>
        <v>-223232.7566894653</v>
      </c>
      <c r="D160" s="104">
        <v>0</v>
      </c>
      <c r="E160" s="104">
        <v>0</v>
      </c>
      <c r="F160" s="104">
        <v>0</v>
      </c>
      <c r="G160" s="105">
        <f t="shared" si="33"/>
        <v>-223232.7566894653</v>
      </c>
      <c r="H160" s="99">
        <v>31</v>
      </c>
      <c r="I160" s="107">
        <v>0.0335</v>
      </c>
      <c r="J160" s="105">
        <f t="shared" si="34"/>
        <v>-635.143062526054</v>
      </c>
      <c r="K160" s="105">
        <f t="shared" si="35"/>
        <v>570233.8927176298</v>
      </c>
      <c r="L160" s="105">
        <f t="shared" si="36"/>
        <v>347001.1360281645</v>
      </c>
    </row>
    <row r="161" spans="2:12" ht="12.75">
      <c r="B161" s="90">
        <v>39814</v>
      </c>
      <c r="C161" s="94">
        <f t="shared" si="32"/>
        <v>-223232.7566894653</v>
      </c>
      <c r="D161" s="101">
        <v>0</v>
      </c>
      <c r="E161" s="101">
        <v>0</v>
      </c>
      <c r="F161" s="101">
        <v>0</v>
      </c>
      <c r="G161" s="95">
        <f t="shared" si="33"/>
        <v>-223232.7566894653</v>
      </c>
      <c r="H161" s="92">
        <v>31</v>
      </c>
      <c r="I161" s="93">
        <v>0.0245</v>
      </c>
      <c r="J161" s="95">
        <f t="shared" si="34"/>
        <v>-464.5076128921888</v>
      </c>
      <c r="K161" s="95">
        <f t="shared" si="35"/>
        <v>569769.3851047376</v>
      </c>
      <c r="L161" s="95">
        <f t="shared" si="36"/>
        <v>346536.6284152723</v>
      </c>
    </row>
    <row r="162" spans="2:12" ht="12.75">
      <c r="B162" s="90">
        <v>39845</v>
      </c>
      <c r="C162" s="94">
        <f t="shared" si="32"/>
        <v>-223232.7566894653</v>
      </c>
      <c r="D162" s="101">
        <v>0</v>
      </c>
      <c r="E162" s="101">
        <v>0</v>
      </c>
      <c r="F162" s="101">
        <v>0</v>
      </c>
      <c r="G162" s="95">
        <f t="shared" si="33"/>
        <v>-223232.7566894653</v>
      </c>
      <c r="H162" s="92">
        <v>28</v>
      </c>
      <c r="I162" s="93">
        <v>0.0245</v>
      </c>
      <c r="J162" s="95">
        <f t="shared" si="34"/>
        <v>-419.55526325746087</v>
      </c>
      <c r="K162" s="95">
        <f t="shared" si="35"/>
        <v>569349.8298414801</v>
      </c>
      <c r="L162" s="95">
        <f t="shared" si="36"/>
        <v>346117.0731520148</v>
      </c>
    </row>
    <row r="163" spans="2:12" ht="12.75">
      <c r="B163" s="90">
        <v>39873</v>
      </c>
      <c r="C163" s="94">
        <f t="shared" si="32"/>
        <v>-223232.7566894653</v>
      </c>
      <c r="D163" s="101">
        <v>0</v>
      </c>
      <c r="E163" s="101">
        <v>0</v>
      </c>
      <c r="F163" s="101">
        <v>0</v>
      </c>
      <c r="G163" s="95">
        <f t="shared" si="33"/>
        <v>-223232.7566894653</v>
      </c>
      <c r="H163" s="92">
        <v>31</v>
      </c>
      <c r="I163" s="93">
        <v>0.0245</v>
      </c>
      <c r="J163" s="95">
        <f t="shared" si="34"/>
        <v>-464.5076128921888</v>
      </c>
      <c r="K163" s="95">
        <f t="shared" si="35"/>
        <v>568885.3222285879</v>
      </c>
      <c r="L163" s="95">
        <f t="shared" si="36"/>
        <v>345652.5655391226</v>
      </c>
    </row>
    <row r="164" spans="2:12" ht="12.75">
      <c r="B164" s="90">
        <v>39904</v>
      </c>
      <c r="C164" s="94">
        <f t="shared" si="32"/>
        <v>-223232.7566894653</v>
      </c>
      <c r="D164" s="101">
        <v>0</v>
      </c>
      <c r="E164" s="101">
        <v>0</v>
      </c>
      <c r="F164" s="101">
        <v>0</v>
      </c>
      <c r="G164" s="95">
        <f t="shared" si="33"/>
        <v>-223232.7566894653</v>
      </c>
      <c r="H164" s="92">
        <v>30</v>
      </c>
      <c r="I164" s="93">
        <v>0.01</v>
      </c>
      <c r="J164" s="95">
        <f t="shared" si="34"/>
        <v>-183.4789781009304</v>
      </c>
      <c r="K164" s="95">
        <f t="shared" si="35"/>
        <v>568701.843250487</v>
      </c>
      <c r="L164" s="95">
        <f t="shared" si="36"/>
        <v>345469.0865610217</v>
      </c>
    </row>
    <row r="165" spans="2:12" ht="12.75">
      <c r="B165" s="90">
        <v>39934</v>
      </c>
      <c r="C165" s="94">
        <f t="shared" si="32"/>
        <v>-223232.7566894653</v>
      </c>
      <c r="D165" s="101">
        <v>0</v>
      </c>
      <c r="E165" s="101">
        <v>0</v>
      </c>
      <c r="F165" s="101">
        <v>0</v>
      </c>
      <c r="G165" s="95">
        <f t="shared" si="33"/>
        <v>-223232.7566894653</v>
      </c>
      <c r="H165" s="92">
        <v>31</v>
      </c>
      <c r="I165" s="93">
        <v>0.01</v>
      </c>
      <c r="J165" s="95">
        <f t="shared" si="34"/>
        <v>-189.59494403762804</v>
      </c>
      <c r="K165" s="95">
        <f t="shared" si="35"/>
        <v>568512.2483064494</v>
      </c>
      <c r="L165" s="95">
        <f t="shared" si="36"/>
        <v>345279.4916169841</v>
      </c>
    </row>
    <row r="166" spans="2:12" ht="12.75">
      <c r="B166" s="90">
        <v>39965</v>
      </c>
      <c r="C166" s="94">
        <f t="shared" si="32"/>
        <v>-223232.7566894653</v>
      </c>
      <c r="D166" s="101">
        <v>0</v>
      </c>
      <c r="E166" s="101">
        <v>0</v>
      </c>
      <c r="F166" s="101">
        <v>0</v>
      </c>
      <c r="G166" s="95">
        <f t="shared" si="33"/>
        <v>-223232.7566894653</v>
      </c>
      <c r="H166" s="92">
        <v>30</v>
      </c>
      <c r="I166" s="93">
        <v>0.01</v>
      </c>
      <c r="J166" s="95">
        <f t="shared" si="34"/>
        <v>-183.4789781009304</v>
      </c>
      <c r="K166" s="95">
        <f t="shared" si="35"/>
        <v>568328.7693283485</v>
      </c>
      <c r="L166" s="95">
        <f t="shared" si="36"/>
        <v>345096.01263888314</v>
      </c>
    </row>
    <row r="167" spans="2:12" ht="12.75">
      <c r="B167" s="90">
        <v>39995</v>
      </c>
      <c r="C167" s="94">
        <f t="shared" si="32"/>
        <v>-223232.7566894653</v>
      </c>
      <c r="D167" s="101">
        <v>0</v>
      </c>
      <c r="E167" s="101">
        <v>0</v>
      </c>
      <c r="F167" s="101">
        <v>0</v>
      </c>
      <c r="G167" s="95">
        <f t="shared" si="33"/>
        <v>-223232.7566894653</v>
      </c>
      <c r="H167" s="92">
        <v>31</v>
      </c>
      <c r="I167" s="93">
        <v>0.0055</v>
      </c>
      <c r="J167" s="95">
        <f t="shared" si="34"/>
        <v>-104.27721922069544</v>
      </c>
      <c r="K167" s="95">
        <f t="shared" si="35"/>
        <v>568224.4921091278</v>
      </c>
      <c r="L167" s="95">
        <f t="shared" si="36"/>
        <v>344991.7354196625</v>
      </c>
    </row>
    <row r="168" spans="2:12" ht="12.75">
      <c r="B168" s="90">
        <v>40026</v>
      </c>
      <c r="C168" s="94">
        <f t="shared" si="32"/>
        <v>-223232.7566894653</v>
      </c>
      <c r="D168" s="101">
        <v>0</v>
      </c>
      <c r="E168" s="101">
        <v>0</v>
      </c>
      <c r="F168" s="101">
        <v>0</v>
      </c>
      <c r="G168" s="95">
        <f t="shared" si="33"/>
        <v>-223232.7566894653</v>
      </c>
      <c r="H168" s="92">
        <v>31</v>
      </c>
      <c r="I168" s="93">
        <v>0.0055</v>
      </c>
      <c r="J168" s="95">
        <f t="shared" si="34"/>
        <v>-104.27721922069544</v>
      </c>
      <c r="K168" s="95">
        <f t="shared" si="35"/>
        <v>568120.2148899072</v>
      </c>
      <c r="L168" s="95">
        <f t="shared" si="36"/>
        <v>344887.45820044185</v>
      </c>
    </row>
    <row r="169" spans="2:12" ht="12.75">
      <c r="B169" s="90">
        <v>40057</v>
      </c>
      <c r="C169" s="94">
        <f t="shared" si="32"/>
        <v>-223232.7566894653</v>
      </c>
      <c r="D169" s="101">
        <v>0</v>
      </c>
      <c r="E169" s="101">
        <v>0</v>
      </c>
      <c r="F169" s="101">
        <v>0</v>
      </c>
      <c r="G169" s="95">
        <f t="shared" si="33"/>
        <v>-223232.7566894653</v>
      </c>
      <c r="H169" s="92">
        <v>30</v>
      </c>
      <c r="I169" s="93">
        <v>0.0055</v>
      </c>
      <c r="J169" s="95">
        <f t="shared" si="34"/>
        <v>-100.9134379555117</v>
      </c>
      <c r="K169" s="95">
        <f t="shared" si="35"/>
        <v>568019.3014519516</v>
      </c>
      <c r="L169" s="95">
        <f t="shared" si="36"/>
        <v>344786.5447624863</v>
      </c>
    </row>
    <row r="170" spans="2:12" ht="12.75">
      <c r="B170" s="90">
        <v>40087</v>
      </c>
      <c r="C170" s="94">
        <f t="shared" si="32"/>
        <v>-223232.7566894653</v>
      </c>
      <c r="D170" s="101">
        <v>0</v>
      </c>
      <c r="E170" s="101">
        <v>0</v>
      </c>
      <c r="F170" s="101">
        <v>0</v>
      </c>
      <c r="G170" s="95">
        <f t="shared" si="33"/>
        <v>-223232.7566894653</v>
      </c>
      <c r="H170" s="92">
        <v>31</v>
      </c>
      <c r="I170" s="93">
        <v>0.0055</v>
      </c>
      <c r="J170" s="95">
        <f t="shared" si="34"/>
        <v>-104.27721922069544</v>
      </c>
      <c r="K170" s="95">
        <f t="shared" si="35"/>
        <v>567915.024232731</v>
      </c>
      <c r="L170" s="95">
        <f t="shared" si="36"/>
        <v>344682.26754326565</v>
      </c>
    </row>
    <row r="171" spans="2:12" ht="12.75">
      <c r="B171" s="90">
        <v>40118</v>
      </c>
      <c r="C171" s="94">
        <f t="shared" si="32"/>
        <v>-223232.7566894653</v>
      </c>
      <c r="D171" s="101">
        <v>0</v>
      </c>
      <c r="E171" s="101">
        <v>0</v>
      </c>
      <c r="F171" s="101">
        <v>0</v>
      </c>
      <c r="G171" s="95">
        <f t="shared" si="33"/>
        <v>-223232.7566894653</v>
      </c>
      <c r="H171" s="92">
        <v>30</v>
      </c>
      <c r="I171" s="93">
        <v>0.0055</v>
      </c>
      <c r="J171" s="95">
        <f t="shared" si="34"/>
        <v>-100.9134379555117</v>
      </c>
      <c r="K171" s="95">
        <f t="shared" si="35"/>
        <v>567814.1107947754</v>
      </c>
      <c r="L171" s="95">
        <f t="shared" si="36"/>
        <v>344581.3541053101</v>
      </c>
    </row>
    <row r="172" spans="2:12" ht="12.75">
      <c r="B172" s="96">
        <v>40148</v>
      </c>
      <c r="C172" s="103">
        <f t="shared" si="32"/>
        <v>-223232.7566894653</v>
      </c>
      <c r="D172" s="104">
        <v>0</v>
      </c>
      <c r="E172" s="104">
        <v>0</v>
      </c>
      <c r="F172" s="104">
        <v>0</v>
      </c>
      <c r="G172" s="105">
        <f t="shared" si="33"/>
        <v>-223232.7566894653</v>
      </c>
      <c r="H172" s="99">
        <v>31</v>
      </c>
      <c r="I172" s="107">
        <v>0.0055</v>
      </c>
      <c r="J172" s="105">
        <f t="shared" si="34"/>
        <v>-104.27721922069544</v>
      </c>
      <c r="K172" s="105">
        <f t="shared" si="35"/>
        <v>567709.8335755548</v>
      </c>
      <c r="L172" s="105">
        <f t="shared" si="36"/>
        <v>344477.07688608946</v>
      </c>
    </row>
    <row r="173" spans="2:12" ht="13.5" thickBot="1">
      <c r="B173" s="124"/>
      <c r="C173" s="125"/>
      <c r="D173" s="126"/>
      <c r="E173" s="126"/>
      <c r="F173" s="126"/>
      <c r="G173" s="127"/>
      <c r="H173" s="128"/>
      <c r="I173" s="129"/>
      <c r="J173" s="127"/>
      <c r="K173" s="127"/>
      <c r="L173" s="127"/>
    </row>
    <row r="175" ht="13.5" thickBot="1">
      <c r="B175" s="213" t="s">
        <v>257</v>
      </c>
    </row>
    <row r="176" spans="2:12" ht="45.75" thickBot="1">
      <c r="B176" s="117" t="s">
        <v>1</v>
      </c>
      <c r="C176" s="87" t="s">
        <v>88</v>
      </c>
      <c r="D176" s="87" t="s">
        <v>3</v>
      </c>
      <c r="E176" s="87" t="s">
        <v>4</v>
      </c>
      <c r="F176" s="87" t="s">
        <v>5</v>
      </c>
      <c r="G176" s="87" t="s">
        <v>89</v>
      </c>
      <c r="H176" s="87" t="s">
        <v>71</v>
      </c>
      <c r="I176" s="87" t="s">
        <v>72</v>
      </c>
      <c r="J176" s="87" t="s">
        <v>73</v>
      </c>
      <c r="K176" s="87" t="s">
        <v>6</v>
      </c>
      <c r="L176" s="87" t="s">
        <v>29</v>
      </c>
    </row>
    <row r="177" spans="2:12" ht="12.75">
      <c r="B177" s="118"/>
      <c r="C177" s="119"/>
      <c r="D177" s="120"/>
      <c r="E177" s="120"/>
      <c r="F177" s="120"/>
      <c r="G177" s="121"/>
      <c r="H177" s="122"/>
      <c r="I177" s="123"/>
      <c r="J177" s="121"/>
      <c r="K177" s="121"/>
      <c r="L177" s="121"/>
    </row>
    <row r="178" spans="2:12" ht="12.75">
      <c r="B178" s="90">
        <v>40179</v>
      </c>
      <c r="C178" s="94">
        <f>+G172</f>
        <v>-223232.7566894653</v>
      </c>
      <c r="D178" s="101">
        <v>0</v>
      </c>
      <c r="E178" s="101">
        <v>0</v>
      </c>
      <c r="F178" s="101">
        <v>0</v>
      </c>
      <c r="G178" s="95">
        <f t="shared" si="33"/>
        <v>-223232.7566894653</v>
      </c>
      <c r="H178" s="92">
        <v>31</v>
      </c>
      <c r="I178" s="93">
        <v>0.0055</v>
      </c>
      <c r="J178" s="95">
        <f t="shared" si="34"/>
        <v>-104.27721922069544</v>
      </c>
      <c r="K178" s="95">
        <f>+K172+J178</f>
        <v>567605.5563563341</v>
      </c>
      <c r="L178" s="95">
        <f t="shared" si="36"/>
        <v>344372.7996668688</v>
      </c>
    </row>
    <row r="179" spans="2:12" ht="12.75">
      <c r="B179" s="90">
        <v>40210</v>
      </c>
      <c r="C179" s="94">
        <f t="shared" si="32"/>
        <v>-223232.7566894653</v>
      </c>
      <c r="D179" s="101">
        <v>0</v>
      </c>
      <c r="E179" s="101">
        <v>0</v>
      </c>
      <c r="F179" s="101">
        <v>0</v>
      </c>
      <c r="G179" s="95">
        <f t="shared" si="33"/>
        <v>-223232.7566894653</v>
      </c>
      <c r="H179" s="92">
        <v>28</v>
      </c>
      <c r="I179" s="93">
        <v>0.0055</v>
      </c>
      <c r="J179" s="95">
        <f t="shared" si="34"/>
        <v>-94.18587542514425</v>
      </c>
      <c r="K179" s="95">
        <f t="shared" si="35"/>
        <v>567511.370480909</v>
      </c>
      <c r="L179" s="95">
        <f t="shared" si="36"/>
        <v>344278.6137914437</v>
      </c>
    </row>
    <row r="180" spans="2:12" ht="12.75">
      <c r="B180" s="90">
        <v>40238</v>
      </c>
      <c r="C180" s="94">
        <f t="shared" si="32"/>
        <v>-223232.7566894653</v>
      </c>
      <c r="D180" s="101">
        <v>0</v>
      </c>
      <c r="E180" s="101">
        <v>0</v>
      </c>
      <c r="F180" s="101">
        <v>0</v>
      </c>
      <c r="G180" s="95">
        <f t="shared" si="33"/>
        <v>-223232.7566894653</v>
      </c>
      <c r="H180" s="92">
        <v>31</v>
      </c>
      <c r="I180" s="93">
        <v>0.0055</v>
      </c>
      <c r="J180" s="95">
        <f t="shared" si="34"/>
        <v>-104.27721922069544</v>
      </c>
      <c r="K180" s="95">
        <f t="shared" si="35"/>
        <v>567407.0932616884</v>
      </c>
      <c r="L180" s="95">
        <f t="shared" si="36"/>
        <v>344174.33657222305</v>
      </c>
    </row>
    <row r="181" spans="2:12" ht="12.75">
      <c r="B181" s="90">
        <v>40269</v>
      </c>
      <c r="C181" s="94">
        <f t="shared" si="32"/>
        <v>-223232.7566894653</v>
      </c>
      <c r="D181" s="101">
        <v>0</v>
      </c>
      <c r="E181" s="101">
        <v>0</v>
      </c>
      <c r="F181" s="101">
        <v>0</v>
      </c>
      <c r="G181" s="95">
        <f t="shared" si="33"/>
        <v>-223232.7566894653</v>
      </c>
      <c r="H181" s="92">
        <v>30</v>
      </c>
      <c r="I181" s="93">
        <v>0.0055</v>
      </c>
      <c r="J181" s="95">
        <f t="shared" si="34"/>
        <v>-100.9134379555117</v>
      </c>
      <c r="K181" s="95">
        <f t="shared" si="35"/>
        <v>567306.1798237328</v>
      </c>
      <c r="L181" s="95">
        <f t="shared" si="36"/>
        <v>344073.4231342675</v>
      </c>
    </row>
    <row r="182" spans="2:12" ht="12.75">
      <c r="B182" s="90">
        <v>40299</v>
      </c>
      <c r="C182" s="94">
        <f t="shared" si="32"/>
        <v>-223232.7566894653</v>
      </c>
      <c r="D182" s="101">
        <v>0</v>
      </c>
      <c r="E182" s="101">
        <v>0</v>
      </c>
      <c r="F182" s="101">
        <v>0</v>
      </c>
      <c r="G182" s="95">
        <f t="shared" si="33"/>
        <v>-223232.7566894653</v>
      </c>
      <c r="H182" s="92">
        <v>31</v>
      </c>
      <c r="I182" s="93">
        <v>0.0055</v>
      </c>
      <c r="J182" s="95">
        <f t="shared" si="34"/>
        <v>-104.27721922069544</v>
      </c>
      <c r="K182" s="95">
        <f t="shared" si="35"/>
        <v>567201.9026045122</v>
      </c>
      <c r="L182" s="95">
        <f t="shared" si="36"/>
        <v>343969.14591504686</v>
      </c>
    </row>
    <row r="183" spans="2:12" ht="12.75">
      <c r="B183" s="90">
        <v>40330</v>
      </c>
      <c r="C183" s="94">
        <f t="shared" si="32"/>
        <v>-223232.7566894653</v>
      </c>
      <c r="D183" s="101">
        <v>0</v>
      </c>
      <c r="E183" s="101">
        <v>0</v>
      </c>
      <c r="F183" s="101">
        <v>0</v>
      </c>
      <c r="G183" s="95">
        <f t="shared" si="33"/>
        <v>-223232.7566894653</v>
      </c>
      <c r="H183" s="92">
        <v>30</v>
      </c>
      <c r="I183" s="93">
        <v>0.0055</v>
      </c>
      <c r="J183" s="95">
        <f t="shared" si="34"/>
        <v>-100.9134379555117</v>
      </c>
      <c r="K183" s="95">
        <f t="shared" si="35"/>
        <v>567100.9891665566</v>
      </c>
      <c r="L183" s="95">
        <f t="shared" si="36"/>
        <v>343868.2324770913</v>
      </c>
    </row>
    <row r="184" spans="2:12" ht="12.75">
      <c r="B184" s="90">
        <v>40360</v>
      </c>
      <c r="C184" s="94">
        <f t="shared" si="32"/>
        <v>-223232.7566894653</v>
      </c>
      <c r="D184" s="101">
        <v>0</v>
      </c>
      <c r="E184" s="101">
        <v>0</v>
      </c>
      <c r="F184" s="101">
        <v>0</v>
      </c>
      <c r="G184" s="95">
        <f t="shared" si="33"/>
        <v>-223232.7566894653</v>
      </c>
      <c r="H184" s="92">
        <v>31</v>
      </c>
      <c r="I184" s="108">
        <v>0.0089</v>
      </c>
      <c r="J184" s="95">
        <f t="shared" si="34"/>
        <v>-168.739500193489</v>
      </c>
      <c r="K184" s="95">
        <f t="shared" si="35"/>
        <v>566932.2496663631</v>
      </c>
      <c r="L184" s="95">
        <f t="shared" si="36"/>
        <v>343699.4929768978</v>
      </c>
    </row>
    <row r="185" spans="2:12" ht="12.75">
      <c r="B185" s="90">
        <v>40391</v>
      </c>
      <c r="C185" s="94">
        <f t="shared" si="32"/>
        <v>-223232.7566894653</v>
      </c>
      <c r="D185" s="101">
        <v>0</v>
      </c>
      <c r="E185" s="101">
        <v>0</v>
      </c>
      <c r="F185" s="101">
        <v>0</v>
      </c>
      <c r="G185" s="95">
        <f t="shared" si="33"/>
        <v>-223232.7566894653</v>
      </c>
      <c r="H185" s="92">
        <v>31</v>
      </c>
      <c r="I185" s="93">
        <v>0.0089</v>
      </c>
      <c r="J185" s="95">
        <f t="shared" si="34"/>
        <v>-168.739500193489</v>
      </c>
      <c r="K185" s="95">
        <f t="shared" si="35"/>
        <v>566763.5101661696</v>
      </c>
      <c r="L185" s="95">
        <f t="shared" si="36"/>
        <v>343530.7534767043</v>
      </c>
    </row>
    <row r="186" spans="2:12" ht="12.75">
      <c r="B186" s="90">
        <v>40422</v>
      </c>
      <c r="C186" s="94">
        <f t="shared" si="32"/>
        <v>-223232.7566894653</v>
      </c>
      <c r="D186" s="101">
        <v>0</v>
      </c>
      <c r="E186" s="101">
        <v>0</v>
      </c>
      <c r="F186" s="101">
        <v>0</v>
      </c>
      <c r="G186" s="95">
        <f t="shared" si="33"/>
        <v>-223232.7566894653</v>
      </c>
      <c r="H186" s="92">
        <v>30</v>
      </c>
      <c r="I186" s="93">
        <f>+I185</f>
        <v>0.0089</v>
      </c>
      <c r="J186" s="95">
        <f t="shared" si="34"/>
        <v>-163.29629050982805</v>
      </c>
      <c r="K186" s="95">
        <f t="shared" si="35"/>
        <v>566600.2138756597</v>
      </c>
      <c r="L186" s="95">
        <f t="shared" si="36"/>
        <v>343367.4571861944</v>
      </c>
    </row>
    <row r="187" spans="2:12" ht="12.75">
      <c r="B187" s="90">
        <v>40452</v>
      </c>
      <c r="C187" s="94">
        <f t="shared" si="32"/>
        <v>-223232.7566894653</v>
      </c>
      <c r="D187" s="101">
        <v>0</v>
      </c>
      <c r="E187" s="101">
        <v>0</v>
      </c>
      <c r="F187" s="101">
        <v>0</v>
      </c>
      <c r="G187" s="95">
        <f t="shared" si="33"/>
        <v>-223232.7566894653</v>
      </c>
      <c r="H187" s="92">
        <v>31</v>
      </c>
      <c r="I187" s="93">
        <v>0.012</v>
      </c>
      <c r="J187" s="95">
        <f t="shared" si="34"/>
        <v>-227.5139328451537</v>
      </c>
      <c r="K187" s="95">
        <f t="shared" si="35"/>
        <v>566372.6999428145</v>
      </c>
      <c r="L187" s="95">
        <f t="shared" si="36"/>
        <v>343139.9432533492</v>
      </c>
    </row>
    <row r="188" spans="2:12" ht="12.75">
      <c r="B188" s="90">
        <v>40483</v>
      </c>
      <c r="C188" s="94">
        <f t="shared" si="32"/>
        <v>-223232.7566894653</v>
      </c>
      <c r="D188" s="101">
        <v>0</v>
      </c>
      <c r="E188" s="101">
        <v>0</v>
      </c>
      <c r="F188" s="101">
        <v>0</v>
      </c>
      <c r="G188" s="95">
        <f t="shared" si="33"/>
        <v>-223232.7566894653</v>
      </c>
      <c r="H188" s="92">
        <v>30</v>
      </c>
      <c r="I188" s="93">
        <v>0.012</v>
      </c>
      <c r="J188" s="95">
        <f t="shared" si="34"/>
        <v>-220.17477372111645</v>
      </c>
      <c r="K188" s="95">
        <f t="shared" si="35"/>
        <v>566152.5251690934</v>
      </c>
      <c r="L188" s="95">
        <f t="shared" si="36"/>
        <v>342919.7684796281</v>
      </c>
    </row>
    <row r="189" spans="2:12" ht="12.75">
      <c r="B189" s="96">
        <v>40513</v>
      </c>
      <c r="C189" s="103">
        <f t="shared" si="32"/>
        <v>-223232.7566894653</v>
      </c>
      <c r="D189" s="104">
        <v>0</v>
      </c>
      <c r="E189" s="104">
        <v>0</v>
      </c>
      <c r="F189" s="104">
        <v>0</v>
      </c>
      <c r="G189" s="105">
        <f t="shared" si="33"/>
        <v>-223232.7566894653</v>
      </c>
      <c r="H189" s="99">
        <v>31</v>
      </c>
      <c r="I189" s="107">
        <v>0.012</v>
      </c>
      <c r="J189" s="105">
        <f t="shared" si="34"/>
        <v>-227.5139328451537</v>
      </c>
      <c r="K189" s="105">
        <f t="shared" si="35"/>
        <v>565925.0112362482</v>
      </c>
      <c r="L189" s="105">
        <f t="shared" si="36"/>
        <v>342692.2545467829</v>
      </c>
    </row>
    <row r="190" spans="2:12" ht="12.75">
      <c r="B190" s="90">
        <v>40544</v>
      </c>
      <c r="C190" s="94">
        <f t="shared" si="32"/>
        <v>-223232.7566894653</v>
      </c>
      <c r="D190" s="101">
        <v>0</v>
      </c>
      <c r="E190" s="101">
        <v>0</v>
      </c>
      <c r="F190" s="101">
        <v>0</v>
      </c>
      <c r="G190" s="95">
        <f t="shared" si="33"/>
        <v>-223232.7566894653</v>
      </c>
      <c r="H190" s="92">
        <v>31</v>
      </c>
      <c r="I190" s="93">
        <v>0.0147</v>
      </c>
      <c r="J190" s="95">
        <f t="shared" si="34"/>
        <v>-278.7045677353133</v>
      </c>
      <c r="K190" s="95">
        <f t="shared" si="35"/>
        <v>565646.3066685129</v>
      </c>
      <c r="L190" s="95">
        <f t="shared" si="36"/>
        <v>342413.54997904756</v>
      </c>
    </row>
    <row r="191" spans="2:12" ht="12.75">
      <c r="B191" s="90">
        <v>40575</v>
      </c>
      <c r="C191" s="94">
        <f t="shared" si="32"/>
        <v>-223232.7566894653</v>
      </c>
      <c r="D191" s="101">
        <v>0</v>
      </c>
      <c r="E191" s="101">
        <v>0</v>
      </c>
      <c r="F191" s="101">
        <v>0</v>
      </c>
      <c r="G191" s="95">
        <f t="shared" si="33"/>
        <v>-223232.7566894653</v>
      </c>
      <c r="H191" s="92">
        <v>28</v>
      </c>
      <c r="I191" s="93">
        <v>0.0147</v>
      </c>
      <c r="J191" s="95">
        <f t="shared" si="34"/>
        <v>-251.7331579544765</v>
      </c>
      <c r="K191" s="95">
        <f t="shared" si="35"/>
        <v>565394.5735105583</v>
      </c>
      <c r="L191" s="95">
        <f t="shared" si="36"/>
        <v>342161.81682109303</v>
      </c>
    </row>
    <row r="192" spans="2:12" ht="12.75">
      <c r="B192" s="90">
        <v>40603</v>
      </c>
      <c r="C192" s="94">
        <f t="shared" si="32"/>
        <v>-223232.7566894653</v>
      </c>
      <c r="D192" s="101">
        <v>0</v>
      </c>
      <c r="E192" s="101">
        <v>0</v>
      </c>
      <c r="F192" s="101">
        <v>0</v>
      </c>
      <c r="G192" s="95">
        <f t="shared" si="33"/>
        <v>-223232.7566894653</v>
      </c>
      <c r="H192" s="92">
        <v>31</v>
      </c>
      <c r="I192" s="93">
        <v>0.0147</v>
      </c>
      <c r="J192" s="95">
        <f t="shared" si="34"/>
        <v>-278.7045677353133</v>
      </c>
      <c r="K192" s="95">
        <f t="shared" si="35"/>
        <v>565115.868942823</v>
      </c>
      <c r="L192" s="95">
        <f t="shared" si="36"/>
        <v>341883.1122533577</v>
      </c>
    </row>
    <row r="193" spans="2:12" ht="12.75">
      <c r="B193" s="90">
        <v>40634</v>
      </c>
      <c r="C193" s="94">
        <f t="shared" si="32"/>
        <v>-223232.7566894653</v>
      </c>
      <c r="D193" s="101">
        <v>0</v>
      </c>
      <c r="E193" s="101">
        <v>0</v>
      </c>
      <c r="F193" s="101">
        <v>0</v>
      </c>
      <c r="G193" s="95">
        <f t="shared" si="33"/>
        <v>-223232.7566894653</v>
      </c>
      <c r="H193" s="92">
        <v>30</v>
      </c>
      <c r="I193" s="93">
        <v>0.0147</v>
      </c>
      <c r="J193" s="95">
        <f t="shared" si="34"/>
        <v>-269.7140978083677</v>
      </c>
      <c r="K193" s="95">
        <f t="shared" si="35"/>
        <v>564846.1548450147</v>
      </c>
      <c r="L193" s="95">
        <f t="shared" si="36"/>
        <v>341613.39815554937</v>
      </c>
    </row>
    <row r="194" spans="2:12" ht="12.75">
      <c r="B194" s="90">
        <v>40664</v>
      </c>
      <c r="C194" s="94">
        <f t="shared" si="32"/>
        <v>-223232.7566894653</v>
      </c>
      <c r="D194" s="101">
        <v>0</v>
      </c>
      <c r="E194" s="101">
        <v>0</v>
      </c>
      <c r="F194" s="101">
        <v>0</v>
      </c>
      <c r="G194" s="95">
        <f t="shared" si="33"/>
        <v>-223232.7566894653</v>
      </c>
      <c r="H194" s="92">
        <v>31</v>
      </c>
      <c r="I194" s="93">
        <v>0.0147</v>
      </c>
      <c r="J194" s="95">
        <f t="shared" si="34"/>
        <v>-278.7045677353133</v>
      </c>
      <c r="K194" s="95">
        <f t="shared" si="35"/>
        <v>564567.4502772794</v>
      </c>
      <c r="L194" s="95">
        <f t="shared" si="36"/>
        <v>341334.69358781405</v>
      </c>
    </row>
    <row r="195" spans="2:12" ht="12.75">
      <c r="B195" s="90">
        <v>40695</v>
      </c>
      <c r="C195" s="94">
        <f t="shared" si="32"/>
        <v>-223232.7566894653</v>
      </c>
      <c r="D195" s="101">
        <v>0</v>
      </c>
      <c r="E195" s="101">
        <v>0</v>
      </c>
      <c r="F195" s="101">
        <v>0</v>
      </c>
      <c r="G195" s="95">
        <f t="shared" si="33"/>
        <v>-223232.7566894653</v>
      </c>
      <c r="H195" s="92">
        <v>30</v>
      </c>
      <c r="I195" s="93">
        <v>0.0147</v>
      </c>
      <c r="J195" s="95">
        <f t="shared" si="34"/>
        <v>-269.7140978083677</v>
      </c>
      <c r="K195" s="95">
        <f t="shared" si="35"/>
        <v>564297.736179471</v>
      </c>
      <c r="L195" s="95">
        <f t="shared" si="36"/>
        <v>341064.9794900057</v>
      </c>
    </row>
    <row r="196" spans="2:12" ht="12.75">
      <c r="B196" s="90">
        <v>40725</v>
      </c>
      <c r="C196" s="94">
        <f t="shared" si="32"/>
        <v>-223232.7566894653</v>
      </c>
      <c r="D196" s="101">
        <v>0</v>
      </c>
      <c r="E196" s="101">
        <v>0</v>
      </c>
      <c r="F196" s="101">
        <v>0</v>
      </c>
      <c r="G196" s="95">
        <f t="shared" si="33"/>
        <v>-223232.7566894653</v>
      </c>
      <c r="H196" s="92">
        <v>31</v>
      </c>
      <c r="I196" s="93">
        <v>0.015</v>
      </c>
      <c r="J196" s="95">
        <f aca="true" t="shared" si="37" ref="J196:J204">SUM(C196*I196*H196/365)</f>
        <v>-284.39241605644213</v>
      </c>
      <c r="K196" s="95">
        <f aca="true" t="shared" si="38" ref="K196:K204">+K195+J196</f>
        <v>564013.3437634145</v>
      </c>
      <c r="L196" s="95">
        <f aca="true" t="shared" si="39" ref="L196:L204">+G196+K196</f>
        <v>340780.5870739492</v>
      </c>
    </row>
    <row r="197" spans="2:12" ht="12.75">
      <c r="B197" s="90">
        <v>40756</v>
      </c>
      <c r="C197" s="94">
        <f t="shared" si="32"/>
        <v>-223232.7566894653</v>
      </c>
      <c r="D197" s="101">
        <v>0</v>
      </c>
      <c r="E197" s="101">
        <v>0</v>
      </c>
      <c r="F197" s="101">
        <v>0</v>
      </c>
      <c r="G197" s="95">
        <f t="shared" si="33"/>
        <v>-223232.7566894653</v>
      </c>
      <c r="H197" s="92">
        <v>31</v>
      </c>
      <c r="I197" s="93">
        <v>0.015</v>
      </c>
      <c r="J197" s="95">
        <f t="shared" si="37"/>
        <v>-284.39241605644213</v>
      </c>
      <c r="K197" s="95">
        <f t="shared" si="38"/>
        <v>563728.9513473581</v>
      </c>
      <c r="L197" s="95">
        <f t="shared" si="39"/>
        <v>340496.19465789275</v>
      </c>
    </row>
    <row r="198" spans="2:12" ht="12.75">
      <c r="B198" s="90">
        <v>40787</v>
      </c>
      <c r="C198" s="94">
        <f t="shared" si="32"/>
        <v>-223232.7566894653</v>
      </c>
      <c r="D198" s="101">
        <v>0</v>
      </c>
      <c r="E198" s="101">
        <v>0</v>
      </c>
      <c r="F198" s="101">
        <v>0</v>
      </c>
      <c r="G198" s="95">
        <f t="shared" si="33"/>
        <v>-223232.7566894653</v>
      </c>
      <c r="H198" s="92">
        <v>30</v>
      </c>
      <c r="I198" s="93">
        <v>0.015</v>
      </c>
      <c r="J198" s="95">
        <f t="shared" si="37"/>
        <v>-275.2184671513956</v>
      </c>
      <c r="K198" s="95">
        <f t="shared" si="38"/>
        <v>563453.7328802067</v>
      </c>
      <c r="L198" s="95">
        <f t="shared" si="39"/>
        <v>340220.97619074135</v>
      </c>
    </row>
    <row r="199" spans="2:12" ht="12.75">
      <c r="B199" s="90">
        <v>40817</v>
      </c>
      <c r="C199" s="94">
        <f t="shared" si="32"/>
        <v>-223232.7566894653</v>
      </c>
      <c r="D199" s="101">
        <v>0</v>
      </c>
      <c r="E199" s="101">
        <v>0</v>
      </c>
      <c r="F199" s="101">
        <v>0</v>
      </c>
      <c r="G199" s="95">
        <f t="shared" si="33"/>
        <v>-223232.7566894653</v>
      </c>
      <c r="H199" s="92">
        <v>31</v>
      </c>
      <c r="I199" s="93">
        <v>0.015</v>
      </c>
      <c r="J199" s="95">
        <f t="shared" si="37"/>
        <v>-284.39241605644213</v>
      </c>
      <c r="K199" s="95">
        <f t="shared" si="38"/>
        <v>563169.3404641502</v>
      </c>
      <c r="L199" s="95">
        <f t="shared" si="39"/>
        <v>339936.58377468487</v>
      </c>
    </row>
    <row r="200" spans="2:12" ht="12.75">
      <c r="B200" s="90">
        <v>40848</v>
      </c>
      <c r="C200" s="94">
        <f t="shared" si="32"/>
        <v>-223232.7566894653</v>
      </c>
      <c r="D200" s="101">
        <v>0</v>
      </c>
      <c r="E200" s="101">
        <v>0</v>
      </c>
      <c r="F200" s="101">
        <v>0</v>
      </c>
      <c r="G200" s="95">
        <f t="shared" si="33"/>
        <v>-223232.7566894653</v>
      </c>
      <c r="H200" s="92">
        <v>30</v>
      </c>
      <c r="I200" s="93">
        <v>0.015</v>
      </c>
      <c r="J200" s="95">
        <f t="shared" si="37"/>
        <v>-275.2184671513956</v>
      </c>
      <c r="K200" s="95">
        <f t="shared" si="38"/>
        <v>562894.1219969988</v>
      </c>
      <c r="L200" s="95">
        <f t="shared" si="39"/>
        <v>339661.3653075335</v>
      </c>
    </row>
    <row r="201" spans="2:12" ht="12.75">
      <c r="B201" s="96">
        <v>40878</v>
      </c>
      <c r="C201" s="103">
        <f t="shared" si="32"/>
        <v>-223232.7566894653</v>
      </c>
      <c r="D201" s="104">
        <v>0</v>
      </c>
      <c r="E201" s="104">
        <v>0</v>
      </c>
      <c r="F201" s="104">
        <v>0</v>
      </c>
      <c r="G201" s="105">
        <f t="shared" si="33"/>
        <v>-223232.7566894653</v>
      </c>
      <c r="H201" s="99">
        <v>31</v>
      </c>
      <c r="I201" s="107">
        <v>0.015</v>
      </c>
      <c r="J201" s="105">
        <f t="shared" si="37"/>
        <v>-284.39241605644213</v>
      </c>
      <c r="K201" s="105">
        <f t="shared" si="38"/>
        <v>562609.7295809423</v>
      </c>
      <c r="L201" s="105">
        <f t="shared" si="39"/>
        <v>339376.972891477</v>
      </c>
    </row>
    <row r="202" spans="2:12" ht="12.75">
      <c r="B202" s="90">
        <v>40909</v>
      </c>
      <c r="C202" s="94">
        <f t="shared" si="32"/>
        <v>-223232.7566894653</v>
      </c>
      <c r="D202" s="101">
        <v>0</v>
      </c>
      <c r="E202" s="101">
        <v>0</v>
      </c>
      <c r="F202" s="101">
        <v>0</v>
      </c>
      <c r="G202" s="95">
        <f t="shared" si="33"/>
        <v>-223232.7566894653</v>
      </c>
      <c r="H202" s="92">
        <v>31</v>
      </c>
      <c r="I202" s="93">
        <v>0.015</v>
      </c>
      <c r="J202" s="95">
        <f t="shared" si="37"/>
        <v>-284.39241605644213</v>
      </c>
      <c r="K202" s="95">
        <f t="shared" si="38"/>
        <v>562325.3371648858</v>
      </c>
      <c r="L202" s="95">
        <f t="shared" si="39"/>
        <v>339092.5804754205</v>
      </c>
    </row>
    <row r="203" spans="2:12" ht="12.75">
      <c r="B203" s="90">
        <v>40940</v>
      </c>
      <c r="C203" s="94">
        <f t="shared" si="32"/>
        <v>-223232.7566894653</v>
      </c>
      <c r="D203" s="101">
        <v>0</v>
      </c>
      <c r="E203" s="101">
        <v>0</v>
      </c>
      <c r="F203" s="101">
        <v>0</v>
      </c>
      <c r="G203" s="95">
        <f t="shared" si="33"/>
        <v>-223232.7566894653</v>
      </c>
      <c r="H203" s="92">
        <v>28</v>
      </c>
      <c r="I203" s="93">
        <v>0.015</v>
      </c>
      <c r="J203" s="95">
        <f t="shared" si="37"/>
        <v>-256.87056934130254</v>
      </c>
      <c r="K203" s="95">
        <f t="shared" si="38"/>
        <v>562068.4665955445</v>
      </c>
      <c r="L203" s="95">
        <f t="shared" si="39"/>
        <v>338835.70990607917</v>
      </c>
    </row>
    <row r="204" spans="2:12" ht="12.75">
      <c r="B204" s="90">
        <v>40969</v>
      </c>
      <c r="C204" s="94">
        <f t="shared" si="32"/>
        <v>-223232.7566894653</v>
      </c>
      <c r="D204" s="101">
        <v>0</v>
      </c>
      <c r="E204" s="101">
        <v>0</v>
      </c>
      <c r="F204" s="101">
        <v>0</v>
      </c>
      <c r="G204" s="95">
        <f t="shared" si="33"/>
        <v>-223232.7566894653</v>
      </c>
      <c r="H204" s="92">
        <v>31</v>
      </c>
      <c r="I204" s="93">
        <v>0.015</v>
      </c>
      <c r="J204" s="95">
        <f t="shared" si="37"/>
        <v>-284.39241605644213</v>
      </c>
      <c r="K204" s="95">
        <f t="shared" si="38"/>
        <v>561784.074179488</v>
      </c>
      <c r="L204" s="95">
        <f t="shared" si="39"/>
        <v>338551.3174900227</v>
      </c>
    </row>
    <row r="205" spans="2:12" ht="12.75">
      <c r="B205" s="90">
        <v>41000</v>
      </c>
      <c r="C205" s="94">
        <f>+G204</f>
        <v>-223232.7566894653</v>
      </c>
      <c r="D205" s="101">
        <v>0</v>
      </c>
      <c r="E205" s="101">
        <v>0</v>
      </c>
      <c r="F205" s="101">
        <v>0</v>
      </c>
      <c r="G205" s="95">
        <f>SUM(C205:F205)</f>
        <v>-223232.7566894653</v>
      </c>
      <c r="H205" s="92">
        <v>30</v>
      </c>
      <c r="I205" s="93">
        <v>0.015</v>
      </c>
      <c r="J205" s="95">
        <f>SUM(C205*I205*H205/365)</f>
        <v>-275.2184671513956</v>
      </c>
      <c r="K205" s="95">
        <f>+K204+J205</f>
        <v>561508.8557123366</v>
      </c>
      <c r="L205" s="95">
        <f>+G205+K205</f>
        <v>338276.0990228713</v>
      </c>
    </row>
    <row r="206" spans="2:12" ht="13.5" thickBot="1">
      <c r="B206" s="109"/>
      <c r="C206" s="110"/>
      <c r="D206" s="110"/>
      <c r="E206" s="110"/>
      <c r="F206" s="110"/>
      <c r="G206" s="110"/>
      <c r="H206" s="110"/>
      <c r="I206" s="110"/>
      <c r="J206" s="111"/>
      <c r="K206" s="112"/>
      <c r="L206" s="111"/>
    </row>
    <row r="207" spans="2:12" ht="13.5" thickBot="1">
      <c r="B207" s="113"/>
      <c r="C207" s="114"/>
      <c r="D207" s="130">
        <f>SUM(D59:D206)</f>
        <v>32271013.916666664</v>
      </c>
      <c r="E207" s="130">
        <f>SUM(E59:E206)</f>
        <v>-2015127.1033561316</v>
      </c>
      <c r="F207" s="130">
        <f>SUM(F59:F206)</f>
        <v>-30479119.57</v>
      </c>
      <c r="G207" s="114"/>
      <c r="H207" s="114"/>
      <c r="I207" s="114"/>
      <c r="J207" s="130">
        <f>SUM(J59:J206)</f>
        <v>561508.8557123366</v>
      </c>
      <c r="K207" s="115"/>
      <c r="L207" s="116"/>
    </row>
    <row r="208" spans="2:11" ht="12.75">
      <c r="B208" s="8"/>
      <c r="C208" s="1"/>
      <c r="D208" s="1"/>
      <c r="E208" s="1"/>
      <c r="F208" s="1"/>
      <c r="G208" s="5" t="s">
        <v>0</v>
      </c>
      <c r="H208" s="1"/>
      <c r="I208" s="1"/>
      <c r="K208" s="10"/>
    </row>
    <row r="209" spans="1:8" ht="12.75">
      <c r="A209" s="8"/>
      <c r="B209" s="1"/>
      <c r="C209" s="1"/>
      <c r="D209" s="1"/>
      <c r="E209" s="1"/>
      <c r="F209" s="5" t="s">
        <v>0</v>
      </c>
      <c r="G209" s="1"/>
      <c r="H209" s="1"/>
    </row>
    <row r="210" spans="1:2" ht="12.75">
      <c r="A210" s="8"/>
      <c r="B210" s="1"/>
    </row>
    <row r="211" spans="1:2" ht="12.75">
      <c r="A211" s="8"/>
      <c r="B211" s="1"/>
    </row>
    <row r="212" spans="1:2" ht="12.75">
      <c r="A212" s="8"/>
      <c r="B212" s="1"/>
    </row>
    <row r="213" spans="1:2" ht="12.75">
      <c r="A213" s="8"/>
      <c r="B213" s="1"/>
    </row>
    <row r="214" spans="1:2" ht="12.75">
      <c r="A214" s="8"/>
      <c r="B214" s="1"/>
    </row>
    <row r="215" spans="1:2" ht="12.75">
      <c r="A215" s="8"/>
      <c r="B215" s="1"/>
    </row>
    <row r="216" spans="1:2" ht="12.75">
      <c r="A216" s="8"/>
      <c r="B216" s="1"/>
    </row>
    <row r="217" spans="1:8" ht="12.75">
      <c r="A217" s="8"/>
      <c r="B217" s="1"/>
      <c r="C217" s="1"/>
      <c r="D217" s="1"/>
      <c r="E217" s="1"/>
      <c r="F217" s="1"/>
      <c r="G217" s="1"/>
      <c r="H217" s="1"/>
    </row>
    <row r="218" spans="1:8" ht="12.75">
      <c r="A218" s="8"/>
      <c r="B218" s="1"/>
      <c r="C218" s="1"/>
      <c r="D218" s="1"/>
      <c r="E218" s="1"/>
      <c r="F218" s="1"/>
      <c r="G218" s="1"/>
      <c r="H218" s="1"/>
    </row>
    <row r="219" spans="1:8" ht="12.75">
      <c r="A219" s="8"/>
      <c r="B219" s="1"/>
      <c r="C219" s="1"/>
      <c r="D219" s="1"/>
      <c r="E219" s="1"/>
      <c r="F219" s="1"/>
      <c r="G219" s="1"/>
      <c r="H219" s="1"/>
    </row>
    <row r="220" spans="1:8" ht="12.75">
      <c r="A220" s="8"/>
      <c r="B220" s="1"/>
      <c r="C220" s="1"/>
      <c r="D220" s="1"/>
      <c r="E220" s="1"/>
      <c r="F220" s="1"/>
      <c r="G220" s="1"/>
      <c r="H220" s="1"/>
    </row>
    <row r="221" spans="1:8" ht="12.75">
      <c r="A221" s="8"/>
      <c r="B221" s="1"/>
      <c r="C221" s="1"/>
      <c r="D221" s="1"/>
      <c r="E221" s="1"/>
      <c r="F221" s="1"/>
      <c r="G221" s="1"/>
      <c r="H221" s="1"/>
    </row>
    <row r="222" spans="1:8" ht="12.75">
      <c r="A222" s="8"/>
      <c r="B222" s="1"/>
      <c r="C222" s="1"/>
      <c r="D222" s="1"/>
      <c r="E222" s="1"/>
      <c r="F222" s="1"/>
      <c r="G222" s="1"/>
      <c r="H222" s="1"/>
    </row>
    <row r="223" spans="1:8" ht="12.75">
      <c r="A223" s="8"/>
      <c r="B223" s="1"/>
      <c r="C223" s="1"/>
      <c r="D223" s="1"/>
      <c r="E223" s="1"/>
      <c r="F223" s="1"/>
      <c r="G223" s="1"/>
      <c r="H223" s="1"/>
    </row>
    <row r="224" spans="1:8" ht="12.75">
      <c r="A224" s="8"/>
      <c r="B224" s="1"/>
      <c r="C224" s="1"/>
      <c r="D224" s="1"/>
      <c r="E224" s="1"/>
      <c r="F224" s="1"/>
      <c r="G224" s="1"/>
      <c r="H224" s="1"/>
    </row>
    <row r="225" spans="1:8" ht="12.75">
      <c r="A225" s="8"/>
      <c r="B225" s="1"/>
      <c r="C225" s="1"/>
      <c r="D225" s="1"/>
      <c r="E225" s="1"/>
      <c r="F225" s="1"/>
      <c r="G225" s="1"/>
      <c r="H225" s="1"/>
    </row>
    <row r="226" spans="1:8" ht="12.75">
      <c r="A226" s="8"/>
      <c r="B226" s="1"/>
      <c r="C226" s="1"/>
      <c r="D226" s="1"/>
      <c r="E226" s="1"/>
      <c r="F226" s="1"/>
      <c r="G226" s="1"/>
      <c r="H226" s="1"/>
    </row>
    <row r="227" spans="1:8" ht="12.75">
      <c r="A227" s="8"/>
      <c r="B227" s="1"/>
      <c r="C227" s="1"/>
      <c r="D227" s="1"/>
      <c r="E227" s="1"/>
      <c r="F227" s="1"/>
      <c r="G227" s="1"/>
      <c r="H227" s="1"/>
    </row>
    <row r="228" spans="1:8" ht="12.75">
      <c r="A228" s="8"/>
      <c r="B228" s="1"/>
      <c r="C228" s="1"/>
      <c r="D228" s="1"/>
      <c r="E228" s="1"/>
      <c r="F228" s="1"/>
      <c r="G228" s="1"/>
      <c r="H228" s="1"/>
    </row>
    <row r="229" spans="1:8" ht="12.75">
      <c r="A229" s="8"/>
      <c r="B229" s="1"/>
      <c r="C229" s="1"/>
      <c r="D229" s="1"/>
      <c r="E229" s="1"/>
      <c r="F229" s="1"/>
      <c r="G229" s="1"/>
      <c r="H229" s="1"/>
    </row>
    <row r="230" spans="1:8" ht="12.75">
      <c r="A230" s="8"/>
      <c r="B230" s="1"/>
      <c r="C230" s="1"/>
      <c r="D230" s="1"/>
      <c r="E230" s="1"/>
      <c r="F230" s="1"/>
      <c r="G230" s="1"/>
      <c r="H230" s="1"/>
    </row>
    <row r="231" spans="1:8" ht="12.75">
      <c r="A231" s="8"/>
      <c r="B231" s="1"/>
      <c r="C231" s="1"/>
      <c r="D231" s="1"/>
      <c r="E231" s="1"/>
      <c r="F231" s="1"/>
      <c r="G231" s="1"/>
      <c r="H231" s="1"/>
    </row>
    <row r="232" spans="1:8" ht="12.75">
      <c r="A232" s="8"/>
      <c r="B232" s="1"/>
      <c r="C232" s="1"/>
      <c r="D232" s="1"/>
      <c r="E232" s="1"/>
      <c r="F232" s="1"/>
      <c r="G232" s="1"/>
      <c r="H232" s="1"/>
    </row>
    <row r="233" spans="1:8" ht="12.75">
      <c r="A233" s="8"/>
      <c r="B233" s="1"/>
      <c r="C233" s="1"/>
      <c r="D233" s="1"/>
      <c r="E233" s="1"/>
      <c r="F233" s="1"/>
      <c r="G233" s="1"/>
      <c r="H233" s="1"/>
    </row>
    <row r="234" spans="1:8" ht="12.75">
      <c r="A234" s="8"/>
      <c r="B234" s="1"/>
      <c r="C234" s="1"/>
      <c r="D234" s="1"/>
      <c r="E234" s="1"/>
      <c r="F234" s="1"/>
      <c r="G234" s="1"/>
      <c r="H234" s="1"/>
    </row>
    <row r="235" spans="1:8" ht="12.75">
      <c r="A235" s="8"/>
      <c r="B235" s="1"/>
      <c r="C235" s="1"/>
      <c r="D235" s="1"/>
      <c r="E235" s="1"/>
      <c r="F235" s="1"/>
      <c r="G235" s="1"/>
      <c r="H235" s="1"/>
    </row>
    <row r="236" spans="1:8" ht="12.75">
      <c r="A236" s="8"/>
      <c r="B236" s="1"/>
      <c r="C236" s="1"/>
      <c r="D236" s="1"/>
      <c r="E236" s="1"/>
      <c r="F236" s="1"/>
      <c r="G236" s="1"/>
      <c r="H236" s="1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8"/>
      <c r="B238" s="1"/>
      <c r="C238" s="1"/>
      <c r="D238" s="1"/>
      <c r="E238" s="1"/>
      <c r="F238" s="1"/>
      <c r="G238" s="1"/>
      <c r="H238" s="1"/>
    </row>
    <row r="239" spans="1:8" ht="12.75">
      <c r="A239" s="8"/>
      <c r="B239" s="1"/>
      <c r="C239" s="1"/>
      <c r="D239" s="1"/>
      <c r="E239" s="1"/>
      <c r="F239" s="1"/>
      <c r="G239" s="1"/>
      <c r="H239" s="1"/>
    </row>
    <row r="240" spans="1:8" ht="12.75">
      <c r="A240" s="8"/>
      <c r="B240" s="1"/>
      <c r="C240" s="1"/>
      <c r="D240" s="1"/>
      <c r="E240" s="1"/>
      <c r="F240" s="1"/>
      <c r="G240" s="1"/>
      <c r="H240" s="1"/>
    </row>
    <row r="241" spans="1:8" ht="12.75">
      <c r="A241" s="8"/>
      <c r="B241" s="1"/>
      <c r="C241" s="1"/>
      <c r="D241" s="1"/>
      <c r="E241" s="1"/>
      <c r="F241" s="1"/>
      <c r="G241" s="1"/>
      <c r="H241" s="1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8"/>
      <c r="B243" s="1"/>
      <c r="C243" s="1"/>
      <c r="D243" s="1"/>
      <c r="E243" s="1"/>
      <c r="F243" s="1"/>
      <c r="G243" s="1"/>
      <c r="H243" s="1"/>
    </row>
    <row r="244" spans="1:8" ht="12.75">
      <c r="A244" s="8"/>
      <c r="B244" s="1"/>
      <c r="C244" s="1"/>
      <c r="D244" s="1"/>
      <c r="E244" s="1"/>
      <c r="F244" s="1"/>
      <c r="G244" s="1"/>
      <c r="H244" s="1"/>
    </row>
    <row r="245" spans="1:8" ht="12.75">
      <c r="A245" s="8"/>
      <c r="B245" s="1"/>
      <c r="C245" s="1"/>
      <c r="D245" s="1"/>
      <c r="E245" s="1"/>
      <c r="F245" s="1"/>
      <c r="G245" s="1"/>
      <c r="H245" s="1"/>
    </row>
    <row r="246" spans="1:8" ht="12.75">
      <c r="A246" s="8"/>
      <c r="B246" s="1"/>
      <c r="C246" s="1"/>
      <c r="D246" s="1"/>
      <c r="E246" s="1"/>
      <c r="F246" s="1"/>
      <c r="G246" s="1"/>
      <c r="H246" s="1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8"/>
      <c r="B248" s="1"/>
      <c r="C248" s="1"/>
      <c r="D248" s="1"/>
      <c r="E248" s="1"/>
      <c r="F248" s="1"/>
      <c r="G248" s="1"/>
      <c r="H248" s="1"/>
    </row>
    <row r="249" spans="1:8" ht="12.75">
      <c r="A249" s="8"/>
      <c r="B249" s="1"/>
      <c r="C249" s="1"/>
      <c r="D249" s="1"/>
      <c r="E249" s="1"/>
      <c r="F249" s="1"/>
      <c r="G249" s="1"/>
      <c r="H249" s="1"/>
    </row>
    <row r="250" spans="1:8" ht="12.75">
      <c r="A250" s="8"/>
      <c r="B250" s="1"/>
      <c r="C250" s="1"/>
      <c r="D250" s="1"/>
      <c r="E250" s="1"/>
      <c r="F250" s="1"/>
      <c r="G250" s="1"/>
      <c r="H250" s="1"/>
    </row>
    <row r="251" spans="1:8" ht="12.75">
      <c r="A251" s="8"/>
      <c r="B251" s="1"/>
      <c r="C251" s="1"/>
      <c r="D251" s="1"/>
      <c r="E251" s="1"/>
      <c r="F251" s="1"/>
      <c r="G251" s="1"/>
      <c r="H251" s="1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8"/>
      <c r="B253" s="1"/>
      <c r="C253" s="1"/>
      <c r="D253" s="1"/>
      <c r="E253" s="1"/>
      <c r="F253" s="1"/>
      <c r="G253" s="1"/>
      <c r="H253" s="1"/>
    </row>
    <row r="254" spans="1:8" ht="12.75">
      <c r="A254" s="8"/>
      <c r="B254" s="1"/>
      <c r="C254" s="1"/>
      <c r="D254" s="1"/>
      <c r="E254" s="1"/>
      <c r="F254" s="1"/>
      <c r="G254" s="1"/>
      <c r="H254" s="1"/>
    </row>
    <row r="255" spans="1:8" ht="12.75">
      <c r="A255" s="8"/>
      <c r="B255" s="1"/>
      <c r="C255" s="1"/>
      <c r="D255" s="1"/>
      <c r="E255" s="1"/>
      <c r="F255" s="1"/>
      <c r="G255" s="1"/>
      <c r="H255" s="1"/>
    </row>
    <row r="256" spans="1:8" ht="12.75">
      <c r="A256" s="8"/>
      <c r="B256" s="1"/>
      <c r="C256" s="1"/>
      <c r="D256" s="1"/>
      <c r="E256" s="1"/>
      <c r="F256" s="1"/>
      <c r="G256" s="1"/>
      <c r="H256" s="1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8"/>
      <c r="B258" s="1"/>
      <c r="C258" s="1"/>
      <c r="D258" s="1"/>
      <c r="E258" s="1"/>
      <c r="F258" s="1"/>
      <c r="G258" s="1"/>
      <c r="H258" s="1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8"/>
      <c r="B262" s="1"/>
      <c r="C262" s="1"/>
      <c r="D262" s="1"/>
      <c r="E262" s="1"/>
      <c r="F262" s="1"/>
      <c r="G262" s="1"/>
      <c r="H262" s="1"/>
    </row>
    <row r="263" spans="1:8" ht="12.75">
      <c r="A263" s="8"/>
      <c r="B263" s="1"/>
      <c r="C263" s="1"/>
      <c r="D263" s="1"/>
      <c r="E263" s="1"/>
      <c r="F263" s="1"/>
      <c r="G263" s="1"/>
      <c r="H263" s="1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8"/>
      <c r="B267" s="1"/>
      <c r="C267" s="1"/>
      <c r="D267" s="1"/>
      <c r="E267" s="1"/>
      <c r="F267" s="1"/>
      <c r="G267" s="1"/>
      <c r="H267" s="1"/>
    </row>
    <row r="268" spans="1:8" ht="12.75">
      <c r="A268" s="8"/>
      <c r="B268" s="1"/>
      <c r="C268" s="1"/>
      <c r="D268" s="1"/>
      <c r="E268" s="1"/>
      <c r="F268" s="1"/>
      <c r="G268" s="1"/>
      <c r="H268" s="1"/>
    </row>
    <row r="269" spans="1:8" ht="12.75">
      <c r="A269" s="8"/>
      <c r="B269" s="1"/>
      <c r="C269" s="1"/>
      <c r="D269" s="1"/>
      <c r="E269" s="1"/>
      <c r="F269" s="1"/>
      <c r="G269" s="1"/>
      <c r="H269" s="1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8"/>
      <c r="B273" s="1"/>
      <c r="C273" s="1"/>
      <c r="D273" s="1"/>
      <c r="E273" s="1"/>
      <c r="F273" s="1"/>
      <c r="G273" s="1"/>
      <c r="H273" s="1"/>
    </row>
    <row r="274" spans="1:8" ht="12.75">
      <c r="A274" s="8"/>
      <c r="B274" s="1"/>
      <c r="C274" s="1"/>
      <c r="D274" s="1"/>
      <c r="E274" s="1"/>
      <c r="F274" s="1"/>
      <c r="G274" s="1"/>
      <c r="H274" s="1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8"/>
      <c r="B278" s="1"/>
      <c r="C278" s="1"/>
      <c r="D278" s="1"/>
      <c r="E278" s="1"/>
      <c r="F278" s="1"/>
      <c r="G278" s="1"/>
      <c r="H278" s="1"/>
    </row>
    <row r="279" spans="1:8" ht="12.75">
      <c r="A279" s="8"/>
      <c r="B279" s="1"/>
      <c r="C279" s="1"/>
      <c r="D279" s="1"/>
      <c r="E279" s="1"/>
      <c r="F279" s="1"/>
      <c r="G279" s="1"/>
      <c r="H279" s="1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8"/>
      <c r="B283" s="1"/>
      <c r="C283" s="1"/>
      <c r="D283" s="1"/>
      <c r="E283" s="1"/>
      <c r="F283" s="1"/>
      <c r="G283" s="1"/>
      <c r="H283" s="1"/>
    </row>
    <row r="284" spans="1:8" ht="12.75">
      <c r="A284" s="8"/>
      <c r="B284" s="1"/>
      <c r="C284" s="1"/>
      <c r="D284" s="1"/>
      <c r="E284" s="1"/>
      <c r="F284" s="1"/>
      <c r="G284" s="1"/>
      <c r="H284" s="1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8"/>
      <c r="B288" s="1"/>
      <c r="C288" s="1"/>
      <c r="D288" s="1"/>
      <c r="E288" s="1"/>
      <c r="F288" s="1"/>
      <c r="G288" s="1"/>
      <c r="H288" s="1"/>
    </row>
    <row r="289" spans="1:8" ht="12.75">
      <c r="A289" s="8"/>
      <c r="B289" s="1"/>
      <c r="C289" s="1"/>
      <c r="D289" s="1"/>
      <c r="E289" s="1"/>
      <c r="F289" s="1"/>
      <c r="G289" s="1"/>
      <c r="H289" s="1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8"/>
      <c r="B293" s="1"/>
      <c r="C293" s="1"/>
      <c r="D293" s="1"/>
      <c r="E293" s="1"/>
      <c r="F293" s="1"/>
      <c r="G293" s="1"/>
      <c r="H293" s="1"/>
    </row>
    <row r="294" spans="1:8" ht="12.75">
      <c r="A294" s="8"/>
      <c r="B294" s="1"/>
      <c r="C294" s="1"/>
      <c r="D294" s="1"/>
      <c r="E294" s="1"/>
      <c r="F294" s="1"/>
      <c r="G294" s="1"/>
      <c r="H294" s="1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8"/>
      <c r="B298" s="1"/>
      <c r="C298" s="1"/>
      <c r="D298" s="1"/>
      <c r="E298" s="1"/>
      <c r="F298" s="1"/>
      <c r="G298" s="1"/>
      <c r="H298" s="1"/>
    </row>
    <row r="299" spans="1:8" ht="12.75">
      <c r="A299" s="8"/>
      <c r="B299" s="1"/>
      <c r="C299" s="1"/>
      <c r="D299" s="1"/>
      <c r="E299" s="1"/>
      <c r="F299" s="1"/>
      <c r="G299" s="1"/>
      <c r="H299" s="1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8"/>
      <c r="B303" s="1"/>
      <c r="C303" s="1"/>
      <c r="D303" s="1"/>
      <c r="E303" s="1"/>
      <c r="F303" s="1"/>
      <c r="G303" s="1"/>
      <c r="H303" s="1"/>
    </row>
    <row r="304" spans="1:8" ht="12.75">
      <c r="A304" s="8"/>
      <c r="B304" s="1"/>
      <c r="C304" s="1"/>
      <c r="D304" s="1"/>
      <c r="E304" s="1"/>
      <c r="F304" s="1"/>
      <c r="G304" s="1"/>
      <c r="H304" s="1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8"/>
      <c r="B308" s="1"/>
      <c r="C308" s="1"/>
      <c r="D308" s="1"/>
      <c r="E308" s="1"/>
      <c r="F308" s="1"/>
      <c r="G308" s="1"/>
      <c r="H308" s="1"/>
    </row>
    <row r="309" spans="1:8" ht="12.75">
      <c r="A309" s="8"/>
      <c r="B309" s="1"/>
      <c r="C309" s="1"/>
      <c r="D309" s="1"/>
      <c r="E309" s="1"/>
      <c r="F309" s="1"/>
      <c r="G309" s="1"/>
      <c r="H309" s="1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8"/>
      <c r="B313" s="1"/>
      <c r="C313" s="1"/>
      <c r="D313" s="1"/>
      <c r="E313" s="1"/>
      <c r="F313" s="1"/>
      <c r="G313" s="1"/>
      <c r="H313" s="1"/>
    </row>
    <row r="314" spans="1:8" ht="12.75">
      <c r="A314" s="8"/>
      <c r="B314" s="1"/>
      <c r="C314" s="1"/>
      <c r="D314" s="1"/>
      <c r="E314" s="1"/>
      <c r="F314" s="1"/>
      <c r="G314" s="1"/>
      <c r="H314" s="1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8"/>
      <c r="B318" s="1"/>
      <c r="C318" s="1"/>
      <c r="D318" s="1"/>
      <c r="E318" s="1"/>
      <c r="F318" s="1"/>
      <c r="G318" s="1"/>
      <c r="H318" s="1"/>
    </row>
    <row r="319" spans="1:8" ht="12.75">
      <c r="A319" s="8"/>
      <c r="B319" s="1"/>
      <c r="C319" s="1"/>
      <c r="D319" s="1"/>
      <c r="E319" s="1"/>
      <c r="F319" s="1"/>
      <c r="G319" s="1"/>
      <c r="H319" s="1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8"/>
      <c r="B323" s="1"/>
      <c r="C323" s="1"/>
      <c r="D323" s="1"/>
      <c r="E323" s="1"/>
      <c r="F323" s="1"/>
      <c r="G323" s="1"/>
      <c r="H323" s="1"/>
    </row>
    <row r="324" spans="1:8" ht="12.75">
      <c r="A324" s="8"/>
      <c r="B324" s="1"/>
      <c r="C324" s="1"/>
      <c r="D324" s="1"/>
      <c r="E324" s="1"/>
      <c r="F324" s="1"/>
      <c r="G324" s="1"/>
      <c r="H324" s="1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1"/>
      <c r="C328" s="1"/>
      <c r="D328" s="1"/>
      <c r="E328" s="1"/>
      <c r="F328" s="1"/>
      <c r="G328" s="1"/>
      <c r="H328" s="1"/>
    </row>
    <row r="329" spans="1:8" ht="12.75">
      <c r="A329" s="8"/>
      <c r="B329" s="1"/>
      <c r="C329" s="1"/>
      <c r="D329" s="1"/>
      <c r="E329" s="1"/>
      <c r="F329" s="1"/>
      <c r="G329" s="1"/>
      <c r="H329" s="1"/>
    </row>
    <row r="330" spans="1:8" ht="12.75">
      <c r="A330" s="8"/>
      <c r="B330" s="1"/>
      <c r="C330" s="1"/>
      <c r="D330" s="1"/>
      <c r="E330" s="1"/>
      <c r="F330" s="1"/>
      <c r="G330" s="1"/>
      <c r="H330" s="1"/>
    </row>
    <row r="331" spans="1:8" ht="12.75">
      <c r="A331" s="8"/>
      <c r="B331" s="1"/>
      <c r="C331" s="1"/>
      <c r="D331" s="1"/>
      <c r="E331" s="1"/>
      <c r="F331" s="1"/>
      <c r="G331" s="1"/>
      <c r="H331" s="1"/>
    </row>
    <row r="332" spans="1:8" ht="12.75">
      <c r="A332" s="8"/>
      <c r="B332" s="1"/>
      <c r="C332" s="1"/>
      <c r="D332" s="1"/>
      <c r="E332" s="1"/>
      <c r="F332" s="1"/>
      <c r="G332" s="1"/>
      <c r="H332" s="1"/>
    </row>
    <row r="333" spans="1:8" ht="12.75">
      <c r="A333" s="8"/>
      <c r="B333" s="1"/>
      <c r="C333" s="1"/>
      <c r="D333" s="1"/>
      <c r="E333" s="1"/>
      <c r="F333" s="1"/>
      <c r="G333" s="1"/>
      <c r="H333" s="1"/>
    </row>
    <row r="334" spans="1:8" ht="12.75">
      <c r="A334" s="8"/>
      <c r="B334" s="1"/>
      <c r="C334" s="1"/>
      <c r="D334" s="1"/>
      <c r="E334" s="1"/>
      <c r="F334" s="1"/>
      <c r="G334" s="1"/>
      <c r="H334" s="1"/>
    </row>
    <row r="335" spans="1:8" ht="12.75">
      <c r="A335" s="8"/>
      <c r="B335" s="1"/>
      <c r="C335" s="1"/>
      <c r="D335" s="1"/>
      <c r="E335" s="1"/>
      <c r="F335" s="1"/>
      <c r="G335" s="1"/>
      <c r="H335" s="1"/>
    </row>
    <row r="336" spans="1:8" ht="12.75">
      <c r="A336" s="8"/>
      <c r="B336" s="1"/>
      <c r="C336" s="1"/>
      <c r="D336" s="1"/>
      <c r="E336" s="1"/>
      <c r="F336" s="1"/>
      <c r="G336" s="1"/>
      <c r="H336" s="1"/>
    </row>
    <row r="337" spans="1:8" ht="12.75">
      <c r="A337" s="8"/>
      <c r="B337" s="1"/>
      <c r="C337" s="1"/>
      <c r="D337" s="1"/>
      <c r="E337" s="1"/>
      <c r="F337" s="1"/>
      <c r="G337" s="1"/>
      <c r="H337" s="1"/>
    </row>
    <row r="338" spans="1:8" ht="12.75">
      <c r="A338" s="8"/>
      <c r="B338" s="1"/>
      <c r="C338" s="1"/>
      <c r="D338" s="1"/>
      <c r="E338" s="1"/>
      <c r="F338" s="1"/>
      <c r="G338" s="1"/>
      <c r="H338" s="1"/>
    </row>
    <row r="339" spans="1:8" ht="12.75">
      <c r="A339" s="8"/>
      <c r="B339" s="1"/>
      <c r="C339" s="1"/>
      <c r="D339" s="1"/>
      <c r="E339" s="1"/>
      <c r="F339" s="1"/>
      <c r="G339" s="1"/>
      <c r="H339" s="1"/>
    </row>
    <row r="340" spans="1:8" ht="12.75">
      <c r="A340" s="8"/>
      <c r="B340" s="1"/>
      <c r="C340" s="1"/>
      <c r="D340" s="1"/>
      <c r="E340" s="1"/>
      <c r="F340" s="1"/>
      <c r="G340" s="1"/>
      <c r="H340" s="1"/>
    </row>
    <row r="341" spans="1:8" ht="12.75">
      <c r="A341" s="8"/>
      <c r="B341" s="1"/>
      <c r="C341" s="1"/>
      <c r="D341" s="1"/>
      <c r="E341" s="1"/>
      <c r="F341" s="1"/>
      <c r="G341" s="1"/>
      <c r="H341" s="1"/>
    </row>
    <row r="342" spans="1:8" ht="12.75">
      <c r="A342" s="8"/>
      <c r="B342" s="1"/>
      <c r="C342" s="1"/>
      <c r="D342" s="1"/>
      <c r="E342" s="1"/>
      <c r="F342" s="1"/>
      <c r="G342" s="1"/>
      <c r="H342" s="1"/>
    </row>
    <row r="343" spans="1:8" ht="12.75">
      <c r="A343" s="8"/>
      <c r="B343" s="1"/>
      <c r="C343" s="1"/>
      <c r="D343" s="1"/>
      <c r="E343" s="1"/>
      <c r="F343" s="1"/>
      <c r="G343" s="1"/>
      <c r="H343" s="1"/>
    </row>
    <row r="344" spans="1:8" ht="12.75">
      <c r="A344" s="8"/>
      <c r="B344" s="1"/>
      <c r="C344" s="1"/>
      <c r="D344" s="1"/>
      <c r="E344" s="1"/>
      <c r="F344" s="1"/>
      <c r="G344" s="1"/>
      <c r="H344" s="1"/>
    </row>
    <row r="345" spans="1:8" ht="12.75">
      <c r="A345" s="8"/>
      <c r="B345" s="1"/>
      <c r="C345" s="1"/>
      <c r="D345" s="1"/>
      <c r="E345" s="1"/>
      <c r="F345" s="1"/>
      <c r="G345" s="1"/>
      <c r="H345" s="1"/>
    </row>
    <row r="346" spans="1:8" ht="12.75">
      <c r="A346" s="8"/>
      <c r="B346" s="1"/>
      <c r="C346" s="1"/>
      <c r="D346" s="1"/>
      <c r="E346" s="1"/>
      <c r="F346" s="1"/>
      <c r="G346" s="1"/>
      <c r="H346" s="1"/>
    </row>
    <row r="347" spans="1:8" ht="12.75">
      <c r="A347" s="8"/>
      <c r="B347" s="1"/>
      <c r="C347" s="1"/>
      <c r="D347" s="1"/>
      <c r="E347" s="1"/>
      <c r="F347" s="1"/>
      <c r="G347" s="1"/>
      <c r="H347" s="1"/>
    </row>
    <row r="348" spans="1:8" ht="12.75">
      <c r="A348" s="8"/>
      <c r="B348" s="1"/>
      <c r="C348" s="1"/>
      <c r="D348" s="1"/>
      <c r="E348" s="1"/>
      <c r="F348" s="1"/>
      <c r="G348" s="1"/>
      <c r="H348" s="1"/>
    </row>
    <row r="349" spans="1:8" ht="12.75">
      <c r="A349" s="8"/>
      <c r="B349" s="1"/>
      <c r="C349" s="1"/>
      <c r="D349" s="1"/>
      <c r="E349" s="1"/>
      <c r="F349" s="1"/>
      <c r="G349" s="1"/>
      <c r="H349" s="1"/>
    </row>
    <row r="350" spans="1:8" ht="12.75">
      <c r="A350" s="8"/>
      <c r="B350" s="1"/>
      <c r="C350" s="1"/>
      <c r="D350" s="1"/>
      <c r="E350" s="1"/>
      <c r="F350" s="1"/>
      <c r="G350" s="1"/>
      <c r="H350" s="1"/>
    </row>
    <row r="351" spans="1:8" ht="12.75">
      <c r="A351" s="8"/>
      <c r="B351" s="1"/>
      <c r="C351" s="1"/>
      <c r="D351" s="1"/>
      <c r="E351" s="1"/>
      <c r="F351" s="1"/>
      <c r="G351" s="1"/>
      <c r="H351" s="1"/>
    </row>
    <row r="352" spans="1:8" ht="12.75">
      <c r="A352" s="8"/>
      <c r="B352" s="1"/>
      <c r="C352" s="1"/>
      <c r="D352" s="1"/>
      <c r="E352" s="1"/>
      <c r="F352" s="1"/>
      <c r="G352" s="1"/>
      <c r="H352" s="1"/>
    </row>
    <row r="353" spans="1:8" ht="12.75">
      <c r="A353" s="8"/>
      <c r="B353" s="1"/>
      <c r="C353" s="1"/>
      <c r="D353" s="1"/>
      <c r="E353" s="1"/>
      <c r="F353" s="1"/>
      <c r="G353" s="1"/>
      <c r="H353" s="1"/>
    </row>
    <row r="354" spans="1:8" ht="12.75">
      <c r="A354" s="8"/>
      <c r="B354" s="1"/>
      <c r="C354" s="1"/>
      <c r="D354" s="1"/>
      <c r="E354" s="1"/>
      <c r="F354" s="1"/>
      <c r="G354" s="1"/>
      <c r="H354" s="1"/>
    </row>
    <row r="355" spans="1:8" ht="12.75">
      <c r="A355" s="8"/>
      <c r="B355" s="1"/>
      <c r="C355" s="1"/>
      <c r="D355" s="1"/>
      <c r="E355" s="1"/>
      <c r="F355" s="1"/>
      <c r="G355" s="1"/>
      <c r="H355" s="1"/>
    </row>
    <row r="356" spans="1:8" ht="12.75">
      <c r="A356" s="8"/>
      <c r="B356" s="1"/>
      <c r="C356" s="1"/>
      <c r="D356" s="1"/>
      <c r="E356" s="1"/>
      <c r="F356" s="1"/>
      <c r="G356" s="1"/>
      <c r="H356" s="1"/>
    </row>
    <row r="357" spans="1:8" ht="12.75">
      <c r="A357" s="8"/>
      <c r="B357" s="1"/>
      <c r="C357" s="1"/>
      <c r="D357" s="1"/>
      <c r="E357" s="1"/>
      <c r="F357" s="1"/>
      <c r="G357" s="1"/>
      <c r="H357" s="1"/>
    </row>
    <row r="358" spans="1:8" ht="12.75">
      <c r="A358" s="8"/>
      <c r="B358" s="1"/>
      <c r="C358" s="1"/>
      <c r="D358" s="1"/>
      <c r="E358" s="1"/>
      <c r="F358" s="1"/>
      <c r="G358" s="1"/>
      <c r="H358" s="1"/>
    </row>
    <row r="359" spans="1:8" ht="12.75">
      <c r="A359" s="8"/>
      <c r="B359" s="1"/>
      <c r="C359" s="1"/>
      <c r="D359" s="1"/>
      <c r="E359" s="1"/>
      <c r="F359" s="1"/>
      <c r="G359" s="1"/>
      <c r="H359" s="1"/>
    </row>
    <row r="360" spans="1:8" ht="12.75">
      <c r="A360" s="8"/>
      <c r="B360" s="1"/>
      <c r="C360" s="1"/>
      <c r="D360" s="1"/>
      <c r="E360" s="1"/>
      <c r="F360" s="1"/>
      <c r="G360" s="1"/>
      <c r="H360" s="1"/>
    </row>
    <row r="361" spans="1:8" ht="12.75">
      <c r="A361" s="8"/>
      <c r="B361" s="1"/>
      <c r="C361" s="1"/>
      <c r="D361" s="1"/>
      <c r="E361" s="1"/>
      <c r="F361" s="1"/>
      <c r="G361" s="1"/>
      <c r="H361" s="1"/>
    </row>
    <row r="362" spans="1:8" ht="12.75">
      <c r="A362" s="8"/>
      <c r="B362" s="1"/>
      <c r="C362" s="1"/>
      <c r="D362" s="1"/>
      <c r="E362" s="1"/>
      <c r="F362" s="1"/>
      <c r="G362" s="1"/>
      <c r="H362" s="1"/>
    </row>
    <row r="363" spans="1:8" ht="12.75">
      <c r="A363" s="8"/>
      <c r="B363" s="1"/>
      <c r="C363" s="1"/>
      <c r="D363" s="1"/>
      <c r="E363" s="1"/>
      <c r="F363" s="1"/>
      <c r="G363" s="1"/>
      <c r="H363" s="1"/>
    </row>
    <row r="364" spans="1:8" ht="12.75">
      <c r="A364" s="8"/>
      <c r="B364" s="1"/>
      <c r="C364" s="1"/>
      <c r="D364" s="1"/>
      <c r="E364" s="1"/>
      <c r="F364" s="1"/>
      <c r="G364" s="1"/>
      <c r="H364" s="1"/>
    </row>
    <row r="365" spans="1:8" ht="12.75">
      <c r="A365" s="8"/>
      <c r="B365" s="1"/>
      <c r="C365" s="1"/>
      <c r="D365" s="1"/>
      <c r="E365" s="1"/>
      <c r="F365" s="1"/>
      <c r="G365" s="1"/>
      <c r="H365" s="1"/>
    </row>
    <row r="366" spans="1:8" ht="12.75">
      <c r="A366" s="8"/>
      <c r="B366" s="1"/>
      <c r="C366" s="1"/>
      <c r="D366" s="1"/>
      <c r="E366" s="1"/>
      <c r="F366" s="1"/>
      <c r="G366" s="1"/>
      <c r="H366" s="1"/>
    </row>
    <row r="367" spans="1:8" ht="12.75">
      <c r="A367" s="8"/>
      <c r="B367" s="1"/>
      <c r="C367" s="1"/>
      <c r="D367" s="1"/>
      <c r="E367" s="1"/>
      <c r="F367" s="1"/>
      <c r="G367" s="1"/>
      <c r="H367" s="1"/>
    </row>
    <row r="368" spans="1:8" ht="12.75">
      <c r="A368" s="8"/>
      <c r="B368" s="1"/>
      <c r="C368" s="1"/>
      <c r="D368" s="1"/>
      <c r="E368" s="1"/>
      <c r="F368" s="1"/>
      <c r="G368" s="1"/>
      <c r="H368" s="1"/>
    </row>
    <row r="369" spans="1:8" ht="12.75">
      <c r="A369" s="8"/>
      <c r="B369" s="1"/>
      <c r="C369" s="1"/>
      <c r="D369" s="1"/>
      <c r="E369" s="1"/>
      <c r="F369" s="1"/>
      <c r="G369" s="1"/>
      <c r="H369" s="1"/>
    </row>
    <row r="370" spans="1:8" ht="12.75">
      <c r="A370" s="8"/>
      <c r="B370" s="1"/>
      <c r="C370" s="1"/>
      <c r="D370" s="1"/>
      <c r="E370" s="1"/>
      <c r="F370" s="1"/>
      <c r="G370" s="1"/>
      <c r="H370" s="1"/>
    </row>
    <row r="371" spans="1:8" ht="12.75">
      <c r="A371" s="8"/>
      <c r="B371" s="1"/>
      <c r="C371" s="1"/>
      <c r="D371" s="1"/>
      <c r="E371" s="1"/>
      <c r="F371" s="1"/>
      <c r="G371" s="1"/>
      <c r="H371" s="1"/>
    </row>
    <row r="372" spans="1:8" ht="12.75">
      <c r="A372" s="8"/>
      <c r="B372" s="1"/>
      <c r="C372" s="1"/>
      <c r="D372" s="1"/>
      <c r="E372" s="1"/>
      <c r="F372" s="1"/>
      <c r="G372" s="1"/>
      <c r="H372" s="1"/>
    </row>
    <row r="373" spans="1:8" ht="12.75">
      <c r="A373" s="8"/>
      <c r="B373" s="1"/>
      <c r="C373" s="1"/>
      <c r="D373" s="1"/>
      <c r="E373" s="1"/>
      <c r="F373" s="1"/>
      <c r="G373" s="1"/>
      <c r="H373" s="1"/>
    </row>
    <row r="374" spans="1:8" ht="12.75">
      <c r="A374" s="8"/>
      <c r="B374" s="1"/>
      <c r="C374" s="1"/>
      <c r="D374" s="1"/>
      <c r="E374" s="1"/>
      <c r="F374" s="1"/>
      <c r="G374" s="1"/>
      <c r="H374" s="1"/>
    </row>
    <row r="375" spans="1:8" ht="12.75">
      <c r="A375" s="8"/>
      <c r="B375" s="1"/>
      <c r="C375" s="1"/>
      <c r="D375" s="1"/>
      <c r="E375" s="1"/>
      <c r="F375" s="1"/>
      <c r="G375" s="1"/>
      <c r="H375" s="1"/>
    </row>
    <row r="376" spans="1:8" ht="12.75">
      <c r="A376" s="8"/>
      <c r="B376" s="1"/>
      <c r="C376" s="1"/>
      <c r="D376" s="1"/>
      <c r="E376" s="1"/>
      <c r="F376" s="1"/>
      <c r="G376" s="1"/>
      <c r="H376" s="1"/>
    </row>
    <row r="377" spans="1:8" ht="12.75">
      <c r="A377" s="8"/>
      <c r="B377" s="1"/>
      <c r="C377" s="1"/>
      <c r="D377" s="1"/>
      <c r="E377" s="1"/>
      <c r="F377" s="1"/>
      <c r="G377" s="1"/>
      <c r="H377" s="1"/>
    </row>
    <row r="378" spans="1:8" ht="12.75">
      <c r="A378" s="8"/>
      <c r="B378" s="1"/>
      <c r="C378" s="1"/>
      <c r="D378" s="1"/>
      <c r="E378" s="1"/>
      <c r="F378" s="1"/>
      <c r="G378" s="1"/>
      <c r="H378" s="1"/>
    </row>
    <row r="379" spans="1:8" ht="12.75">
      <c r="A379" s="8"/>
      <c r="B379" s="1"/>
      <c r="C379" s="1"/>
      <c r="D379" s="1"/>
      <c r="E379" s="1"/>
      <c r="F379" s="1"/>
      <c r="G379" s="1"/>
      <c r="H379" s="1"/>
    </row>
    <row r="380" spans="1:8" ht="12.75">
      <c r="A380" s="8"/>
      <c r="B380" s="1"/>
      <c r="C380" s="1"/>
      <c r="D380" s="1"/>
      <c r="E380" s="1"/>
      <c r="F380" s="1"/>
      <c r="G380" s="1"/>
      <c r="H380" s="1"/>
    </row>
    <row r="381" spans="1:8" ht="12.75">
      <c r="A381" s="8"/>
      <c r="B381" s="1"/>
      <c r="C381" s="1"/>
      <c r="D381" s="1"/>
      <c r="E381" s="1"/>
      <c r="F381" s="1"/>
      <c r="G381" s="1"/>
      <c r="H381" s="1"/>
    </row>
    <row r="382" spans="1:8" ht="12.75">
      <c r="A382" s="8"/>
      <c r="B382" s="1"/>
      <c r="C382" s="1"/>
      <c r="D382" s="1"/>
      <c r="E382" s="1"/>
      <c r="F382" s="1"/>
      <c r="G382" s="1"/>
      <c r="H382" s="1"/>
    </row>
    <row r="383" spans="1:8" ht="12.75">
      <c r="A383" s="8"/>
      <c r="B383" s="1"/>
      <c r="C383" s="1"/>
      <c r="D383" s="1"/>
      <c r="E383" s="1"/>
      <c r="F383" s="1"/>
      <c r="G383" s="1"/>
      <c r="H383" s="1"/>
    </row>
    <row r="384" spans="1:8" ht="12.75">
      <c r="A384" s="8"/>
      <c r="B384" s="1"/>
      <c r="C384" s="1"/>
      <c r="D384" s="1"/>
      <c r="E384" s="1"/>
      <c r="F384" s="1"/>
      <c r="G384" s="1"/>
      <c r="H384" s="1"/>
    </row>
    <row r="385" spans="1:8" ht="12.75">
      <c r="A385" s="8"/>
      <c r="B385" s="1"/>
      <c r="C385" s="1"/>
      <c r="D385" s="1"/>
      <c r="E385" s="1"/>
      <c r="F385" s="1"/>
      <c r="G385" s="1"/>
      <c r="H385" s="1"/>
    </row>
    <row r="386" spans="1:8" ht="12.75">
      <c r="A386" s="8"/>
      <c r="B386" s="1"/>
      <c r="C386" s="1"/>
      <c r="D386" s="1"/>
      <c r="E386" s="1"/>
      <c r="F386" s="1"/>
      <c r="G386" s="1"/>
      <c r="H386" s="1"/>
    </row>
    <row r="387" spans="1:8" ht="12.75">
      <c r="A387" s="8"/>
      <c r="B387" s="1"/>
      <c r="C387" s="1"/>
      <c r="D387" s="1"/>
      <c r="E387" s="1"/>
      <c r="F387" s="1"/>
      <c r="G387" s="1"/>
      <c r="H387" s="1"/>
    </row>
    <row r="388" spans="1:8" ht="12.75">
      <c r="A388" s="8"/>
      <c r="B388" s="1"/>
      <c r="C388" s="1"/>
      <c r="D388" s="1"/>
      <c r="E388" s="1"/>
      <c r="F388" s="1"/>
      <c r="G388" s="1"/>
      <c r="H388" s="1"/>
    </row>
    <row r="389" spans="1:8" ht="12.75">
      <c r="A389" s="8"/>
      <c r="B389" s="1"/>
      <c r="C389" s="1"/>
      <c r="D389" s="1"/>
      <c r="E389" s="1"/>
      <c r="F389" s="1"/>
      <c r="G389" s="1"/>
      <c r="H389" s="1"/>
    </row>
    <row r="390" spans="1:8" ht="12.75">
      <c r="A390" s="8"/>
      <c r="B390" s="1"/>
      <c r="C390" s="1"/>
      <c r="D390" s="1"/>
      <c r="E390" s="1"/>
      <c r="F390" s="1"/>
      <c r="G390" s="1"/>
      <c r="H390" s="1"/>
    </row>
    <row r="391" spans="1:8" ht="12.75">
      <c r="A391" s="8"/>
      <c r="B391" s="1"/>
      <c r="C391" s="1"/>
      <c r="D391" s="1"/>
      <c r="E391" s="1"/>
      <c r="F391" s="1"/>
      <c r="G391" s="1"/>
      <c r="H391" s="1"/>
    </row>
    <row r="392" spans="1:8" ht="12.75">
      <c r="A392" s="8"/>
      <c r="B392" s="1"/>
      <c r="C392" s="1"/>
      <c r="D392" s="1"/>
      <c r="E392" s="1"/>
      <c r="F392" s="1"/>
      <c r="G392" s="1"/>
      <c r="H392" s="1"/>
    </row>
    <row r="393" spans="1:8" ht="12.75">
      <c r="A393" s="8"/>
      <c r="B393" s="1"/>
      <c r="C393" s="1"/>
      <c r="D393" s="1"/>
      <c r="E393" s="1"/>
      <c r="F393" s="1"/>
      <c r="G393" s="1"/>
      <c r="H393" s="1"/>
    </row>
    <row r="394" spans="1:8" ht="12.75">
      <c r="A394" s="8"/>
      <c r="B394" s="1"/>
      <c r="C394" s="1"/>
      <c r="D394" s="1"/>
      <c r="E394" s="1"/>
      <c r="F394" s="1"/>
      <c r="G394" s="1"/>
      <c r="H394" s="1"/>
    </row>
    <row r="395" spans="1:8" ht="12.75">
      <c r="A395" s="8"/>
      <c r="B395" s="1"/>
      <c r="C395" s="1"/>
      <c r="D395" s="1"/>
      <c r="E395" s="1"/>
      <c r="F395" s="1"/>
      <c r="G395" s="1"/>
      <c r="H395" s="1"/>
    </row>
    <row r="396" spans="1:8" ht="12.75">
      <c r="A396" s="8"/>
      <c r="B396" s="1"/>
      <c r="C396" s="1"/>
      <c r="D396" s="1"/>
      <c r="E396" s="1"/>
      <c r="F396" s="1"/>
      <c r="G396" s="1"/>
      <c r="H396" s="1"/>
    </row>
    <row r="397" spans="1:8" ht="12.75">
      <c r="A397" s="8"/>
      <c r="B397" s="1"/>
      <c r="C397" s="1"/>
      <c r="D397" s="1"/>
      <c r="E397" s="1"/>
      <c r="F397" s="1"/>
      <c r="G397" s="1"/>
      <c r="H397" s="1"/>
    </row>
    <row r="398" spans="1:8" ht="12.75">
      <c r="A398" s="8"/>
      <c r="B398" s="1"/>
      <c r="C398" s="1"/>
      <c r="D398" s="1"/>
      <c r="E398" s="1"/>
      <c r="F398" s="1"/>
      <c r="G398" s="1"/>
      <c r="H398" s="1"/>
    </row>
    <row r="399" spans="1:8" ht="12.75">
      <c r="A399" s="8"/>
      <c r="B399" s="1"/>
      <c r="C399" s="1"/>
      <c r="D399" s="1"/>
      <c r="E399" s="1"/>
      <c r="F399" s="1"/>
      <c r="G399" s="1"/>
      <c r="H399" s="1"/>
    </row>
    <row r="400" spans="1:8" ht="12.75">
      <c r="A400" s="8"/>
      <c r="B400" s="1"/>
      <c r="C400" s="1"/>
      <c r="D400" s="1"/>
      <c r="E400" s="1"/>
      <c r="F400" s="1"/>
      <c r="G400" s="1"/>
      <c r="H400" s="1"/>
    </row>
    <row r="401" spans="1:8" ht="12.75">
      <c r="A401" s="8"/>
      <c r="B401" s="1"/>
      <c r="C401" s="1"/>
      <c r="D401" s="1"/>
      <c r="E401" s="1"/>
      <c r="F401" s="1"/>
      <c r="G401" s="1"/>
      <c r="H401" s="1"/>
    </row>
    <row r="402" spans="1:8" ht="12.75">
      <c r="A402" s="8"/>
      <c r="B402" s="1"/>
      <c r="C402" s="1"/>
      <c r="D402" s="1"/>
      <c r="E402" s="1"/>
      <c r="F402" s="1"/>
      <c r="G402" s="1"/>
      <c r="H402" s="1"/>
    </row>
    <row r="403" spans="1:8" ht="12.75">
      <c r="A403" s="8"/>
      <c r="B403" s="1"/>
      <c r="C403" s="1"/>
      <c r="D403" s="1"/>
      <c r="E403" s="1"/>
      <c r="F403" s="1"/>
      <c r="G403" s="1"/>
      <c r="H403" s="1"/>
    </row>
    <row r="404" spans="1:8" ht="12.75">
      <c r="A404" s="8"/>
      <c r="B404" s="1"/>
      <c r="C404" s="1"/>
      <c r="D404" s="1"/>
      <c r="E404" s="1"/>
      <c r="F404" s="1"/>
      <c r="G404" s="1"/>
      <c r="H404" s="1"/>
    </row>
    <row r="405" spans="1:8" ht="12.75">
      <c r="A405" s="8"/>
      <c r="B405" s="1"/>
      <c r="C405" s="1"/>
      <c r="D405" s="1"/>
      <c r="E405" s="1"/>
      <c r="F405" s="1"/>
      <c r="G405" s="1"/>
      <c r="H405" s="1"/>
    </row>
    <row r="406" spans="1:8" ht="12.75">
      <c r="A406" s="8"/>
      <c r="B406" s="1"/>
      <c r="C406" s="1"/>
      <c r="D406" s="1"/>
      <c r="E406" s="1"/>
      <c r="F406" s="1"/>
      <c r="G406" s="1"/>
      <c r="H406" s="1"/>
    </row>
    <row r="407" spans="1:8" ht="12.75">
      <c r="A407" s="8"/>
      <c r="B407" s="1"/>
      <c r="C407" s="1"/>
      <c r="D407" s="1"/>
      <c r="E407" s="1"/>
      <c r="F407" s="1"/>
      <c r="G407" s="1"/>
      <c r="H407" s="1"/>
    </row>
    <row r="408" spans="1:8" ht="12.75">
      <c r="A408" s="8"/>
      <c r="B408" s="1"/>
      <c r="C408" s="1"/>
      <c r="D408" s="1"/>
      <c r="E408" s="1"/>
      <c r="F408" s="1"/>
      <c r="G408" s="1"/>
      <c r="H408" s="1"/>
    </row>
    <row r="409" spans="1:8" ht="12.75">
      <c r="A409" s="8"/>
      <c r="B409" s="1"/>
      <c r="C409" s="1"/>
      <c r="D409" s="1"/>
      <c r="E409" s="1"/>
      <c r="F409" s="1"/>
      <c r="G409" s="1"/>
      <c r="H409" s="1"/>
    </row>
    <row r="410" spans="1:8" ht="12.75">
      <c r="A410" s="8"/>
      <c r="B410" s="1"/>
      <c r="C410" s="1"/>
      <c r="D410" s="1"/>
      <c r="E410" s="1"/>
      <c r="F410" s="1"/>
      <c r="G410" s="1"/>
      <c r="H410" s="1"/>
    </row>
    <row r="411" spans="1:8" ht="12.75">
      <c r="A411" s="8"/>
      <c r="B411" s="1"/>
      <c r="C411" s="1"/>
      <c r="D411" s="1"/>
      <c r="E411" s="1"/>
      <c r="F411" s="1"/>
      <c r="G411" s="1"/>
      <c r="H411" s="1"/>
    </row>
    <row r="412" spans="1:8" ht="12.75">
      <c r="A412" s="8"/>
      <c r="B412" s="1"/>
      <c r="C412" s="1"/>
      <c r="D412" s="1"/>
      <c r="E412" s="1"/>
      <c r="F412" s="1"/>
      <c r="G412" s="1"/>
      <c r="H412" s="1"/>
    </row>
    <row r="413" spans="1:8" ht="12.75">
      <c r="A413" s="8"/>
      <c r="B413" s="1"/>
      <c r="C413" s="1"/>
      <c r="D413" s="1"/>
      <c r="E413" s="1"/>
      <c r="F413" s="1"/>
      <c r="G413" s="1"/>
      <c r="H413" s="1"/>
    </row>
    <row r="414" spans="1:8" ht="12.75">
      <c r="A414" s="8"/>
      <c r="B414" s="1"/>
      <c r="C414" s="1"/>
      <c r="D414" s="1"/>
      <c r="E414" s="1"/>
      <c r="F414" s="1"/>
      <c r="G414" s="1"/>
      <c r="H414" s="1"/>
    </row>
    <row r="415" spans="1:8" ht="12.75">
      <c r="A415" s="8"/>
      <c r="B415" s="1"/>
      <c r="C415" s="1"/>
      <c r="D415" s="1"/>
      <c r="E415" s="1"/>
      <c r="F415" s="1"/>
      <c r="G415" s="1"/>
      <c r="H415" s="1"/>
    </row>
    <row r="416" spans="1:8" ht="12.75">
      <c r="A416" s="8"/>
      <c r="B416" s="1"/>
      <c r="C416" s="1"/>
      <c r="D416" s="1"/>
      <c r="E416" s="1"/>
      <c r="F416" s="1"/>
      <c r="G416" s="1"/>
      <c r="H416" s="1"/>
    </row>
    <row r="417" spans="1:8" ht="12.75">
      <c r="A417" s="8"/>
      <c r="B417" s="1"/>
      <c r="C417" s="1"/>
      <c r="D417" s="1"/>
      <c r="E417" s="1"/>
      <c r="F417" s="1"/>
      <c r="G417" s="1"/>
      <c r="H417" s="1"/>
    </row>
    <row r="418" spans="1:8" ht="12.75">
      <c r="A418" s="8"/>
      <c r="B418" s="1"/>
      <c r="C418" s="1"/>
      <c r="D418" s="1"/>
      <c r="E418" s="1"/>
      <c r="F418" s="1"/>
      <c r="G418" s="1"/>
      <c r="H418" s="1"/>
    </row>
    <row r="419" spans="1:8" ht="12.75">
      <c r="A419" s="8"/>
      <c r="B419" s="1"/>
      <c r="C419" s="1"/>
      <c r="D419" s="1"/>
      <c r="E419" s="1"/>
      <c r="F419" s="1"/>
      <c r="G419" s="1"/>
      <c r="H419" s="1"/>
    </row>
    <row r="420" spans="1:8" ht="12.75">
      <c r="A420" s="8"/>
      <c r="B420" s="1"/>
      <c r="C420" s="1"/>
      <c r="D420" s="1"/>
      <c r="E420" s="1"/>
      <c r="F420" s="1"/>
      <c r="G420" s="1"/>
      <c r="H420" s="1"/>
    </row>
    <row r="421" spans="1:8" ht="12.75">
      <c r="A421" s="8"/>
      <c r="B421" s="1"/>
      <c r="C421" s="1"/>
      <c r="D421" s="1"/>
      <c r="E421" s="1"/>
      <c r="F421" s="1"/>
      <c r="G421" s="1"/>
      <c r="H421" s="1"/>
    </row>
    <row r="422" spans="1:8" ht="12.75">
      <c r="A422" s="8"/>
      <c r="B422" s="1"/>
      <c r="C422" s="1"/>
      <c r="D422" s="1"/>
      <c r="E422" s="1"/>
      <c r="F422" s="1"/>
      <c r="G422" s="1"/>
      <c r="H422" s="1"/>
    </row>
    <row r="423" spans="1:8" ht="12.75">
      <c r="A423" s="8"/>
      <c r="B423" s="1"/>
      <c r="C423" s="1"/>
      <c r="D423" s="1"/>
      <c r="E423" s="1"/>
      <c r="F423" s="1"/>
      <c r="G423" s="1"/>
      <c r="H423" s="1"/>
    </row>
    <row r="424" spans="1:8" ht="12.75">
      <c r="A424" s="8"/>
      <c r="B424" s="1"/>
      <c r="C424" s="1"/>
      <c r="D424" s="1"/>
      <c r="E424" s="1"/>
      <c r="F424" s="1"/>
      <c r="G424" s="1"/>
      <c r="H424" s="1"/>
    </row>
    <row r="425" spans="1:8" ht="12.75">
      <c r="A425" s="8"/>
      <c r="B425" s="1"/>
      <c r="C425" s="1"/>
      <c r="D425" s="1"/>
      <c r="E425" s="1"/>
      <c r="F425" s="1"/>
      <c r="G425" s="1"/>
      <c r="H425" s="1"/>
    </row>
    <row r="426" spans="1:8" ht="12.75">
      <c r="A426" s="8"/>
      <c r="B426" s="1"/>
      <c r="C426" s="1"/>
      <c r="D426" s="1"/>
      <c r="E426" s="1"/>
      <c r="F426" s="1"/>
      <c r="G426" s="1"/>
      <c r="H426" s="1"/>
    </row>
    <row r="427" spans="1:8" ht="12.75">
      <c r="A427" s="8"/>
      <c r="B427" s="1"/>
      <c r="C427" s="1"/>
      <c r="D427" s="1"/>
      <c r="E427" s="1"/>
      <c r="F427" s="1"/>
      <c r="G427" s="1"/>
      <c r="H427" s="1"/>
    </row>
    <row r="428" spans="1:8" ht="12.75">
      <c r="A428" s="8"/>
      <c r="B428" s="1"/>
      <c r="C428" s="1"/>
      <c r="D428" s="1"/>
      <c r="E428" s="1"/>
      <c r="F428" s="1"/>
      <c r="G428" s="1"/>
      <c r="H428" s="1"/>
    </row>
    <row r="429" spans="1:8" ht="12.75">
      <c r="A429" s="8"/>
      <c r="B429" s="1"/>
      <c r="C429" s="1"/>
      <c r="D429" s="1"/>
      <c r="E429" s="1"/>
      <c r="F429" s="1"/>
      <c r="G429" s="1"/>
      <c r="H429" s="1"/>
    </row>
    <row r="430" spans="1:8" ht="12.75">
      <c r="A430" s="8"/>
      <c r="B430" s="1"/>
      <c r="C430" s="1"/>
      <c r="D430" s="1"/>
      <c r="E430" s="1"/>
      <c r="F430" s="1"/>
      <c r="G430" s="1"/>
      <c r="H430" s="1"/>
    </row>
    <row r="431" spans="1:8" ht="12.75">
      <c r="A431" s="8"/>
      <c r="B431" s="1"/>
      <c r="C431" s="1"/>
      <c r="D431" s="1"/>
      <c r="E431" s="1"/>
      <c r="F431" s="1"/>
      <c r="G431" s="1"/>
      <c r="H431" s="1"/>
    </row>
    <row r="432" spans="1:8" ht="12.75">
      <c r="A432" s="8"/>
      <c r="B432" s="1"/>
      <c r="C432" s="1"/>
      <c r="D432" s="1"/>
      <c r="E432" s="1"/>
      <c r="F432" s="1"/>
      <c r="G432" s="1"/>
      <c r="H432" s="1"/>
    </row>
    <row r="433" spans="1:8" ht="12.75">
      <c r="A433" s="8"/>
      <c r="B433" s="1"/>
      <c r="C433" s="1"/>
      <c r="D433" s="1"/>
      <c r="E433" s="1"/>
      <c r="F433" s="1"/>
      <c r="G433" s="1"/>
      <c r="H433" s="1"/>
    </row>
    <row r="434" spans="1:8" ht="12.75">
      <c r="A434" s="8"/>
      <c r="B434" s="1"/>
      <c r="C434" s="1"/>
      <c r="D434" s="1"/>
      <c r="E434" s="1"/>
      <c r="F434" s="1"/>
      <c r="G434" s="1"/>
      <c r="H434" s="1"/>
    </row>
    <row r="435" spans="1:8" ht="12.75">
      <c r="A435" s="8"/>
      <c r="B435" s="1"/>
      <c r="C435" s="1"/>
      <c r="D435" s="1"/>
      <c r="E435" s="1"/>
      <c r="F435" s="1"/>
      <c r="G435" s="1"/>
      <c r="H435" s="1"/>
    </row>
    <row r="436" spans="1:8" ht="12.75">
      <c r="A436" s="8"/>
      <c r="B436" s="1"/>
      <c r="C436" s="1"/>
      <c r="D436" s="1"/>
      <c r="E436" s="1"/>
      <c r="F436" s="1"/>
      <c r="G436" s="1"/>
      <c r="H436" s="1"/>
    </row>
    <row r="437" spans="1:8" ht="12.75">
      <c r="A437" s="8"/>
      <c r="B437" s="1"/>
      <c r="C437" s="1"/>
      <c r="D437" s="1"/>
      <c r="E437" s="1"/>
      <c r="F437" s="1"/>
      <c r="G437" s="1"/>
      <c r="H437" s="1"/>
    </row>
    <row r="438" spans="1:8" ht="12.75">
      <c r="A438" s="8"/>
      <c r="B438" s="1"/>
      <c r="C438" s="1"/>
      <c r="D438" s="1"/>
      <c r="E438" s="1"/>
      <c r="F438" s="1"/>
      <c r="G438" s="1"/>
      <c r="H438" s="1"/>
    </row>
    <row r="439" spans="1:8" ht="12.75">
      <c r="A439" s="8"/>
      <c r="B439" s="1"/>
      <c r="C439" s="1"/>
      <c r="D439" s="1"/>
      <c r="E439" s="1"/>
      <c r="F439" s="1"/>
      <c r="G439" s="1"/>
      <c r="H439" s="1"/>
    </row>
    <row r="440" spans="1:8" ht="12.75">
      <c r="A440" s="8"/>
      <c r="B440" s="1"/>
      <c r="C440" s="1"/>
      <c r="D440" s="1"/>
      <c r="E440" s="1"/>
      <c r="F440" s="1"/>
      <c r="G440" s="1"/>
      <c r="H440" s="1"/>
    </row>
    <row r="441" spans="1:8" ht="12.75">
      <c r="A441" s="8"/>
      <c r="B441" s="1"/>
      <c r="C441" s="1"/>
      <c r="D441" s="1"/>
      <c r="E441" s="1"/>
      <c r="F441" s="1"/>
      <c r="G441" s="1"/>
      <c r="H441" s="1"/>
    </row>
    <row r="442" spans="1:8" ht="12.75">
      <c r="A442" s="8"/>
      <c r="B442" s="1"/>
      <c r="C442" s="1"/>
      <c r="D442" s="1"/>
      <c r="E442" s="1"/>
      <c r="F442" s="1"/>
      <c r="G442" s="1"/>
      <c r="H442" s="1"/>
    </row>
    <row r="443" spans="1:8" ht="12.75">
      <c r="A443" s="8"/>
      <c r="B443" s="1"/>
      <c r="C443" s="1"/>
      <c r="D443" s="1"/>
      <c r="E443" s="1"/>
      <c r="F443" s="1"/>
      <c r="G443" s="1"/>
      <c r="H443" s="1"/>
    </row>
    <row r="444" spans="1:8" ht="12.75">
      <c r="A444" s="8"/>
      <c r="B444" s="1"/>
      <c r="C444" s="1"/>
      <c r="D444" s="1"/>
      <c r="E444" s="1"/>
      <c r="F444" s="1"/>
      <c r="G444" s="1"/>
      <c r="H444" s="1"/>
    </row>
    <row r="445" spans="1:8" ht="12.75">
      <c r="A445" s="8"/>
      <c r="B445" s="1"/>
      <c r="C445" s="1"/>
      <c r="D445" s="1"/>
      <c r="E445" s="1"/>
      <c r="F445" s="1"/>
      <c r="G445" s="1"/>
      <c r="H445" s="1"/>
    </row>
    <row r="446" spans="1:8" ht="12.75">
      <c r="A446" s="8"/>
      <c r="B446" s="1"/>
      <c r="C446" s="1"/>
      <c r="D446" s="1"/>
      <c r="E446" s="1"/>
      <c r="F446" s="1"/>
      <c r="G446" s="1"/>
      <c r="H446" s="1"/>
    </row>
    <row r="447" spans="1:8" ht="12.75">
      <c r="A447" s="8"/>
      <c r="B447" s="1"/>
      <c r="C447" s="1"/>
      <c r="D447" s="1"/>
      <c r="E447" s="1"/>
      <c r="F447" s="1"/>
      <c r="G447" s="1"/>
      <c r="H447" s="1"/>
    </row>
    <row r="448" spans="1:8" ht="12.75">
      <c r="A448" s="8"/>
      <c r="B448" s="1"/>
      <c r="C448" s="1"/>
      <c r="D448" s="1"/>
      <c r="E448" s="1"/>
      <c r="F448" s="1"/>
      <c r="G448" s="1"/>
      <c r="H448" s="1"/>
    </row>
    <row r="449" spans="1:8" ht="12.75">
      <c r="A449" s="8"/>
      <c r="B449" s="1"/>
      <c r="C449" s="1"/>
      <c r="D449" s="1"/>
      <c r="E449" s="1"/>
      <c r="F449" s="1"/>
      <c r="G449" s="1"/>
      <c r="H449" s="1"/>
    </row>
    <row r="450" spans="1:8" ht="12.75">
      <c r="A450" s="8"/>
      <c r="B450" s="1"/>
      <c r="C450" s="1"/>
      <c r="D450" s="1"/>
      <c r="E450" s="1"/>
      <c r="F450" s="1"/>
      <c r="G450" s="1"/>
      <c r="H450" s="1"/>
    </row>
    <row r="451" spans="1:8" ht="12.75">
      <c r="A451" s="8"/>
      <c r="B451" s="1"/>
      <c r="C451" s="1"/>
      <c r="D451" s="1"/>
      <c r="E451" s="1"/>
      <c r="F451" s="1"/>
      <c r="G451" s="1"/>
      <c r="H451" s="1"/>
    </row>
    <row r="452" spans="1:8" ht="12.75">
      <c r="A452" s="8"/>
      <c r="B452" s="1"/>
      <c r="C452" s="1"/>
      <c r="D452" s="1"/>
      <c r="E452" s="1"/>
      <c r="F452" s="1"/>
      <c r="G452" s="1"/>
      <c r="H452" s="1"/>
    </row>
    <row r="453" spans="1:8" ht="12.75">
      <c r="A453" s="8"/>
      <c r="B453" s="1"/>
      <c r="C453" s="1"/>
      <c r="D453" s="1"/>
      <c r="E453" s="1"/>
      <c r="F453" s="1"/>
      <c r="G453" s="1"/>
      <c r="H453" s="1"/>
    </row>
    <row r="454" spans="1:8" ht="12.75">
      <c r="A454" s="8"/>
      <c r="B454" s="1"/>
      <c r="C454" s="1"/>
      <c r="D454" s="1"/>
      <c r="E454" s="1"/>
      <c r="F454" s="1"/>
      <c r="G454" s="1"/>
      <c r="H454" s="1"/>
    </row>
    <row r="455" spans="1:8" ht="12.75">
      <c r="A455" s="8"/>
      <c r="B455" s="1"/>
      <c r="C455" s="1"/>
      <c r="D455" s="1"/>
      <c r="E455" s="1"/>
      <c r="F455" s="1"/>
      <c r="G455" s="1"/>
      <c r="H455" s="1"/>
    </row>
    <row r="456" spans="1:8" ht="12.75">
      <c r="A456" s="8"/>
      <c r="B456" s="1"/>
      <c r="C456" s="1"/>
      <c r="D456" s="1"/>
      <c r="E456" s="1"/>
      <c r="F456" s="1"/>
      <c r="G456" s="1"/>
      <c r="H456" s="1"/>
    </row>
    <row r="457" spans="1:8" ht="12.75">
      <c r="A457" s="8"/>
      <c r="B457" s="1"/>
      <c r="C457" s="1"/>
      <c r="D457" s="1"/>
      <c r="E457" s="1"/>
      <c r="F457" s="1"/>
      <c r="G457" s="1"/>
      <c r="H457" s="1"/>
    </row>
    <row r="458" spans="1:8" ht="12.75">
      <c r="A458" s="8"/>
      <c r="B458" s="1"/>
      <c r="C458" s="1"/>
      <c r="D458" s="1"/>
      <c r="E458" s="1"/>
      <c r="F458" s="1"/>
      <c r="G458" s="1"/>
      <c r="H458" s="1"/>
    </row>
    <row r="459" spans="1:8" ht="12.75">
      <c r="A459" s="8"/>
      <c r="B459" s="1"/>
      <c r="C459" s="1"/>
      <c r="D459" s="1"/>
      <c r="E459" s="1"/>
      <c r="F459" s="1"/>
      <c r="G459" s="1"/>
      <c r="H459" s="1"/>
    </row>
    <row r="460" spans="1:8" ht="12.75">
      <c r="A460" s="8"/>
      <c r="B460" s="1"/>
      <c r="C460" s="1"/>
      <c r="D460" s="1"/>
      <c r="E460" s="1"/>
      <c r="F460" s="1"/>
      <c r="G460" s="1"/>
      <c r="H460" s="1"/>
    </row>
    <row r="461" spans="1:8" ht="12.75">
      <c r="A461" s="8"/>
      <c r="B461" s="1"/>
      <c r="C461" s="1"/>
      <c r="D461" s="1"/>
      <c r="E461" s="1"/>
      <c r="F461" s="1"/>
      <c r="G461" s="1"/>
      <c r="H461" s="1"/>
    </row>
    <row r="462" spans="1:8" ht="12.75">
      <c r="A462" s="8"/>
      <c r="B462" s="1"/>
      <c r="C462" s="1"/>
      <c r="D462" s="1"/>
      <c r="E462" s="1"/>
      <c r="F462" s="1"/>
      <c r="G462" s="1"/>
      <c r="H462" s="1"/>
    </row>
    <row r="463" spans="1:8" ht="12.75">
      <c r="A463" s="8"/>
      <c r="B463" s="1"/>
      <c r="C463" s="1"/>
      <c r="D463" s="1"/>
      <c r="E463" s="1"/>
      <c r="F463" s="1"/>
      <c r="G463" s="1"/>
      <c r="H463" s="1"/>
    </row>
    <row r="464" spans="1:8" ht="12.75">
      <c r="A464" s="8"/>
      <c r="B464" s="1"/>
      <c r="C464" s="1"/>
      <c r="D464" s="1"/>
      <c r="E464" s="1"/>
      <c r="F464" s="1"/>
      <c r="G464" s="1"/>
      <c r="H464" s="1"/>
    </row>
    <row r="465" spans="1:8" ht="12.75">
      <c r="A465" s="8"/>
      <c r="B465" s="1"/>
      <c r="C465" s="1"/>
      <c r="D465" s="1"/>
      <c r="E465" s="1"/>
      <c r="F465" s="1"/>
      <c r="G465" s="1"/>
      <c r="H465" s="1"/>
    </row>
    <row r="466" spans="1:8" ht="12.75">
      <c r="A466" s="8"/>
      <c r="B466" s="1"/>
      <c r="C466" s="1"/>
      <c r="D466" s="1"/>
      <c r="E466" s="1"/>
      <c r="F466" s="1"/>
      <c r="G466" s="1"/>
      <c r="H466" s="1"/>
    </row>
    <row r="467" spans="1:8" ht="12.75">
      <c r="A467" s="8"/>
      <c r="B467" s="1"/>
      <c r="C467" s="1"/>
      <c r="D467" s="1"/>
      <c r="E467" s="1"/>
      <c r="F467" s="1"/>
      <c r="G467" s="1"/>
      <c r="H467" s="1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</sheetData>
  <sheetProtection/>
  <mergeCells count="1">
    <mergeCell ref="B27:J27"/>
  </mergeCells>
  <printOptions horizontalCentered="1"/>
  <pageMargins left="0.7480314960629921" right="0.7480314960629921" top="1.220472440944882" bottom="0.5118110236220472" header="0.5118110236220472" footer="0.5118110236220472"/>
  <pageSetup fitToHeight="1" fitToWidth="1" horizontalDpi="600" verticalDpi="600" orientation="landscape" scale="85" r:id="rId1"/>
  <headerFooter alignWithMargins="0">
    <oddHeader>&amp;C&amp;"Arial,Bold"&amp;11London Hydro Inc.
Other Regulatory Assets
Period to December 31,2002&amp;R&amp;"Arial,Bold"RP-2004-0064&amp;"Arial,Regular"
Account 1562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H89"/>
  <sheetViews>
    <sheetView showGridLines="0" zoomScalePageLayoutView="0" workbookViewId="0" topLeftCell="A58">
      <selection activeCell="N91" sqref="N91"/>
    </sheetView>
  </sheetViews>
  <sheetFormatPr defaultColWidth="9.140625" defaultRowHeight="12.75"/>
  <cols>
    <col min="1" max="1" width="2.8515625" style="25" customWidth="1"/>
    <col min="2" max="2" width="25.8515625" style="25" customWidth="1"/>
    <col min="3" max="3" width="11.00390625" style="25" customWidth="1"/>
    <col min="4" max="4" width="13.421875" style="25" customWidth="1"/>
    <col min="5" max="5" width="12.00390625" style="25" bestFit="1" customWidth="1"/>
    <col min="6" max="6" width="15.140625" style="25" customWidth="1"/>
    <col min="7" max="7" width="10.8515625" style="25" customWidth="1"/>
    <col min="8" max="8" width="12.421875" style="25" customWidth="1"/>
    <col min="9" max="9" width="14.28125" style="25" customWidth="1"/>
    <col min="10" max="10" width="14.140625" style="25" customWidth="1"/>
    <col min="11" max="11" width="13.7109375" style="25" customWidth="1"/>
    <col min="12" max="12" width="13.28125" style="25" customWidth="1"/>
    <col min="13" max="13" width="13.140625" style="25" customWidth="1"/>
    <col min="14" max="14" width="13.8515625" style="25" customWidth="1"/>
    <col min="15" max="15" width="12.00390625" style="25" customWidth="1"/>
    <col min="16" max="58" width="9.140625" style="25" customWidth="1"/>
    <col min="59" max="16384" width="9.140625" style="39" customWidth="1"/>
  </cols>
  <sheetData>
    <row r="2" ht="13.5" thickBot="1">
      <c r="B2" s="214" t="s">
        <v>258</v>
      </c>
    </row>
    <row r="3" spans="2:9" ht="18" customHeight="1" thickBot="1">
      <c r="B3" s="210" t="s">
        <v>61</v>
      </c>
      <c r="C3" s="211"/>
      <c r="D3" s="211"/>
      <c r="E3" s="211"/>
      <c r="F3" s="211"/>
      <c r="G3" s="211"/>
      <c r="H3" s="211"/>
      <c r="I3" s="212"/>
    </row>
    <row r="4" spans="2:9" ht="18" customHeight="1" thickBot="1">
      <c r="B4" s="28" t="s">
        <v>62</v>
      </c>
      <c r="C4" s="28" t="s">
        <v>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46</v>
      </c>
    </row>
    <row r="5" spans="2:9" ht="18" customHeight="1">
      <c r="B5" s="29"/>
      <c r="C5" s="29"/>
      <c r="D5" s="29"/>
      <c r="E5" s="29"/>
      <c r="F5" s="29"/>
      <c r="G5" s="29"/>
      <c r="H5" s="29"/>
      <c r="I5" s="29"/>
    </row>
    <row r="6" spans="2:9" ht="18" customHeight="1">
      <c r="B6" s="29" t="s">
        <v>63</v>
      </c>
      <c r="C6" s="30">
        <v>2002</v>
      </c>
      <c r="D6" s="31">
        <f>+J45</f>
        <v>6216184.8367102</v>
      </c>
      <c r="E6" s="29"/>
      <c r="F6" s="29"/>
      <c r="G6" s="29"/>
      <c r="H6" s="29"/>
      <c r="I6" s="29"/>
    </row>
    <row r="7" spans="2:9" ht="18" customHeight="1">
      <c r="B7" s="29" t="s">
        <v>64</v>
      </c>
      <c r="C7" s="30">
        <v>2003</v>
      </c>
      <c r="D7" s="29"/>
      <c r="E7" s="31">
        <f>+K45</f>
        <v>9028302.100509997</v>
      </c>
      <c r="F7" s="29"/>
      <c r="G7" s="29"/>
      <c r="H7" s="29"/>
      <c r="I7" s="29"/>
    </row>
    <row r="8" spans="2:9" ht="18" customHeight="1">
      <c r="B8" s="29" t="s">
        <v>65</v>
      </c>
      <c r="C8" s="30">
        <v>2004</v>
      </c>
      <c r="D8" s="29"/>
      <c r="E8" s="29"/>
      <c r="F8" s="31">
        <f>+L45</f>
        <v>2675270.0107320766</v>
      </c>
      <c r="G8" s="29"/>
      <c r="H8" s="29"/>
      <c r="I8" s="29"/>
    </row>
    <row r="9" spans="2:9" ht="18" customHeight="1">
      <c r="B9" s="29" t="s">
        <v>66</v>
      </c>
      <c r="C9" s="30">
        <v>2004</v>
      </c>
      <c r="D9" s="29"/>
      <c r="E9" s="29"/>
      <c r="F9" s="31">
        <f>+F65</f>
        <v>4016779.6655712137</v>
      </c>
      <c r="G9" s="29"/>
      <c r="H9" s="29"/>
      <c r="I9" s="29"/>
    </row>
    <row r="10" spans="2:9" ht="18" customHeight="1">
      <c r="B10" s="29" t="s">
        <v>65</v>
      </c>
      <c r="C10" s="30">
        <v>2005</v>
      </c>
      <c r="D10" s="29"/>
      <c r="E10" s="29"/>
      <c r="F10" s="29"/>
      <c r="G10" s="31">
        <f>+I85</f>
        <v>2329898.030056942</v>
      </c>
      <c r="H10" s="29"/>
      <c r="I10" s="29"/>
    </row>
    <row r="11" spans="2:9" ht="18" customHeight="1">
      <c r="B11" s="29" t="s">
        <v>66</v>
      </c>
      <c r="C11" s="30">
        <v>2005</v>
      </c>
      <c r="D11" s="29"/>
      <c r="E11" s="29"/>
      <c r="F11" s="29"/>
      <c r="G11" s="31">
        <f>+J85</f>
        <v>3796386.95399258</v>
      </c>
      <c r="H11" s="29"/>
      <c r="I11" s="29"/>
    </row>
    <row r="12" spans="2:9" ht="18" customHeight="1">
      <c r="B12" s="29" t="s">
        <v>67</v>
      </c>
      <c r="C12" s="30">
        <v>2006</v>
      </c>
      <c r="D12" s="29"/>
      <c r="E12" s="29"/>
      <c r="F12" s="29"/>
      <c r="G12" s="31"/>
      <c r="H12" s="31">
        <f>+K85</f>
        <v>2416298.8521051137</v>
      </c>
      <c r="I12" s="29"/>
    </row>
    <row r="13" spans="2:9" ht="18" customHeight="1" thickBot="1">
      <c r="B13" s="29"/>
      <c r="C13" s="30"/>
      <c r="D13" s="29"/>
      <c r="E13" s="29"/>
      <c r="F13" s="29"/>
      <c r="G13" s="31"/>
      <c r="H13" s="31"/>
      <c r="I13" s="29"/>
    </row>
    <row r="14" spans="2:9" ht="18" customHeight="1" thickBot="1">
      <c r="B14" s="32" t="s">
        <v>108</v>
      </c>
      <c r="C14" s="28"/>
      <c r="D14" s="33">
        <f>SUM(D6:D12)</f>
        <v>6216184.8367102</v>
      </c>
      <c r="E14" s="33">
        <f>SUM(E6:E12)</f>
        <v>9028302.100509997</v>
      </c>
      <c r="F14" s="33">
        <f>SUM(F6:F12)</f>
        <v>6692049.67630329</v>
      </c>
      <c r="G14" s="33">
        <f>SUM(G6:G12)</f>
        <v>6126284.984049521</v>
      </c>
      <c r="H14" s="33">
        <f>SUM(H6:H12)</f>
        <v>2416298.8521051137</v>
      </c>
      <c r="I14" s="33">
        <f>SUM(D14:H14)</f>
        <v>30479120.449678123</v>
      </c>
    </row>
    <row r="15" ht="12.75">
      <c r="C15" s="34"/>
    </row>
    <row r="16" spans="3:7" ht="12.75">
      <c r="C16" s="34"/>
      <c r="F16" s="25" t="s">
        <v>0</v>
      </c>
      <c r="G16" s="25" t="s">
        <v>0</v>
      </c>
    </row>
    <row r="17" spans="2:6" ht="12.75">
      <c r="B17" s="214" t="s">
        <v>259</v>
      </c>
      <c r="C17" s="34"/>
      <c r="F17" s="35" t="s">
        <v>0</v>
      </c>
    </row>
    <row r="18" spans="2:3" ht="12.75">
      <c r="B18" s="36" t="s">
        <v>68</v>
      </c>
      <c r="C18" s="37"/>
    </row>
    <row r="19" spans="4:34" ht="13.5" thickBot="1">
      <c r="D19" s="38" t="s">
        <v>32</v>
      </c>
      <c r="E19" s="38" t="s">
        <v>33</v>
      </c>
      <c r="F19" s="38" t="s">
        <v>34</v>
      </c>
      <c r="G19" s="38" t="s">
        <v>35</v>
      </c>
      <c r="H19" s="38" t="s">
        <v>36</v>
      </c>
      <c r="I19" s="38" t="s">
        <v>37</v>
      </c>
      <c r="J19" s="38" t="s">
        <v>43</v>
      </c>
      <c r="K19" s="38" t="s">
        <v>44</v>
      </c>
      <c r="L19" s="38" t="s">
        <v>45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2:34" ht="58.5" customHeight="1" thickBot="1">
      <c r="B20" s="28" t="s">
        <v>22</v>
      </c>
      <c r="C20" s="40" t="s">
        <v>23</v>
      </c>
      <c r="D20" s="40" t="s">
        <v>53</v>
      </c>
      <c r="E20" s="40" t="s">
        <v>24</v>
      </c>
      <c r="F20" s="40" t="s">
        <v>54</v>
      </c>
      <c r="G20" s="40" t="s">
        <v>25</v>
      </c>
      <c r="H20" s="40" t="s">
        <v>30</v>
      </c>
      <c r="I20" s="40" t="s">
        <v>55</v>
      </c>
      <c r="J20" s="40" t="s">
        <v>39</v>
      </c>
      <c r="K20" s="40" t="s">
        <v>38</v>
      </c>
      <c r="L20" s="40" t="s">
        <v>42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2:34" ht="12.75">
      <c r="B21" s="41"/>
      <c r="C21" s="26"/>
      <c r="D21" s="26"/>
      <c r="E21" s="26"/>
      <c r="F21" s="27"/>
      <c r="G21" s="42"/>
      <c r="H21" s="43"/>
      <c r="I21" s="43"/>
      <c r="J21" s="44"/>
      <c r="K21" s="44"/>
      <c r="L21" s="4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2:34" ht="12.75">
      <c r="B22" s="45" t="s">
        <v>7</v>
      </c>
      <c r="C22" s="46"/>
      <c r="D22" s="46"/>
      <c r="E22" s="46"/>
      <c r="F22" s="47"/>
      <c r="G22" s="42"/>
      <c r="H22" s="43"/>
      <c r="I22" s="43"/>
      <c r="J22" s="44"/>
      <c r="K22" s="44"/>
      <c r="L22" s="4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2:34" ht="12.75">
      <c r="B23" s="48" t="s">
        <v>8</v>
      </c>
      <c r="C23" s="46" t="s">
        <v>17</v>
      </c>
      <c r="D23" s="6">
        <v>983801</v>
      </c>
      <c r="E23" s="6">
        <v>1454336.4</v>
      </c>
      <c r="F23" s="14">
        <v>373191</v>
      </c>
      <c r="G23" s="21">
        <v>0.5575</v>
      </c>
      <c r="H23" s="21">
        <v>1.7329</v>
      </c>
      <c r="I23" s="21">
        <f>+H23+G23</f>
        <v>2.2904</v>
      </c>
      <c r="J23" s="18">
        <f aca="true" t="shared" si="0" ref="J23:J31">+I23*D23</f>
        <v>2253297.8104</v>
      </c>
      <c r="K23" s="18">
        <f aca="true" t="shared" si="1" ref="K23:K31">+I23*E23</f>
        <v>3331012.09056</v>
      </c>
      <c r="L23" s="18">
        <f aca="true" t="shared" si="2" ref="L23:L31">+I23*F23</f>
        <v>854756.6664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2:34" ht="12.75">
      <c r="B24" s="48" t="s">
        <v>9</v>
      </c>
      <c r="C24" s="46" t="s">
        <v>17</v>
      </c>
      <c r="D24" s="6">
        <v>97622</v>
      </c>
      <c r="E24" s="6">
        <v>141885.2</v>
      </c>
      <c r="F24" s="14">
        <v>35570</v>
      </c>
      <c r="G24" s="21">
        <v>1.5622</v>
      </c>
      <c r="H24" s="21">
        <v>4.8559</v>
      </c>
      <c r="I24" s="21">
        <f aca="true" t="shared" si="3" ref="I24:I31">+H24+G24</f>
        <v>6.4181</v>
      </c>
      <c r="J24" s="18">
        <f t="shared" si="0"/>
        <v>626547.7582</v>
      </c>
      <c r="K24" s="18">
        <f t="shared" si="1"/>
        <v>910633.4021200001</v>
      </c>
      <c r="L24" s="18">
        <f t="shared" si="2"/>
        <v>228291.817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2:34" ht="12.75">
      <c r="B25" s="48" t="s">
        <v>10</v>
      </c>
      <c r="C25" s="46" t="s">
        <v>17</v>
      </c>
      <c r="D25" s="6">
        <v>10084.8</v>
      </c>
      <c r="E25" s="6">
        <v>15238.65</v>
      </c>
      <c r="F25" s="14">
        <v>3936</v>
      </c>
      <c r="G25" s="21">
        <v>15.2692</v>
      </c>
      <c r="H25" s="21">
        <v>47.4633</v>
      </c>
      <c r="I25" s="21">
        <f t="shared" si="3"/>
        <v>62.732499999999995</v>
      </c>
      <c r="J25" s="18">
        <f t="shared" si="0"/>
        <v>632644.7159999999</v>
      </c>
      <c r="K25" s="18">
        <f t="shared" si="1"/>
        <v>955958.6111249999</v>
      </c>
      <c r="L25" s="18">
        <f t="shared" si="2"/>
        <v>246915.11999999997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2:34" ht="12.75">
      <c r="B26" s="48" t="s">
        <v>28</v>
      </c>
      <c r="C26" s="46" t="s">
        <v>17</v>
      </c>
      <c r="D26" s="6">
        <v>1405.1</v>
      </c>
      <c r="E26" s="6">
        <v>2346.1</v>
      </c>
      <c r="F26" s="14">
        <v>682</v>
      </c>
      <c r="G26" s="21">
        <v>15.2692</v>
      </c>
      <c r="H26" s="21">
        <v>47.4633</v>
      </c>
      <c r="I26" s="21">
        <f t="shared" si="3"/>
        <v>62.732499999999995</v>
      </c>
      <c r="J26" s="18">
        <f t="shared" si="0"/>
        <v>88145.43574999999</v>
      </c>
      <c r="K26" s="18">
        <f t="shared" si="1"/>
        <v>147176.71824999998</v>
      </c>
      <c r="L26" s="18">
        <f t="shared" si="2"/>
        <v>42783.564999999995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2:34" ht="12.75">
      <c r="B27" s="48" t="s">
        <v>11</v>
      </c>
      <c r="C27" s="46" t="s">
        <v>17</v>
      </c>
      <c r="D27" s="6">
        <v>26.516</v>
      </c>
      <c r="E27" s="6">
        <v>36</v>
      </c>
      <c r="F27" s="14">
        <v>9</v>
      </c>
      <c r="G27" s="21">
        <v>775.468</v>
      </c>
      <c r="H27" s="21">
        <v>2410.4927</v>
      </c>
      <c r="I27" s="21">
        <f t="shared" si="3"/>
        <v>3185.9606999999996</v>
      </c>
      <c r="J27" s="18">
        <f t="shared" si="0"/>
        <v>84478.93392119999</v>
      </c>
      <c r="K27" s="18">
        <f t="shared" si="1"/>
        <v>114694.58519999999</v>
      </c>
      <c r="L27" s="18">
        <f t="shared" si="2"/>
        <v>28673.646299999997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2:34" ht="12.75">
      <c r="B28" s="48" t="s">
        <v>12</v>
      </c>
      <c r="C28" s="46" t="s">
        <v>17</v>
      </c>
      <c r="D28" s="6">
        <v>32.72</v>
      </c>
      <c r="E28" s="6">
        <v>48</v>
      </c>
      <c r="F28" s="14">
        <v>12</v>
      </c>
      <c r="G28" s="21">
        <v>110.7278</v>
      </c>
      <c r="H28" s="21">
        <v>344.1902</v>
      </c>
      <c r="I28" s="21">
        <f t="shared" si="3"/>
        <v>454.918</v>
      </c>
      <c r="J28" s="18">
        <f t="shared" si="0"/>
        <v>14884.91696</v>
      </c>
      <c r="K28" s="18">
        <f t="shared" si="1"/>
        <v>21836.064</v>
      </c>
      <c r="L28" s="18">
        <f t="shared" si="2"/>
        <v>5459.016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2:34" ht="12.75">
      <c r="B29" s="48" t="s">
        <v>13</v>
      </c>
      <c r="C29" s="46" t="s">
        <v>18</v>
      </c>
      <c r="D29" s="6">
        <v>271022</v>
      </c>
      <c r="E29" s="6">
        <v>366438</v>
      </c>
      <c r="F29" s="14">
        <v>92976</v>
      </c>
      <c r="G29" s="21">
        <v>0.0133</v>
      </c>
      <c r="H29" s="21">
        <v>0.0414</v>
      </c>
      <c r="I29" s="21">
        <f t="shared" si="3"/>
        <v>0.0547</v>
      </c>
      <c r="J29" s="18">
        <f t="shared" si="0"/>
        <v>14824.9034</v>
      </c>
      <c r="K29" s="18">
        <f t="shared" si="1"/>
        <v>20044.1586</v>
      </c>
      <c r="L29" s="18">
        <f t="shared" si="2"/>
        <v>5085.7872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2:34" ht="12.75">
      <c r="B30" s="48" t="s">
        <v>14</v>
      </c>
      <c r="C30" s="46" t="s">
        <v>18</v>
      </c>
      <c r="D30" s="6">
        <v>7063</v>
      </c>
      <c r="E30" s="6">
        <v>9862</v>
      </c>
      <c r="F30" s="14">
        <v>2434</v>
      </c>
      <c r="G30" s="21">
        <v>0.0243</v>
      </c>
      <c r="H30" s="21">
        <v>0.0754</v>
      </c>
      <c r="I30" s="21">
        <f t="shared" si="3"/>
        <v>0.0997</v>
      </c>
      <c r="J30" s="18">
        <f t="shared" si="0"/>
        <v>704.1811</v>
      </c>
      <c r="K30" s="18">
        <f t="shared" si="1"/>
        <v>983.2414</v>
      </c>
      <c r="L30" s="18">
        <f t="shared" si="2"/>
        <v>242.66979999999998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2:34" ht="12.75">
      <c r="B31" s="48" t="s">
        <v>15</v>
      </c>
      <c r="C31" s="46" t="s">
        <v>18</v>
      </c>
      <c r="D31" s="6">
        <v>10659</v>
      </c>
      <c r="E31" s="6">
        <v>19301</v>
      </c>
      <c r="F31" s="14">
        <v>4621</v>
      </c>
      <c r="G31" s="21">
        <v>0.0243</v>
      </c>
      <c r="H31" s="21">
        <v>0.0754</v>
      </c>
      <c r="I31" s="21">
        <f t="shared" si="3"/>
        <v>0.0997</v>
      </c>
      <c r="J31" s="18">
        <f t="shared" si="0"/>
        <v>1062.7023</v>
      </c>
      <c r="K31" s="18">
        <f t="shared" si="1"/>
        <v>1924.3097</v>
      </c>
      <c r="L31" s="18">
        <f t="shared" si="2"/>
        <v>460.71369999999996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2:34" ht="12.75">
      <c r="B32" s="48"/>
      <c r="C32" s="46"/>
      <c r="D32" s="46"/>
      <c r="E32" s="6"/>
      <c r="F32" s="14"/>
      <c r="G32" s="42"/>
      <c r="H32" s="17"/>
      <c r="I32" s="17"/>
      <c r="J32" s="19"/>
      <c r="K32" s="19"/>
      <c r="L32" s="1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2:34" ht="12.75">
      <c r="B33" s="45" t="s">
        <v>16</v>
      </c>
      <c r="C33" s="46"/>
      <c r="D33" s="46"/>
      <c r="E33" s="6"/>
      <c r="F33" s="14"/>
      <c r="G33" s="48"/>
      <c r="H33" s="17"/>
      <c r="I33" s="17"/>
      <c r="J33" s="19"/>
      <c r="K33" s="19"/>
      <c r="L33" s="1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2:34" ht="12.75">
      <c r="B34" s="48" t="s">
        <v>8</v>
      </c>
      <c r="C34" s="46" t="s">
        <v>19</v>
      </c>
      <c r="D34" s="6">
        <v>755736628</v>
      </c>
      <c r="E34" s="6">
        <v>1078541333</v>
      </c>
      <c r="F34" s="14">
        <v>406330276.344086</v>
      </c>
      <c r="G34" s="15">
        <v>0.000457</v>
      </c>
      <c r="H34" s="21">
        <v>0.001422</v>
      </c>
      <c r="I34" s="21">
        <f aca="true" t="shared" si="4" ref="I34:I43">+H34+G34</f>
        <v>0.001879</v>
      </c>
      <c r="J34" s="18">
        <f aca="true" t="shared" si="5" ref="J34:J43">+I34*D34</f>
        <v>1420029.124012</v>
      </c>
      <c r="K34" s="18">
        <f aca="true" t="shared" si="6" ref="K34:K43">+I34*E34</f>
        <v>2026579.1647070001</v>
      </c>
      <c r="L34" s="18">
        <f aca="true" t="shared" si="7" ref="L34:L43">+I34*F34</f>
        <v>763494.5892505376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2:34" ht="12.75">
      <c r="B35" s="48" t="s">
        <v>9</v>
      </c>
      <c r="C35" s="46" t="s">
        <v>19</v>
      </c>
      <c r="D35" s="6">
        <v>304356683</v>
      </c>
      <c r="E35" s="6">
        <v>420206236</v>
      </c>
      <c r="F35" s="14">
        <v>147147548.57142857</v>
      </c>
      <c r="G35" s="15">
        <v>0.000333</v>
      </c>
      <c r="H35" s="21">
        <v>0.001036</v>
      </c>
      <c r="I35" s="21">
        <f t="shared" si="4"/>
        <v>0.001369</v>
      </c>
      <c r="J35" s="18">
        <f t="shared" si="5"/>
        <v>416664.299027</v>
      </c>
      <c r="K35" s="18">
        <f t="shared" si="6"/>
        <v>575262.337084</v>
      </c>
      <c r="L35" s="18">
        <f t="shared" si="7"/>
        <v>201444.9939942857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2:34" ht="12.75">
      <c r="B36" s="48" t="s">
        <v>10</v>
      </c>
      <c r="C36" s="46" t="s">
        <v>20</v>
      </c>
      <c r="D36" s="6">
        <v>1510018</v>
      </c>
      <c r="E36" s="6">
        <v>1908984</v>
      </c>
      <c r="F36" s="14">
        <v>631712.9967664545</v>
      </c>
      <c r="G36" s="15">
        <v>0.04868</v>
      </c>
      <c r="H36" s="21">
        <v>0.15132</v>
      </c>
      <c r="I36" s="21">
        <f t="shared" si="4"/>
        <v>0.2</v>
      </c>
      <c r="J36" s="18">
        <f t="shared" si="5"/>
        <v>302003.60000000003</v>
      </c>
      <c r="K36" s="18">
        <f t="shared" si="6"/>
        <v>381796.80000000005</v>
      </c>
      <c r="L36" s="18">
        <f t="shared" si="7"/>
        <v>126342.59935329092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2:34" ht="12.75">
      <c r="B37" s="48" t="s">
        <v>28</v>
      </c>
      <c r="C37" s="46" t="s">
        <v>20</v>
      </c>
      <c r="D37" s="6">
        <v>1131934</v>
      </c>
      <c r="E37" s="6">
        <v>1794111</v>
      </c>
      <c r="F37" s="14">
        <v>584266.329404402</v>
      </c>
      <c r="G37" s="15">
        <v>0.04868</v>
      </c>
      <c r="H37" s="21">
        <v>0.15132</v>
      </c>
      <c r="I37" s="21">
        <f t="shared" si="4"/>
        <v>0.2</v>
      </c>
      <c r="J37" s="18">
        <f t="shared" si="5"/>
        <v>226386.80000000002</v>
      </c>
      <c r="K37" s="18">
        <f t="shared" si="6"/>
        <v>358822.2</v>
      </c>
      <c r="L37" s="18">
        <f t="shared" si="7"/>
        <v>116853.2658808804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2:34" ht="12.75">
      <c r="B38" s="48" t="s">
        <v>11</v>
      </c>
      <c r="C38" s="46" t="s">
        <v>20</v>
      </c>
      <c r="D38" s="6">
        <v>313407</v>
      </c>
      <c r="E38" s="6">
        <v>409593</v>
      </c>
      <c r="F38" s="14">
        <v>130335.91896331447</v>
      </c>
      <c r="G38" s="15">
        <v>0.056373</v>
      </c>
      <c r="H38" s="21">
        <v>0.175232</v>
      </c>
      <c r="I38" s="21">
        <f t="shared" si="4"/>
        <v>0.231605</v>
      </c>
      <c r="J38" s="18">
        <f t="shared" si="5"/>
        <v>72586.628235</v>
      </c>
      <c r="K38" s="18">
        <f t="shared" si="6"/>
        <v>94863.786765</v>
      </c>
      <c r="L38" s="18">
        <f t="shared" si="7"/>
        <v>30186.45051149845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2:34" ht="12.75">
      <c r="B39" s="48" t="s">
        <v>31</v>
      </c>
      <c r="C39" s="46" t="s">
        <v>20</v>
      </c>
      <c r="D39" s="6">
        <v>25021.5</v>
      </c>
      <c r="E39" s="6">
        <v>31047</v>
      </c>
      <c r="F39" s="14">
        <v>3252.7022036193525</v>
      </c>
      <c r="G39" s="15">
        <v>0.155763</v>
      </c>
      <c r="H39" s="21">
        <v>0.484179</v>
      </c>
      <c r="I39" s="21">
        <f t="shared" si="4"/>
        <v>0.639942</v>
      </c>
      <c r="J39" s="18">
        <f t="shared" si="5"/>
        <v>16012.308753000001</v>
      </c>
      <c r="K39" s="18">
        <f t="shared" si="6"/>
        <v>19868.279274</v>
      </c>
      <c r="L39" s="18">
        <f t="shared" si="7"/>
        <v>2081.5407535885756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2:34" ht="12.75">
      <c r="B40" s="48" t="s">
        <v>27</v>
      </c>
      <c r="C40" s="46" t="s">
        <v>21</v>
      </c>
      <c r="D40" s="6">
        <v>108617</v>
      </c>
      <c r="E40" s="6">
        <v>154800</v>
      </c>
      <c r="F40" s="14">
        <v>51600</v>
      </c>
      <c r="G40" s="15">
        <v>0.065905</v>
      </c>
      <c r="H40" s="21">
        <v>0.204862</v>
      </c>
      <c r="I40" s="21">
        <f t="shared" si="4"/>
        <v>0.270767</v>
      </c>
      <c r="J40" s="18">
        <f t="shared" si="5"/>
        <v>29409.899239</v>
      </c>
      <c r="K40" s="18">
        <f t="shared" si="6"/>
        <v>41914.7316</v>
      </c>
      <c r="L40" s="18">
        <f t="shared" si="7"/>
        <v>13971.5772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2:34" ht="12.75">
      <c r="B41" s="48" t="s">
        <v>13</v>
      </c>
      <c r="C41" s="46" t="s">
        <v>20</v>
      </c>
      <c r="D41" s="6">
        <v>44806</v>
      </c>
      <c r="E41" s="6">
        <v>60395</v>
      </c>
      <c r="F41" s="14">
        <v>20447.99556809025</v>
      </c>
      <c r="G41" s="15">
        <v>0.048296</v>
      </c>
      <c r="H41" s="21">
        <v>0.150124</v>
      </c>
      <c r="I41" s="21">
        <f t="shared" si="4"/>
        <v>0.19842</v>
      </c>
      <c r="J41" s="18">
        <f t="shared" si="5"/>
        <v>8890.40652</v>
      </c>
      <c r="K41" s="18">
        <f t="shared" si="6"/>
        <v>11983.575900000002</v>
      </c>
      <c r="L41" s="18">
        <f t="shared" si="7"/>
        <v>4057.2912806204677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2:34" ht="12.75">
      <c r="B42" s="48" t="s">
        <v>14</v>
      </c>
      <c r="C42" s="46" t="s">
        <v>20</v>
      </c>
      <c r="D42" s="6">
        <v>1844</v>
      </c>
      <c r="E42" s="6">
        <v>2614</v>
      </c>
      <c r="F42" s="14">
        <v>841.3711798313232</v>
      </c>
      <c r="G42" s="15">
        <v>0.050601</v>
      </c>
      <c r="H42" s="21">
        <v>0.15729</v>
      </c>
      <c r="I42" s="21">
        <f t="shared" si="4"/>
        <v>0.20789100000000002</v>
      </c>
      <c r="J42" s="18">
        <f t="shared" si="5"/>
        <v>383.35100400000005</v>
      </c>
      <c r="K42" s="18">
        <f t="shared" si="6"/>
        <v>543.4270740000001</v>
      </c>
      <c r="L42" s="18">
        <f t="shared" si="7"/>
        <v>174.91349594631362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2:34" ht="12.75">
      <c r="B43" s="48" t="s">
        <v>15</v>
      </c>
      <c r="C43" s="46" t="s">
        <v>19</v>
      </c>
      <c r="D43" s="6">
        <v>5279081</v>
      </c>
      <c r="E43" s="6">
        <v>9061079</v>
      </c>
      <c r="F43" s="14">
        <v>2917302.857142857</v>
      </c>
      <c r="G43" s="15">
        <v>0.000333</v>
      </c>
      <c r="H43" s="21">
        <v>0.001036</v>
      </c>
      <c r="I43" s="21">
        <f t="shared" si="4"/>
        <v>0.001369</v>
      </c>
      <c r="J43" s="18">
        <f t="shared" si="5"/>
        <v>7227.061889</v>
      </c>
      <c r="K43" s="18">
        <f t="shared" si="6"/>
        <v>12404.617151</v>
      </c>
      <c r="L43" s="18">
        <f t="shared" si="7"/>
        <v>3993.787611428571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2:34" ht="12.75">
      <c r="B44" s="48"/>
      <c r="C44" s="46"/>
      <c r="D44" s="6"/>
      <c r="E44" s="6"/>
      <c r="F44" s="14"/>
      <c r="G44" s="15"/>
      <c r="H44" s="22"/>
      <c r="I44" s="22"/>
      <c r="J44" s="18"/>
      <c r="K44" s="18"/>
      <c r="L44" s="18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2:34" ht="12.75">
      <c r="B45" s="48"/>
      <c r="C45" s="49" t="s">
        <v>0</v>
      </c>
      <c r="D45" s="50"/>
      <c r="E45" s="6"/>
      <c r="F45" s="14"/>
      <c r="G45" s="48" t="s">
        <v>0</v>
      </c>
      <c r="H45" s="51"/>
      <c r="I45" s="39"/>
      <c r="J45" s="52">
        <f>SUM(J23:J43)</f>
        <v>6216184.8367102</v>
      </c>
      <c r="K45" s="52">
        <f>SUM(K23:K43)</f>
        <v>9028302.100509997</v>
      </c>
      <c r="L45" s="52">
        <f>SUM(L23:L43)</f>
        <v>2675270.0107320766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2:34" ht="13.5" thickBot="1">
      <c r="B46" s="53"/>
      <c r="C46" s="54"/>
      <c r="D46" s="54"/>
      <c r="E46" s="54"/>
      <c r="F46" s="55"/>
      <c r="G46" s="53"/>
      <c r="H46" s="54"/>
      <c r="I46" s="54"/>
      <c r="J46" s="56"/>
      <c r="K46" s="56"/>
      <c r="L46" s="56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1:34" ht="12.75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2:34" ht="12.75">
      <c r="B48" s="214" t="s">
        <v>260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2:15" ht="12.75">
      <c r="B49" s="36" t="s">
        <v>69</v>
      </c>
      <c r="C49" s="37"/>
      <c r="J49" s="39"/>
      <c r="K49" s="39"/>
      <c r="L49" s="39"/>
      <c r="M49" s="39"/>
      <c r="N49" s="39"/>
      <c r="O49" s="39"/>
    </row>
    <row r="50" spans="4:15" ht="13.5" thickBot="1">
      <c r="D50" s="38" t="s">
        <v>32</v>
      </c>
      <c r="E50" s="38" t="s">
        <v>33</v>
      </c>
      <c r="F50" s="38" t="s">
        <v>41</v>
      </c>
      <c r="I50" s="39"/>
      <c r="J50" s="39"/>
      <c r="K50" s="39"/>
      <c r="L50" s="39"/>
      <c r="M50" s="39"/>
      <c r="N50" s="39"/>
      <c r="O50" s="39"/>
    </row>
    <row r="51" spans="2:15" ht="45.75" thickBot="1">
      <c r="B51" s="28" t="s">
        <v>22</v>
      </c>
      <c r="C51" s="40" t="s">
        <v>23</v>
      </c>
      <c r="D51" s="40" t="s">
        <v>56</v>
      </c>
      <c r="E51" s="40" t="s">
        <v>40</v>
      </c>
      <c r="F51" s="40" t="s">
        <v>57</v>
      </c>
      <c r="I51" s="39"/>
      <c r="J51" s="39"/>
      <c r="K51" s="39"/>
      <c r="L51" s="39"/>
      <c r="M51" s="39"/>
      <c r="N51" s="39"/>
      <c r="O51" s="39"/>
    </row>
    <row r="52" spans="2:15" ht="8.25" customHeight="1">
      <c r="B52" s="41"/>
      <c r="C52" s="26"/>
      <c r="D52" s="27"/>
      <c r="E52" s="48"/>
      <c r="F52" s="47"/>
      <c r="I52" s="39"/>
      <c r="J52" s="39"/>
      <c r="K52" s="39"/>
      <c r="L52" s="39"/>
      <c r="M52" s="39"/>
      <c r="N52" s="39"/>
      <c r="O52" s="39"/>
    </row>
    <row r="53" spans="2:15" ht="12.75">
      <c r="B53" s="45" t="s">
        <v>16</v>
      </c>
      <c r="C53" s="46"/>
      <c r="D53" s="14"/>
      <c r="E53" s="48"/>
      <c r="F53" s="47"/>
      <c r="I53" s="39"/>
      <c r="J53" s="39"/>
      <c r="N53" s="39"/>
      <c r="O53" s="39"/>
    </row>
    <row r="54" spans="2:15" ht="12.75">
      <c r="B54" s="48" t="s">
        <v>8</v>
      </c>
      <c r="C54" s="46" t="s">
        <v>19</v>
      </c>
      <c r="D54" s="14">
        <v>658880860</v>
      </c>
      <c r="E54" s="15">
        <v>0.003599</v>
      </c>
      <c r="F54" s="20">
        <f>+E54*D54</f>
        <v>2371312.21514</v>
      </c>
      <c r="I54" s="39"/>
      <c r="J54" s="39"/>
      <c r="N54" s="39"/>
      <c r="O54" s="39"/>
    </row>
    <row r="55" spans="2:15" ht="12.75">
      <c r="B55" s="48" t="s">
        <v>9</v>
      </c>
      <c r="C55" s="46" t="s">
        <v>19</v>
      </c>
      <c r="D55" s="14">
        <v>263390177.3414634</v>
      </c>
      <c r="E55" s="48">
        <v>0.002553</v>
      </c>
      <c r="F55" s="14">
        <f aca="true" t="shared" si="8" ref="F55:F63">+E55*D55</f>
        <v>672435.1227527561</v>
      </c>
      <c r="I55" s="39"/>
      <c r="J55" s="39"/>
      <c r="N55" s="39"/>
      <c r="O55" s="39"/>
    </row>
    <row r="56" spans="2:15" ht="12.75">
      <c r="B56" s="48" t="s">
        <v>10</v>
      </c>
      <c r="C56" s="46" t="s">
        <v>20</v>
      </c>
      <c r="D56" s="14">
        <v>1226357.2247211782</v>
      </c>
      <c r="E56" s="48">
        <v>0.316098</v>
      </c>
      <c r="F56" s="14">
        <f t="shared" si="8"/>
        <v>387649.066019915</v>
      </c>
      <c r="I56" s="39"/>
      <c r="J56" s="39"/>
      <c r="N56" s="39"/>
      <c r="O56" s="39"/>
    </row>
    <row r="57" spans="2:15" ht="12.75">
      <c r="B57" s="48" t="s">
        <v>28</v>
      </c>
      <c r="C57" s="46" t="s">
        <v>20</v>
      </c>
      <c r="D57" s="14">
        <v>1288418.393000185</v>
      </c>
      <c r="E57" s="48">
        <v>0.316098</v>
      </c>
      <c r="F57" s="14">
        <f t="shared" si="8"/>
        <v>407266.4771905725</v>
      </c>
      <c r="H57" s="39"/>
      <c r="I57" s="39"/>
      <c r="J57" s="39"/>
      <c r="N57" s="39"/>
      <c r="O57" s="39"/>
    </row>
    <row r="58" spans="2:15" ht="12.75">
      <c r="B58" s="48" t="s">
        <v>11</v>
      </c>
      <c r="C58" s="46" t="s">
        <v>20</v>
      </c>
      <c r="D58" s="14">
        <v>294933.3653069467</v>
      </c>
      <c r="E58" s="48">
        <v>0.351788</v>
      </c>
      <c r="F58" s="14">
        <f t="shared" si="8"/>
        <v>103754.01871460016</v>
      </c>
      <c r="H58" s="39"/>
      <c r="I58" s="39"/>
      <c r="J58" s="39"/>
      <c r="N58" s="39"/>
      <c r="O58" s="39"/>
    </row>
    <row r="59" spans="2:15" ht="12.75">
      <c r="B59" s="48" t="s">
        <v>26</v>
      </c>
      <c r="C59" s="46" t="s">
        <v>20</v>
      </c>
      <c r="D59" s="14">
        <v>8023.099866565501</v>
      </c>
      <c r="E59" s="48">
        <v>1.152076</v>
      </c>
      <c r="F59" s="14">
        <f t="shared" si="8"/>
        <v>9243.220801873316</v>
      </c>
      <c r="H59" s="39"/>
      <c r="I59" s="39"/>
      <c r="J59" s="39"/>
      <c r="N59" s="39"/>
      <c r="O59" s="39"/>
    </row>
    <row r="60" spans="2:15" ht="12.75">
      <c r="B60" s="48" t="s">
        <v>27</v>
      </c>
      <c r="C60" s="46" t="s">
        <v>21</v>
      </c>
      <c r="D60" s="14">
        <v>99700</v>
      </c>
      <c r="E60" s="48">
        <v>0.326667</v>
      </c>
      <c r="F60" s="14">
        <f t="shared" si="8"/>
        <v>32568.6999</v>
      </c>
      <c r="H60" s="39"/>
      <c r="I60" s="39"/>
      <c r="J60" s="39"/>
      <c r="N60" s="39"/>
      <c r="O60" s="39"/>
    </row>
    <row r="61" spans="2:15" ht="12.75">
      <c r="B61" s="48" t="s">
        <v>13</v>
      </c>
      <c r="C61" s="46" t="s">
        <v>20</v>
      </c>
      <c r="D61" s="14">
        <v>41175.19782543038</v>
      </c>
      <c r="E61" s="48">
        <v>0.408531</v>
      </c>
      <c r="F61" s="14">
        <f t="shared" si="8"/>
        <v>16821.3447428209</v>
      </c>
      <c r="H61" s="39"/>
      <c r="I61" s="39"/>
      <c r="J61" s="39"/>
      <c r="N61" s="39"/>
      <c r="O61" s="39"/>
    </row>
    <row r="62" spans="2:15" ht="12.75">
      <c r="B62" s="48" t="s">
        <v>14</v>
      </c>
      <c r="C62" s="46" t="s">
        <v>20</v>
      </c>
      <c r="D62" s="14">
        <v>1635.9310863155458</v>
      </c>
      <c r="E62" s="48">
        <v>0.442255</v>
      </c>
      <c r="F62" s="14">
        <f t="shared" si="8"/>
        <v>723.4987025784817</v>
      </c>
      <c r="H62" s="39"/>
      <c r="I62" s="39"/>
      <c r="J62" s="39"/>
      <c r="M62" s="25">
        <f>469+1399-145</f>
        <v>1723</v>
      </c>
      <c r="N62" s="39"/>
      <c r="O62" s="39"/>
    </row>
    <row r="63" spans="2:15" ht="12.75">
      <c r="B63" s="48" t="s">
        <v>15</v>
      </c>
      <c r="C63" s="46" t="s">
        <v>19</v>
      </c>
      <c r="D63" s="14">
        <v>5877791.463414634</v>
      </c>
      <c r="E63" s="48">
        <v>0.002553</v>
      </c>
      <c r="F63" s="14">
        <f t="shared" si="8"/>
        <v>15006.001606097561</v>
      </c>
      <c r="I63" s="39"/>
      <c r="J63" s="39"/>
      <c r="N63" s="39"/>
      <c r="O63" s="39"/>
    </row>
    <row r="64" spans="2:15" ht="12.75">
      <c r="B64" s="48"/>
      <c r="C64" s="46"/>
      <c r="D64" s="14"/>
      <c r="E64" s="48"/>
      <c r="F64" s="47"/>
      <c r="I64" s="39"/>
      <c r="J64" s="39"/>
      <c r="N64" s="39"/>
      <c r="O64" s="39"/>
    </row>
    <row r="65" spans="2:15" ht="12.75">
      <c r="B65" s="48"/>
      <c r="C65" s="46"/>
      <c r="D65" s="14"/>
      <c r="E65" s="15" t="s">
        <v>0</v>
      </c>
      <c r="F65" s="57">
        <f>SUM(F54:F63)</f>
        <v>4016779.6655712137</v>
      </c>
      <c r="I65" s="39"/>
      <c r="J65" s="39"/>
      <c r="N65" s="39"/>
      <c r="O65" s="39"/>
    </row>
    <row r="66" spans="2:15" ht="13.5" thickBot="1">
      <c r="B66" s="53"/>
      <c r="C66" s="54"/>
      <c r="D66" s="55"/>
      <c r="E66" s="53"/>
      <c r="F66" s="55"/>
      <c r="I66" s="39"/>
      <c r="J66" s="39"/>
      <c r="N66" s="39"/>
      <c r="O66" s="39"/>
    </row>
    <row r="67" spans="9:15" ht="12.75">
      <c r="I67" s="39"/>
      <c r="J67" s="39"/>
      <c r="N67" s="39"/>
      <c r="O67" s="39"/>
    </row>
    <row r="68" spans="2:15" ht="12.75">
      <c r="B68" s="214" t="s">
        <v>261</v>
      </c>
      <c r="I68" s="39"/>
      <c r="J68" s="39"/>
      <c r="N68" s="39"/>
      <c r="O68" s="39"/>
    </row>
    <row r="69" spans="2:15" ht="12.75">
      <c r="B69" s="36" t="s">
        <v>70</v>
      </c>
      <c r="C69" s="37"/>
      <c r="I69" s="39"/>
      <c r="J69" s="39"/>
      <c r="N69" s="39"/>
      <c r="O69" s="39"/>
    </row>
    <row r="70" spans="4:11" ht="13.5" thickBot="1">
      <c r="D70" s="38" t="s">
        <v>32</v>
      </c>
      <c r="E70" s="38" t="s">
        <v>33</v>
      </c>
      <c r="F70" s="38" t="s">
        <v>34</v>
      </c>
      <c r="G70" s="38" t="s">
        <v>35</v>
      </c>
      <c r="H70" s="38" t="s">
        <v>36</v>
      </c>
      <c r="I70" s="38" t="s">
        <v>50</v>
      </c>
      <c r="J70" s="38" t="s">
        <v>51</v>
      </c>
      <c r="K70" s="38" t="s">
        <v>52</v>
      </c>
    </row>
    <row r="71" spans="2:12" ht="54.75" customHeight="1" thickBot="1">
      <c r="B71" s="28" t="s">
        <v>22</v>
      </c>
      <c r="C71" s="40" t="s">
        <v>23</v>
      </c>
      <c r="D71" s="40" t="s">
        <v>60</v>
      </c>
      <c r="E71" s="40" t="s">
        <v>58</v>
      </c>
      <c r="F71" s="40" t="s">
        <v>59</v>
      </c>
      <c r="G71" s="40" t="s">
        <v>110</v>
      </c>
      <c r="H71" s="40" t="s">
        <v>111</v>
      </c>
      <c r="I71" s="40" t="s">
        <v>47</v>
      </c>
      <c r="J71" s="40" t="s">
        <v>48</v>
      </c>
      <c r="K71" s="40" t="s">
        <v>49</v>
      </c>
      <c r="L71" s="39"/>
    </row>
    <row r="72" spans="2:12" ht="12.75">
      <c r="B72" s="41"/>
      <c r="C72" s="26"/>
      <c r="D72" s="26"/>
      <c r="E72" s="26"/>
      <c r="F72" s="27"/>
      <c r="G72" s="48"/>
      <c r="I72" s="46"/>
      <c r="J72" s="46"/>
      <c r="K72" s="27"/>
      <c r="L72" s="39"/>
    </row>
    <row r="73" spans="2:12" ht="12.75">
      <c r="B73" s="45" t="s">
        <v>16</v>
      </c>
      <c r="C73" s="46"/>
      <c r="D73" s="6"/>
      <c r="E73" s="6"/>
      <c r="F73" s="14"/>
      <c r="G73" s="48"/>
      <c r="I73" s="46"/>
      <c r="J73" s="46"/>
      <c r="K73" s="47"/>
      <c r="L73" s="39"/>
    </row>
    <row r="74" spans="2:15" ht="12.75">
      <c r="B74" s="48" t="s">
        <v>8</v>
      </c>
      <c r="C74" s="46" t="s">
        <v>19</v>
      </c>
      <c r="D74" s="58">
        <v>409674236</v>
      </c>
      <c r="E74" s="58">
        <v>736592116.4383565</v>
      </c>
      <c r="F74" s="4">
        <v>482867139.5713645</v>
      </c>
      <c r="G74" s="15">
        <v>0.003599</v>
      </c>
      <c r="H74" s="22">
        <v>0.0031</v>
      </c>
      <c r="I74" s="12">
        <f>+G74*D74</f>
        <v>1474417.5753640002</v>
      </c>
      <c r="J74" s="12">
        <f>+H74*E74</f>
        <v>2283435.560958905</v>
      </c>
      <c r="K74" s="20">
        <f>+H74*F74</f>
        <v>1496888.13267123</v>
      </c>
      <c r="L74" s="39"/>
      <c r="M74" s="39"/>
      <c r="N74" s="39"/>
      <c r="O74" s="39"/>
    </row>
    <row r="75" spans="2:15" ht="12.75">
      <c r="B75" s="48" t="s">
        <v>9</v>
      </c>
      <c r="C75" s="46" t="s">
        <v>19</v>
      </c>
      <c r="D75" s="58">
        <v>149584517</v>
      </c>
      <c r="E75" s="58">
        <v>277550310.3663363</v>
      </c>
      <c r="F75" s="4">
        <v>179451733.80018</v>
      </c>
      <c r="G75" s="59">
        <v>0.002553</v>
      </c>
      <c r="H75" s="60">
        <v>0.0022</v>
      </c>
      <c r="I75" s="6">
        <f>+G75*D75</f>
        <v>381889.271901</v>
      </c>
      <c r="J75" s="6">
        <f>+H75*E75</f>
        <v>610610.6828059398</v>
      </c>
      <c r="K75" s="14">
        <f>+H75*F75</f>
        <v>394793.814360396</v>
      </c>
      <c r="L75" s="39"/>
      <c r="M75" s="39"/>
      <c r="N75" s="39"/>
      <c r="O75" s="39"/>
    </row>
    <row r="76" spans="2:15" ht="12.75">
      <c r="B76" s="48" t="s">
        <v>10</v>
      </c>
      <c r="C76" s="46" t="s">
        <v>20</v>
      </c>
      <c r="D76" s="58">
        <v>606907</v>
      </c>
      <c r="E76" s="58">
        <f>1040744.09536673</f>
        <v>1040744.09536673</v>
      </c>
      <c r="F76" s="4">
        <v>615385.7126079041</v>
      </c>
      <c r="G76" s="59">
        <v>0.316098</v>
      </c>
      <c r="H76" s="60">
        <v>0.2788</v>
      </c>
      <c r="I76" s="6">
        <f aca="true" t="shared" si="9" ref="I76:J83">+G76*D76</f>
        <v>191842.08888599998</v>
      </c>
      <c r="J76" s="6">
        <f t="shared" si="9"/>
        <v>290159.45378824434</v>
      </c>
      <c r="K76" s="14">
        <f aca="true" t="shared" si="10" ref="K76:K83">+H76*F76</f>
        <v>171569.53667508365</v>
      </c>
      <c r="L76" s="39"/>
      <c r="M76" s="39"/>
      <c r="N76" s="39"/>
      <c r="O76" s="39"/>
    </row>
    <row r="77" spans="2:15" ht="12.75">
      <c r="B77" s="48" t="s">
        <v>28</v>
      </c>
      <c r="C77" s="46" t="s">
        <v>20</v>
      </c>
      <c r="D77" s="58">
        <v>617428</v>
      </c>
      <c r="E77" s="58">
        <v>1591444.5589076933</v>
      </c>
      <c r="F77" s="4">
        <v>943074.1721854304</v>
      </c>
      <c r="G77" s="59">
        <v>0.316098</v>
      </c>
      <c r="H77" s="60">
        <v>0.2788</v>
      </c>
      <c r="I77" s="6">
        <f t="shared" si="9"/>
        <v>195167.755944</v>
      </c>
      <c r="J77" s="6">
        <f t="shared" si="9"/>
        <v>443694.74302346486</v>
      </c>
      <c r="K77" s="14">
        <f t="shared" si="10"/>
        <v>262929.079205298</v>
      </c>
      <c r="L77" s="39"/>
      <c r="M77" s="39"/>
      <c r="N77" s="39"/>
      <c r="O77" s="39"/>
    </row>
    <row r="78" spans="2:15" ht="12.75">
      <c r="B78" s="48" t="s">
        <v>11</v>
      </c>
      <c r="C78" s="46" t="s">
        <v>20</v>
      </c>
      <c r="D78" s="58">
        <v>131030.2857431341</v>
      </c>
      <c r="E78" s="58">
        <v>304517.2925634555</v>
      </c>
      <c r="F78" s="4">
        <v>166824.4767700757</v>
      </c>
      <c r="G78" s="59">
        <v>0.351788</v>
      </c>
      <c r="H78" s="60">
        <v>0.3004</v>
      </c>
      <c r="I78" s="6">
        <f t="shared" si="9"/>
        <v>46094.882161005655</v>
      </c>
      <c r="J78" s="6">
        <f t="shared" si="9"/>
        <v>91476.99468606204</v>
      </c>
      <c r="K78" s="14">
        <f t="shared" si="10"/>
        <v>50114.07282173074</v>
      </c>
      <c r="L78" s="39"/>
      <c r="M78" s="39"/>
      <c r="N78" s="39"/>
      <c r="O78" s="39"/>
    </row>
    <row r="79" spans="2:15" ht="12.75">
      <c r="B79" s="48" t="s">
        <v>26</v>
      </c>
      <c r="C79" s="46" t="s">
        <v>20</v>
      </c>
      <c r="D79" s="58">
        <v>5333.70136835771</v>
      </c>
      <c r="E79" s="58">
        <v>22917.196775280605</v>
      </c>
      <c r="F79" s="4">
        <v>6610.376649298803</v>
      </c>
      <c r="G79" s="59">
        <v>1.152076</v>
      </c>
      <c r="H79" s="60">
        <v>0.9814</v>
      </c>
      <c r="I79" s="6">
        <f t="shared" si="9"/>
        <v>6144.829337652077</v>
      </c>
      <c r="J79" s="6">
        <f t="shared" si="9"/>
        <v>22490.936915260387</v>
      </c>
      <c r="K79" s="14">
        <f t="shared" si="10"/>
        <v>6487.423643621846</v>
      </c>
      <c r="L79" s="39"/>
      <c r="M79" s="39"/>
      <c r="N79" s="39"/>
      <c r="O79" s="39"/>
    </row>
    <row r="80" spans="2:15" ht="12.75">
      <c r="B80" s="48" t="s">
        <v>27</v>
      </c>
      <c r="C80" s="46" t="s">
        <v>21</v>
      </c>
      <c r="D80" s="58">
        <v>55099.82139667798</v>
      </c>
      <c r="E80" s="58">
        <v>103200</v>
      </c>
      <c r="F80" s="4">
        <v>64766.36275970895</v>
      </c>
      <c r="G80" s="59">
        <v>0.326667</v>
      </c>
      <c r="H80" s="60">
        <v>0.2732</v>
      </c>
      <c r="I80" s="6">
        <f t="shared" si="9"/>
        <v>17999.293356188606</v>
      </c>
      <c r="J80" s="6">
        <f t="shared" si="9"/>
        <v>28194.24</v>
      </c>
      <c r="K80" s="14">
        <f t="shared" si="10"/>
        <v>17694.170305952484</v>
      </c>
      <c r="L80" s="39"/>
      <c r="M80" s="39"/>
      <c r="N80" s="39"/>
      <c r="O80" s="39"/>
    </row>
    <row r="81" spans="2:15" ht="12.75">
      <c r="B81" s="48" t="s">
        <v>13</v>
      </c>
      <c r="C81" s="46" t="s">
        <v>20</v>
      </c>
      <c r="D81" s="58">
        <v>20704.50015101178</v>
      </c>
      <c r="E81" s="58">
        <v>41569.21768707483</v>
      </c>
      <c r="F81" s="4">
        <v>26340.54576376005</v>
      </c>
      <c r="G81" s="59">
        <v>0.408531</v>
      </c>
      <c r="H81" s="60">
        <v>0.3399</v>
      </c>
      <c r="I81" s="6">
        <f t="shared" si="9"/>
        <v>8458.430151192993</v>
      </c>
      <c r="J81" s="6">
        <f t="shared" si="9"/>
        <v>14129.377091836734</v>
      </c>
      <c r="K81" s="14">
        <f t="shared" si="10"/>
        <v>8953.15150510204</v>
      </c>
      <c r="L81" s="39"/>
      <c r="M81" s="39"/>
      <c r="N81" s="39"/>
      <c r="O81" s="39"/>
    </row>
    <row r="82" spans="2:15" ht="12.75">
      <c r="B82" s="48" t="s">
        <v>14</v>
      </c>
      <c r="C82" s="46" t="s">
        <v>20</v>
      </c>
      <c r="D82" s="58">
        <v>837.5729895357576</v>
      </c>
      <c r="E82" s="58">
        <v>1617.3755802655728</v>
      </c>
      <c r="F82" s="4">
        <v>712.0101479002483</v>
      </c>
      <c r="G82" s="59">
        <v>0.442255</v>
      </c>
      <c r="H82" s="60">
        <v>0.3764</v>
      </c>
      <c r="I82" s="6">
        <f t="shared" si="9"/>
        <v>370.4208424871365</v>
      </c>
      <c r="J82" s="6">
        <f t="shared" si="9"/>
        <v>608.7801684119617</v>
      </c>
      <c r="K82" s="14">
        <f t="shared" si="10"/>
        <v>268.0006196696535</v>
      </c>
      <c r="L82" s="39"/>
      <c r="M82" s="39"/>
      <c r="N82" s="39"/>
      <c r="O82" s="39"/>
    </row>
    <row r="83" spans="2:15" ht="12.75">
      <c r="B83" s="48" t="s">
        <v>15</v>
      </c>
      <c r="C83" s="46" t="s">
        <v>19</v>
      </c>
      <c r="D83" s="58">
        <v>2943001.2195121953</v>
      </c>
      <c r="E83" s="58">
        <v>5266447.524752475</v>
      </c>
      <c r="F83" s="4">
        <v>3000668.3168316833</v>
      </c>
      <c r="G83" s="59">
        <v>0.002553</v>
      </c>
      <c r="H83" s="60">
        <v>0.0022</v>
      </c>
      <c r="I83" s="6">
        <f t="shared" si="9"/>
        <v>7513.482113414635</v>
      </c>
      <c r="J83" s="6">
        <f t="shared" si="9"/>
        <v>11586.184554455447</v>
      </c>
      <c r="K83" s="14">
        <f t="shared" si="10"/>
        <v>6601.470297029704</v>
      </c>
      <c r="L83" s="39"/>
      <c r="M83" s="39"/>
      <c r="N83" s="39"/>
      <c r="O83" s="39"/>
    </row>
    <row r="84" spans="2:15" ht="12.75">
      <c r="B84" s="48"/>
      <c r="C84" s="46"/>
      <c r="D84" s="46"/>
      <c r="E84" s="6"/>
      <c r="F84" s="14"/>
      <c r="G84" s="48"/>
      <c r="I84" s="46"/>
      <c r="J84" s="46"/>
      <c r="K84" s="47"/>
      <c r="L84" s="39"/>
      <c r="M84" s="39"/>
      <c r="N84" s="39"/>
      <c r="O84" s="39"/>
    </row>
    <row r="85" spans="2:15" ht="12.75">
      <c r="B85" s="48"/>
      <c r="C85" s="46"/>
      <c r="D85" s="50"/>
      <c r="E85" s="6"/>
      <c r="F85" s="61" t="s">
        <v>0</v>
      </c>
      <c r="G85" s="15" t="s">
        <v>0</v>
      </c>
      <c r="I85" s="62">
        <f>SUM(I74:I84)</f>
        <v>2329898.030056942</v>
      </c>
      <c r="J85" s="62">
        <f>SUM(J74:J84)</f>
        <v>3796386.95399258</v>
      </c>
      <c r="K85" s="57">
        <f>SUM(K74:K83)</f>
        <v>2416298.8521051137</v>
      </c>
      <c r="L85" s="39"/>
      <c r="M85" s="39"/>
      <c r="N85" s="39"/>
      <c r="O85" s="39"/>
    </row>
    <row r="86" spans="2:15" ht="13.5" thickBot="1">
      <c r="B86" s="53"/>
      <c r="C86" s="54"/>
      <c r="D86" s="54"/>
      <c r="E86" s="54"/>
      <c r="F86" s="55"/>
      <c r="G86" s="53"/>
      <c r="H86" s="54"/>
      <c r="I86" s="54"/>
      <c r="J86" s="54"/>
      <c r="K86" s="55"/>
      <c r="L86" s="39"/>
      <c r="M86" s="39"/>
      <c r="N86" s="39"/>
      <c r="O86" s="39"/>
    </row>
    <row r="87" spans="12:15" ht="12.75">
      <c r="L87" s="39"/>
      <c r="M87" s="39"/>
      <c r="N87" s="39"/>
      <c r="O87" s="39"/>
    </row>
    <row r="89" ht="12.75">
      <c r="M89" s="35" t="s">
        <v>0</v>
      </c>
    </row>
  </sheetData>
  <sheetProtection/>
  <printOptions/>
  <pageMargins left="0.47" right="0.48" top="1.24" bottom="0.77" header="0.5" footer="0.5"/>
  <pageSetup firstPageNumber="1" useFirstPageNumber="1" fitToHeight="2" fitToWidth="1" horizontalDpi="600" verticalDpi="600" orientation="landscape" scale="79" r:id="rId1"/>
  <headerFooter alignWithMargins="0">
    <oddHeader>&amp;C&amp;"Arial,Bold"&amp;12London Hydro Inc.
Detailed Calculation of PILS Recoveries Through Distribution Rates</oddHeader>
    <oddFooter>&amp;RPage &amp;P of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williamd</dc:creator>
  <cp:keywords/>
  <dc:description/>
  <cp:lastModifiedBy>williamd</cp:lastModifiedBy>
  <cp:lastPrinted>2007-07-24T16:44:48Z</cp:lastPrinted>
  <dcterms:created xsi:type="dcterms:W3CDTF">2002-06-06T13:24:20Z</dcterms:created>
  <dcterms:modified xsi:type="dcterms:W3CDTF">2011-12-12T19:54:38Z</dcterms:modified>
  <cp:category/>
  <cp:version/>
  <cp:contentType/>
  <cp:contentStatus/>
</cp:coreProperties>
</file>