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 2001" sheetId="7" r:id="rId7"/>
    <sheet name="TAXCALC 2001" sheetId="8" r:id="rId8"/>
    <sheet name="Tax Rates 2002" sheetId="9" r:id="rId9"/>
    <sheet name="Adj to Income" sheetId="10" r:id="rId10"/>
    <sheet name="PILs 1562 Calculation" sheetId="11" r:id="rId11"/>
  </sheets>
  <externalReferences>
    <externalReference r:id="rId14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9">'Adj to Income'!$A$3:$F$57</definedName>
    <definedName name="_xlnm.Print_Area" localSheetId="10">'PILs 1562 Calculation'!$A$1:$O$77</definedName>
    <definedName name="_xlnm.Print_Area" localSheetId="0">'REGINFO'!$A$1:$E$72</definedName>
    <definedName name="_xlnm.Print_Area" localSheetId="6">'Tax Rates 2001'!$A$1:$J$61</definedName>
    <definedName name="_xlnm.Print_Area" localSheetId="8">'Tax Rates 2002'!$A$1:$J$61</definedName>
    <definedName name="_xlnm.Print_Area" localSheetId="3">'Tax Reserves'!$A$1:$F$64</definedName>
    <definedName name="_xlnm.Print_Area" localSheetId="1">'TAXCALC'!$A$1:$H$212</definedName>
    <definedName name="_xlnm.Print_Area" localSheetId="7">'TAXCALC 2001'!$A$1:$H$212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7">'TAXCALC 2001'!$A:$A,'TAXCALC 2001'!$1:$13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<sst xmlns="http://schemas.openxmlformats.org/spreadsheetml/2006/main" count="1290" uniqueCount="550">
  <si>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</si>
  <si>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</si>
  <si>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</si>
  <si>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</si>
  <si>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</si>
  <si>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</si>
  <si>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</si>
  <si>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</si>
  <si>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</si>
  <si>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</si>
  <si>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</si>
  <si>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</si>
  <si>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</si>
  <si>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</si>
  <si>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</si>
  <si>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</si>
  <si>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</si>
  <si>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</si>
  <si>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</si>
  <si>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</si>
  <si>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</si>
  <si>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</si>
  <si>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</si>
  <si>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</si>
  <si>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</si>
  <si>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</si>
  <si>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</si>
  <si>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</si>
  <si>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</si>
  <si>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</si>
  <si>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</si>
  <si>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</si>
  <si>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</si>
  <si>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</si>
  <si>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</si>
  <si>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</si>
  <si>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</si>
  <si>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</si>
  <si>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</si>
  <si>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</si>
  <si>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</si>
  <si>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</si>
  <si>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</si>
  <si>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</si>
  <si>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</si>
  <si>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</si>
  <si>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</si>
  <si>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</si>
  <si>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</si>
  <si>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</si>
  <si>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</si>
  <si>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</si>
  <si>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</si>
  <si>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</si>
  <si>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</si>
  <si>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</si>
  <si>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</si>
  <si>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</si>
  <si>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</si>
  <si>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</si>
  <si>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</si>
  <si>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</si>
  <si>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</si>
  <si>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</si>
  <si>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</si>
  <si>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</si>
  <si>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</si>
  <si>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</si>
  <si>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</si>
  <si>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</si>
  <si>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</si>
  <si>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</si>
  <si>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</si>
  <si>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</si>
  <si>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</si>
  <si>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</si>
  <si>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</si>
  <si>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</si>
  <si>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</si>
  <si>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</si>
  <si>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</si>
  <si>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</si>
  <si>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</si>
  <si>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</si>
  <si>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</si>
  <si>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</si>
  <si>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</si>
  <si>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</si>
  <si>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</si>
  <si>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</si>
  <si>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</si>
  <si>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</si>
  <si>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</si>
  <si>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</si>
  <si>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</si>
  <si>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</si>
  <si>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</si>
  <si>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</si>
  <si>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</si>
  <si>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</si>
  <si>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</si>
  <si>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</si>
  <si>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</si>
  <si>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</si>
  <si>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</si>
  <si>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</si>
  <si>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</si>
  <si>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</si>
  <si>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</si>
  <si>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</si>
  <si>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</si>
  <si>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</si>
  <si>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</si>
  <si>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</si>
  <si>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</si>
  <si>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</si>
  <si>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</si>
  <si>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</si>
  <si>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</si>
  <si>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</si>
  <si>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</si>
  <si>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</si>
  <si>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</si>
  <si>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</si>
  <si>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</si>
  <si>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</si>
  <si>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</si>
  <si>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</si>
  <si>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</si>
  <si>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</si>
  <si>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</si>
  <si>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</si>
  <si>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</si>
  <si>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</si>
  <si>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</si>
  <si>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</si>
  <si>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</si>
  <si>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</si>
  <si>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</si>
  <si>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</si>
  <si>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</si>
  <si>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</si>
  <si>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</si>
  <si>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</si>
  <si>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</si>
  <si>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</si>
  <si>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</si>
  <si>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</si>
  <si>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</si>
  <si>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</si>
  <si>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</si>
  <si>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</si>
  <si>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</si>
  <si>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</si>
  <si>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</si>
  <si>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</si>
  <si>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</si>
  <si>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</si>
  <si>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</si>
  <si>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</si>
  <si>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</si>
  <si>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</si>
  <si>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</si>
  <si>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</si>
  <si>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</si>
  <si>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</si>
  <si>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</si>
  <si>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</si>
  <si>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</si>
  <si>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</si>
  <si>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</si>
  <si>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</si>
  <si>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</si>
  <si>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</si>
  <si>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</si>
  <si>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</si>
  <si>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</si>
  <si>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</si>
  <si>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</si>
  <si>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</si>
  <si>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</si>
  <si>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</si>
  <si>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</si>
  <si>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</si>
  <si>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</si>
  <si>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</si>
  <si>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</si>
  <si>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</si>
  <si>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</si>
  <si>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</si>
  <si>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</si>
  <si>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</si>
  <si>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</si>
  <si>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</si>
  <si>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</si>
  <si>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</si>
  <si>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</si>
  <si>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</si>
  <si>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</si>
  <si>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</si>
  <si>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</si>
  <si>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</si>
  <si>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</si>
  <si>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</si>
  <si>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</si>
  <si>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</si>
  <si>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</si>
  <si>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</si>
  <si>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</si>
  <si>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</si>
  <si>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</si>
  <si>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</si>
  <si>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</si>
  <si>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</si>
  <si>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</si>
  <si>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</si>
  <si>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</si>
  <si>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</si>
  <si>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</si>
  <si>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</si>
  <si>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</si>
  <si>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</si>
  <si>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</si>
  <si>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</si>
  <si>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</si>
  <si>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</si>
  <si>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</si>
  <si>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</si>
  <si>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</si>
  <si>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</si>
  <si>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</si>
  <si>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</si>
  <si>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</si>
  <si>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</si>
  <si>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</si>
  <si>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</si>
  <si>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</si>
  <si>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</si>
  <si>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</si>
  <si>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</si>
  <si>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</si>
  <si>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</si>
  <si>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</si>
  <si>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</si>
  <si>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</si>
  <si>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</si>
  <si>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</si>
  <si>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</si>
  <si>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</si>
  <si>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</si>
  <si>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</si>
  <si>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</si>
  <si>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</si>
  <si>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</si>
  <si>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</si>
  <si>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</si>
  <si>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</si>
  <si>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</si>
  <si>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</si>
  <si>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</si>
  <si>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</si>
  <si>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</si>
  <si>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</si>
  <si>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</si>
  <si>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</si>
  <si>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</si>
  <si>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</si>
  <si>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</si>
  <si>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</si>
  <si>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</si>
  <si>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</si>
  <si>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</si>
  <si>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</si>
  <si>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</si>
  <si>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</si>
  <si>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</si>
  <si>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</si>
  <si>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</si>
  <si>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</si>
  <si>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</si>
  <si>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</si>
  <si>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</si>
  <si>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</si>
  <si>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</si>
  <si>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</si>
  <si>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</si>
  <si>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</si>
  <si>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</si>
  <si>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</si>
  <si>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</si>
  <si>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</si>
  <si>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</si>
  <si>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</si>
  <si>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</si>
  <si>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</si>
  <si>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</si>
  <si>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</si>
  <si>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</si>
  <si>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</si>
  <si>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</si>
  <si>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</si>
  <si>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</si>
  <si>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</si>
  <si>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</si>
  <si>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</si>
  <si>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</si>
  <si>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</si>
  <si>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</si>
  <si>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</si>
  <si>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</si>
  <si>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</si>
  <si>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</si>
  <si>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</si>
  <si>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</si>
  <si>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</si>
  <si>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</si>
  <si>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</si>
  <si>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</si>
  <si>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</si>
  <si>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</si>
  <si>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</si>
  <si>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</si>
  <si>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</si>
  <si>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</si>
  <si>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</si>
  <si>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</si>
  <si>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</si>
  <si>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</si>
  <si>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</si>
  <si>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</si>
  <si>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</si>
  <si>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</si>
  <si>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</si>
  <si>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</si>
  <si>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</si>
  <si>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</si>
  <si>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</si>
  <si>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</si>
  <si>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</si>
  <si>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</si>
  <si>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</si>
  <si>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</si>
  <si>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</si>
  <si>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</si>
  <si>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</si>
  <si>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</si>
  <si>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</si>
  <si>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</si>
  <si>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</si>
  <si>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</si>
  <si>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</si>
  <si>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</si>
  <si>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</si>
  <si>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</si>
  <si>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</si>
  <si>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</si>
  <si>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</si>
  <si>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</si>
  <si>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</si>
  <si>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</si>
  <si>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</si>
  <si>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</si>
  <si>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</si>
  <si>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</si>
  <si>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</si>
  <si>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</si>
  <si>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</si>
  <si>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</si>
  <si>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</si>
  <si>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</si>
  <si>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</si>
  <si>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</si>
  <si>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</si>
  <si>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</si>
  <si>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</si>
  <si>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</si>
  <si>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</si>
  <si>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</si>
  <si>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</si>
  <si>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</si>
  <si>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</si>
  <si>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</si>
  <si>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</si>
  <si>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</si>
  <si>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</si>
  <si>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</si>
  <si>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</si>
  <si>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</si>
  <si>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</si>
  <si>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</si>
  <si>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</si>
  <si>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</si>
  <si>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</si>
  <si>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</si>
  <si>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</si>
  <si>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</si>
  <si>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</si>
  <si>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</si>
  <si>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</si>
  <si>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</si>
  <si>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</si>
  <si>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</si>
  <si>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</si>
  <si>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</si>
  <si>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</si>
  <si>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</si>
  <si>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</si>
  <si>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</si>
  <si>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</si>
  <si>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</si>
  <si>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</si>
  <si>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</si>
  <si>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</si>
  <si>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</si>
  <si>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</si>
  <si>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</si>
  <si>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</si>
  <si>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</si>
  <si>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</si>
  <si>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</si>
  <si>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</si>
  <si>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</si>
  <si>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</si>
  <si>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</si>
  <si>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</si>
  <si>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</si>
  <si>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</si>
  <si>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</si>
  <si>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</si>
  <si>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</si>
  <si>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</si>
  <si>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</si>
  <si>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</si>
  <si>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</si>
  <si>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</si>
  <si>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</si>
  <si>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</si>
  <si>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</si>
  <si>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</si>
  <si>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</si>
  <si>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</si>
  <si>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</si>
  <si>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</si>
  <si>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</si>
  <si>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</si>
  <si>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</si>
  <si>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</si>
  <si>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</si>
  <si>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</si>
  <si>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</si>
  <si>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</si>
  <si>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</si>
  <si>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</si>
  <si>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</si>
  <si>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</si>
  <si>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</si>
  <si>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</si>
  <si>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</si>
  <si>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</si>
  <si>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</si>
  <si>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</si>
  <si>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</si>
  <si>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</si>
  <si>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</si>
  <si>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</si>
  <si>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</si>
  <si>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</si>
  <si>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</si>
  <si>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</si>
  <si>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</si>
  <si>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</si>
  <si>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</si>
  <si>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</si>
  <si>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</si>
  <si>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</si>
  <si>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</si>
  <si>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</si>
  <si>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</si>
  <si>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</si>
  <si>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Overpaid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</si>
  <si>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</si>
  <si>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</si>
  <si>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</si>
  <si>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</si>
  <si>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2"/>
      </rPr>
      <t xml:space="preserve"> Utility's tax return</t>
    </r>
  </si>
  <si>
    <t>Interest Adjustment for Tax Purposes  (carry forward to Cell I112)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</si>
  <si>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</si>
  <si>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</si>
  <si>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</si>
  <si>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</si>
  <si>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</si>
  <si>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</si>
  <si>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 xml:space="preserve">Interest deducted on MoF filing  (Cell G36+G41) </t>
  </si>
  <si>
    <t>25% for Q4 2001</t>
  </si>
  <si>
    <t>Expected Income Tax Rates for 2002 and Capital Tax Exemptions for 2002</t>
  </si>
  <si>
    <t xml:space="preserve">PILs TAXES </t>
  </si>
  <si>
    <t>Utility Name: London Hydro Inc.</t>
  </si>
  <si>
    <t>Y</t>
  </si>
  <si>
    <t>N</t>
  </si>
  <si>
    <t>Change in tax reserves</t>
  </si>
  <si>
    <t>Deductions:  Input positive numbers</t>
  </si>
  <si>
    <t>Total PILs for Rate Adjustment -- MUST AGREE WITH 2001</t>
  </si>
  <si>
    <t xml:space="preserve">2001 PILs </t>
  </si>
  <si>
    <t>Revised</t>
  </si>
  <si>
    <t>Days in reporting period:                                                              days</t>
  </si>
  <si>
    <t>Total days in the calendar year:                                                 days</t>
  </si>
  <si>
    <t>REVISED 2011 CALCULATION OF 2001 PILS AMOUNTS</t>
  </si>
  <si>
    <t>Revision</t>
  </si>
  <si>
    <t>Amount</t>
  </si>
  <si>
    <t>Federal Large Corporation Tax</t>
  </si>
  <si>
    <t>Please identify if Method 1, 2 or 3 was used to account for the PILs proxy and recovery.  ANSWER:    Method 2</t>
  </si>
  <si>
    <t>sale of water heaters</t>
  </si>
  <si>
    <t>water heater assets</t>
  </si>
  <si>
    <t xml:space="preserve">Sale of non-utility </t>
  </si>
  <si>
    <t>London Hydro Inc.</t>
  </si>
  <si>
    <t>Adjustments to Accounting Income</t>
  </si>
  <si>
    <t>Item #</t>
  </si>
  <si>
    <t>Description</t>
  </si>
  <si>
    <t>5B</t>
  </si>
  <si>
    <t>Changes in Reserves</t>
  </si>
  <si>
    <t>Reserve for doubtful accounts</t>
  </si>
  <si>
    <t>Opening balance on January 1</t>
  </si>
  <si>
    <t>Net change in allowance for doubtful accounts</t>
  </si>
  <si>
    <t>Estimated closing balance at December 31</t>
  </si>
  <si>
    <t>Reserve for inventory obsolescence</t>
  </si>
  <si>
    <t>Net change in reserve for obsolescence</t>
  </si>
  <si>
    <t>Net change in tax reserves</t>
  </si>
  <si>
    <t>6A</t>
  </si>
  <si>
    <t>6B</t>
  </si>
  <si>
    <t>Regulatory Adjustments - added</t>
  </si>
  <si>
    <t>Transitional Items</t>
  </si>
  <si>
    <t>Year 2000 CIS capital costs - amortization</t>
  </si>
  <si>
    <t>Year 2000 CIS capital costs - wip</t>
  </si>
  <si>
    <t xml:space="preserve">Year 2000 transitional operating costs </t>
  </si>
  <si>
    <t>Adjustments to 2001 income re: 2000 transitional costs</t>
  </si>
  <si>
    <t>Year 2001 interest on 2000 transitional costs</t>
  </si>
  <si>
    <t xml:space="preserve">Z-Factor Costs </t>
  </si>
  <si>
    <t>Hydro Ontario Networks Distribution Charges</t>
  </si>
  <si>
    <t>Hydro Ontario Networks Low Voltage Service Charges</t>
  </si>
  <si>
    <t xml:space="preserve">Environmental Clean-up </t>
  </si>
  <si>
    <t xml:space="preserve">Total </t>
  </si>
  <si>
    <t>11A</t>
  </si>
  <si>
    <t>11B</t>
  </si>
  <si>
    <t>Regulatory Adjustments - deducted</t>
  </si>
  <si>
    <t>Year 2000 CIS capital costs - dereg</t>
  </si>
  <si>
    <t>Rate change impact</t>
  </si>
  <si>
    <t>25.00% to 25.21%</t>
  </si>
  <si>
    <t xml:space="preserve">Model error corrected </t>
  </si>
  <si>
    <t>for 92 day period</t>
  </si>
  <si>
    <t>Impact of above corrections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</si>
</sst>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.00"/>
    <numFmt numFmtId="166" formatCode="0.00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  <border>
      <left style="medium"/>
      <right/>
      <top/>
      <bottom style="thick"/>
    </border>
    <border>
      <left style="thin"/>
      <right style="thin"/>
      <top/>
      <bottom style="thick"/>
    </border>
    <border>
      <left/>
      <right/>
      <top/>
      <bottom style="double"/>
    </border>
  </borders>
  <cellStyleXfs count="67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0" fontId="54" fillId="27" borderId="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40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65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64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64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64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64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64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66" fontId="0" fillId="36" borderId="44" xfId="0" applyNumberFormat="1" applyFill="1" applyBorder="1" applyAlignment="1" applyProtection="1">
      <alignment horizontal="center" vertical="top"/>
      <protection locked="0"/>
    </xf>
    <xf numFmtId="166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4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66" fontId="0" fillId="41" borderId="44" xfId="0" applyNumberFormat="1" applyFill="1" applyBorder="1" applyAlignment="1" applyProtection="1">
      <alignment horizontal="center" vertical="top"/>
      <protection locked="0"/>
    </xf>
    <xf numFmtId="166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4" fillId="40" borderId="48" xfId="42" applyNumberFormat="1" applyFont="1" applyFill="1" applyBorder="1" applyAlignment="1" applyProtection="1">
      <alignment horizontal="center" vertical="top"/>
      <protection locked="0"/>
    </xf>
    <xf numFmtId="4" fontId="10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40" borderId="49" xfId="0" applyFont="1" applyFill="1" applyBorder="1" applyAlignment="1" applyProtection="1">
      <alignment horizontal="center" vertical="top"/>
      <protection locked="0"/>
    </xf>
    <xf numFmtId="3" fontId="4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40" borderId="49" xfId="42" applyNumberFormat="1" applyFont="1" applyFill="1" applyBorder="1" applyAlignment="1" applyProtection="1">
      <alignment horizontal="center" vertical="top"/>
      <protection locked="0"/>
    </xf>
    <xf numFmtId="0" fontId="10" fillId="40" borderId="55" xfId="0" applyFont="1" applyFill="1" applyBorder="1" applyAlignment="1" applyProtection="1">
      <alignment horizontal="center" vertical="center" wrapText="1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5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37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horizontal="left" vertical="top" indent="2"/>
    </xf>
    <xf numFmtId="0" fontId="0" fillId="0" borderId="24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Font="1" applyBorder="1" applyAlignment="1">
      <alignment vertical="top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0" fillId="0" borderId="18" xfId="0" applyFont="1" applyBorder="1" applyAlignment="1" applyProtection="1">
      <alignment horizontal="left" vertical="top"/>
      <protection locked="0"/>
    </xf>
    <xf numFmtId="10" fontId="0" fillId="0" borderId="18" xfId="63" applyNumberFormat="1" applyFont="1" applyBorder="1" applyAlignment="1" applyProtection="1">
      <alignment horizontal="center" vertical="top"/>
      <protection locked="0"/>
    </xf>
    <xf numFmtId="10" fontId="0" fillId="0" borderId="18" xfId="63" applyNumberFormat="1" applyFont="1" applyBorder="1" applyAlignment="1" applyProtection="1">
      <alignment horizontal="center" vertical="top"/>
      <protection locked="0"/>
    </xf>
    <xf numFmtId="0" fontId="0" fillId="0" borderId="60" xfId="0" applyFont="1" applyBorder="1" applyAlignment="1" applyProtection="1">
      <alignment vertical="top"/>
      <protection/>
    </xf>
    <xf numFmtId="0" fontId="0" fillId="0" borderId="61" xfId="0" applyFont="1" applyBorder="1" applyAlignment="1" applyProtection="1">
      <alignment horizontal="center" vertical="top"/>
      <protection/>
    </xf>
    <xf numFmtId="3" fontId="0" fillId="0" borderId="61" xfId="0" applyNumberFormat="1" applyFill="1" applyBorder="1" applyAlignment="1">
      <alignment vertical="top"/>
    </xf>
    <xf numFmtId="37" fontId="0" fillId="0" borderId="11" xfId="0" applyNumberFormat="1" applyBorder="1" applyAlignment="1">
      <alignment vertical="top"/>
    </xf>
    <xf numFmtId="0" fontId="0" fillId="0" borderId="18" xfId="0" applyFont="1" applyFill="1" applyBorder="1" applyAlignment="1" applyProtection="1">
      <alignment horizontal="center" vertical="top"/>
      <protection locked="0"/>
    </xf>
    <xf numFmtId="3" fontId="0" fillId="0" borderId="18" xfId="0" applyNumberFormat="1" applyFont="1" applyBorder="1" applyAlignment="1">
      <alignment horizontal="center" vertical="top"/>
    </xf>
    <xf numFmtId="0" fontId="0" fillId="0" borderId="24" xfId="0" applyFont="1" applyFill="1" applyBorder="1" applyAlignment="1" applyProtection="1">
      <alignment vertical="top"/>
      <protection/>
    </xf>
    <xf numFmtId="0" fontId="3" fillId="0" borderId="0" xfId="0" applyFont="1" applyAlignment="1">
      <alignment horizontal="centerContinuous" vertical="top"/>
    </xf>
    <xf numFmtId="0" fontId="4" fillId="0" borderId="0" xfId="0" applyFont="1" applyFill="1" applyAlignment="1" applyProtection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60">
      <alignment vertical="top"/>
      <protection/>
    </xf>
    <xf numFmtId="0" fontId="3" fillId="0" borderId="0" xfId="60" applyFont="1">
      <alignment vertical="top"/>
      <protection/>
    </xf>
    <xf numFmtId="0" fontId="7" fillId="0" borderId="0" xfId="60" applyFont="1">
      <alignment vertical="top"/>
      <protection/>
    </xf>
    <xf numFmtId="0" fontId="29" fillId="0" borderId="0" xfId="60" applyFont="1">
      <alignment vertical="top"/>
      <protection/>
    </xf>
    <xf numFmtId="0" fontId="4" fillId="0" borderId="0" xfId="60" applyFont="1" applyAlignment="1">
      <alignment horizontal="center" vertical="top"/>
      <protection/>
    </xf>
    <xf numFmtId="0" fontId="4" fillId="0" borderId="0" xfId="60" applyFont="1">
      <alignment vertical="top"/>
      <protection/>
    </xf>
    <xf numFmtId="0" fontId="0" fillId="0" borderId="0" xfId="60" applyAlignment="1">
      <alignment horizontal="center" vertical="top"/>
      <protection/>
    </xf>
    <xf numFmtId="0" fontId="7" fillId="0" borderId="0" xfId="60" applyFont="1" applyAlignment="1">
      <alignment horizontal="center" vertical="top"/>
      <protection/>
    </xf>
    <xf numFmtId="3" fontId="0" fillId="0" borderId="0" xfId="42" applyNumberFormat="1" applyFont="1" applyAlignment="1">
      <alignment vertical="top"/>
    </xf>
    <xf numFmtId="3" fontId="0" fillId="42" borderId="58" xfId="42" applyNumberFormat="1" applyFont="1" applyFill="1" applyBorder="1" applyAlignment="1">
      <alignment vertical="top"/>
    </xf>
    <xf numFmtId="3" fontId="0" fillId="0" borderId="0" xfId="42" applyNumberFormat="1" applyFont="1" applyBorder="1" applyAlignment="1">
      <alignment vertical="top"/>
    </xf>
    <xf numFmtId="0" fontId="4" fillId="0" borderId="0" xfId="60" applyFont="1" applyAlignment="1">
      <alignment horizontal="right" vertical="top"/>
      <protection/>
    </xf>
    <xf numFmtId="3" fontId="0" fillId="0" borderId="0" xfId="60" applyNumberFormat="1">
      <alignment vertical="top"/>
      <protection/>
    </xf>
    <xf numFmtId="3" fontId="0" fillId="0" borderId="16" xfId="42" applyNumberFormat="1" applyFont="1" applyBorder="1" applyAlignment="1">
      <alignment vertical="top"/>
    </xf>
    <xf numFmtId="3" fontId="0" fillId="0" borderId="58" xfId="42" applyNumberFormat="1" applyFont="1" applyBorder="1" applyAlignment="1">
      <alignment vertical="top"/>
    </xf>
    <xf numFmtId="0" fontId="0" fillId="0" borderId="0" xfId="60" applyAlignment="1">
      <alignment horizontal="right" vertical="top"/>
      <protection/>
    </xf>
    <xf numFmtId="3" fontId="0" fillId="0" borderId="62" xfId="60" applyNumberFormat="1" applyBorder="1">
      <alignment vertical="top"/>
      <protection/>
    </xf>
    <xf numFmtId="0" fontId="57" fillId="0" borderId="0" xfId="0" applyFont="1" applyAlignment="1">
      <alignment vertical="top"/>
    </xf>
    <xf numFmtId="0" fontId="57" fillId="0" borderId="0" xfId="0" applyFont="1" applyAlignment="1" quotePrefix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view="pageLayout" workbookViewId="0" topLeftCell="A1">
      <selection activeCell="J64" sqref="J6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495</v>
      </c>
      <c r="C1" s="8"/>
      <c r="E1" s="2" t="s">
        <v>454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477" t="s">
        <v>496</v>
      </c>
      <c r="C3" s="8"/>
      <c r="D3" s="453" t="s">
        <v>440</v>
      </c>
      <c r="E3" s="8"/>
      <c r="F3" s="8"/>
      <c r="G3" s="8"/>
      <c r="H3" s="8"/>
    </row>
    <row r="4" spans="1:8" ht="12.75">
      <c r="A4" s="2" t="s">
        <v>465</v>
      </c>
      <c r="C4" s="8"/>
      <c r="D4" s="452" t="s">
        <v>435</v>
      </c>
      <c r="E4" s="427"/>
      <c r="H4" s="8"/>
    </row>
    <row r="5" spans="1:8" ht="12.75">
      <c r="A5" s="52"/>
      <c r="C5" s="8"/>
      <c r="D5" s="451" t="s">
        <v>436</v>
      </c>
      <c r="E5" s="399"/>
      <c r="H5" s="8"/>
    </row>
    <row r="6" spans="1:8" ht="12.75">
      <c r="A6" s="2" t="s">
        <v>126</v>
      </c>
      <c r="B6" s="389">
        <v>92</v>
      </c>
      <c r="C6" s="8" t="s">
        <v>127</v>
      </c>
      <c r="D6" s="21"/>
      <c r="H6" s="8"/>
    </row>
    <row r="7" spans="1:8" ht="13.5" thickBot="1">
      <c r="A7" s="52" t="s">
        <v>252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488" t="s">
        <v>102</v>
      </c>
      <c r="H11" s="3"/>
    </row>
    <row r="12" spans="1:8" ht="13.5" thickBot="1">
      <c r="A12" s="3" t="s">
        <v>63</v>
      </c>
      <c r="C12" s="20" t="s">
        <v>64</v>
      </c>
      <c r="D12" s="478" t="s">
        <v>497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78" t="s">
        <v>498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78" t="s">
        <v>498</v>
      </c>
    </row>
    <row r="18" spans="1:4" ht="15" customHeight="1">
      <c r="A18" s="390" t="s">
        <v>309</v>
      </c>
      <c r="C18" s="8"/>
      <c r="D18" s="8"/>
    </row>
    <row r="19" spans="1:4" ht="15" customHeight="1">
      <c r="A19" s="524" t="s">
        <v>310</v>
      </c>
      <c r="B19" s="8" t="s">
        <v>307</v>
      </c>
      <c r="C19" s="8" t="s">
        <v>64</v>
      </c>
      <c r="D19" s="479" t="s">
        <v>498</v>
      </c>
    </row>
    <row r="20" spans="1:4" ht="13.5" thickBot="1">
      <c r="A20" s="525"/>
      <c r="B20" s="8" t="s">
        <v>308</v>
      </c>
      <c r="C20" s="8" t="s">
        <v>64</v>
      </c>
      <c r="D20" s="478" t="s">
        <v>498</v>
      </c>
    </row>
    <row r="21" spans="1:4" ht="12.75">
      <c r="A21" s="524" t="s">
        <v>306</v>
      </c>
      <c r="B21" s="8" t="s">
        <v>307</v>
      </c>
      <c r="C21" s="8"/>
      <c r="D21" s="423">
        <v>1</v>
      </c>
    </row>
    <row r="22" spans="1:4" ht="12.75">
      <c r="A22" s="524"/>
      <c r="B22" s="8" t="s">
        <v>308</v>
      </c>
      <c r="C22" s="8"/>
      <c r="D22" s="423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4" t="s">
        <v>466</v>
      </c>
    </row>
    <row r="25" ht="6.75" customHeight="1" thickBot="1">
      <c r="A25" s="12"/>
    </row>
    <row r="26" spans="1:5" ht="12.75">
      <c r="A26" s="255" t="s">
        <v>67</v>
      </c>
      <c r="C26" s="8"/>
      <c r="E26" s="442" t="s">
        <v>292</v>
      </c>
    </row>
    <row r="27" spans="1:5" ht="12.75">
      <c r="A27" s="256" t="s">
        <v>68</v>
      </c>
      <c r="C27" s="8"/>
      <c r="E27" s="443" t="s">
        <v>293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282</v>
      </c>
      <c r="D31" s="5">
        <v>174041606</v>
      </c>
      <c r="H31" s="5"/>
    </row>
    <row r="32" ht="6" customHeight="1"/>
    <row r="33" spans="1:8" ht="12.75">
      <c r="A33" t="s">
        <v>71</v>
      </c>
      <c r="D33" s="422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14438491.633760002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22">
        <v>5928118</v>
      </c>
      <c r="E43" s="388">
        <f>D43</f>
        <v>5928118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8510373.633760002</v>
      </c>
      <c r="H45" s="40"/>
      <c r="J45" s="5"/>
      <c r="K45" s="5"/>
    </row>
    <row r="46" spans="1:11" ht="12.75">
      <c r="A46" s="2" t="s">
        <v>283</v>
      </c>
      <c r="D46" s="40"/>
      <c r="H46" s="40"/>
      <c r="J46" s="5"/>
      <c r="K46" s="5"/>
    </row>
    <row r="47" spans="1:11" ht="12.75">
      <c r="A47" t="s">
        <v>284</v>
      </c>
      <c r="D47" s="425">
        <v>2836791.211253334</v>
      </c>
      <c r="E47" s="388">
        <f aca="true" t="shared" si="0" ref="E47:E53">D47</f>
        <v>2836791.211253334</v>
      </c>
      <c r="H47" s="40"/>
      <c r="J47" s="5"/>
      <c r="K47" s="5"/>
    </row>
    <row r="48" spans="1:11" ht="12.75">
      <c r="A48" t="s">
        <v>285</v>
      </c>
      <c r="D48" s="425">
        <v>0</v>
      </c>
      <c r="E48" s="388">
        <f t="shared" si="0"/>
        <v>0</v>
      </c>
      <c r="F48" s="22"/>
      <c r="H48" s="40"/>
      <c r="J48" s="5"/>
      <c r="K48" s="5"/>
    </row>
    <row r="49" spans="1:11" ht="12.75">
      <c r="A49" t="s">
        <v>286</v>
      </c>
      <c r="D49" s="426">
        <v>0</v>
      </c>
      <c r="E49" s="388">
        <v>0</v>
      </c>
      <c r="F49" s="22"/>
      <c r="H49" s="40"/>
      <c r="J49" s="5"/>
      <c r="K49" s="5"/>
    </row>
    <row r="50" spans="1:11" ht="12.75">
      <c r="A50" t="s">
        <v>287</v>
      </c>
      <c r="D50" s="427"/>
      <c r="E50" s="388">
        <f t="shared" si="0"/>
        <v>0</v>
      </c>
      <c r="H50" s="40"/>
      <c r="J50" s="5"/>
      <c r="K50" s="5"/>
    </row>
    <row r="51" spans="1:11" ht="12.75">
      <c r="A51" t="s">
        <v>432</v>
      </c>
      <c r="D51" s="427"/>
      <c r="E51" s="388">
        <f t="shared" si="0"/>
        <v>0</v>
      </c>
      <c r="H51" s="40"/>
      <c r="J51" s="5"/>
      <c r="K51" s="5"/>
    </row>
    <row r="52" spans="1:11" ht="12.75">
      <c r="A52" t="s">
        <v>455</v>
      </c>
      <c r="D52" s="427"/>
      <c r="E52" s="388">
        <f t="shared" si="0"/>
        <v>0</v>
      </c>
      <c r="H52" s="40"/>
      <c r="J52" s="5"/>
      <c r="K52" s="5"/>
    </row>
    <row r="53" spans="4:11" ht="12.75">
      <c r="D53" s="427"/>
      <c r="E53" s="388">
        <f t="shared" si="0"/>
        <v>0</v>
      </c>
      <c r="H53" s="40"/>
      <c r="J53" s="5"/>
      <c r="K53" s="5"/>
    </row>
    <row r="54" spans="1:11" ht="12.75">
      <c r="A54" s="2" t="s">
        <v>288</v>
      </c>
      <c r="E54" s="254">
        <f>SUM(E43:E53)</f>
        <v>8764909.211253334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78318722.7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7737889.80276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95722883.30000001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305</v>
      </c>
      <c r="B62" s="5"/>
      <c r="C62" s="5"/>
      <c r="D62" s="252">
        <f>D60*D39</f>
        <v>6700601.831000001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289</v>
      </c>
      <c r="B64" s="5"/>
      <c r="C64" s="5"/>
      <c r="D64" s="253">
        <f>IF(D41&gt;0,(((D43+D47)/D41)*D62),0)</f>
        <v>4067610.9526669886</v>
      </c>
      <c r="F64" s="5"/>
      <c r="H64" s="32"/>
      <c r="J64" s="5"/>
      <c r="K64" s="5"/>
    </row>
    <row r="65" spans="1:11" ht="12.75">
      <c r="A65" s="33" t="s">
        <v>374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290</v>
      </c>
      <c r="B66" s="5"/>
      <c r="C66" s="5"/>
      <c r="D66" s="253">
        <f>IF(D41&gt;0,(((D43+D47+D48)/D41)*D62),0)</f>
        <v>4067610.9526669886</v>
      </c>
      <c r="F66" s="5"/>
      <c r="H66" s="32"/>
      <c r="J66" s="5"/>
      <c r="K66" s="5"/>
    </row>
    <row r="67" spans="1:11" ht="12.75">
      <c r="A67" s="33" t="s">
        <v>375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291</v>
      </c>
      <c r="B68" s="5"/>
      <c r="C68" s="5"/>
      <c r="D68" s="253">
        <f>IF(D41&gt;0,(((D43+D47+D48)/D41)*D62),0)</f>
        <v>4067610.9526669886</v>
      </c>
      <c r="F68" s="5"/>
      <c r="H68" s="32"/>
      <c r="J68" s="5"/>
    </row>
    <row r="69" spans="1:10" ht="12.75">
      <c r="A69" s="33" t="s">
        <v>376</v>
      </c>
      <c r="B69" s="5"/>
      <c r="C69" s="5"/>
      <c r="D69" s="5"/>
      <c r="F69" s="5"/>
      <c r="H69" s="32"/>
      <c r="J69" s="5"/>
    </row>
    <row r="70" spans="1:10" ht="12.75">
      <c r="A70" s="45" t="s">
        <v>441</v>
      </c>
      <c r="B70" s="5"/>
      <c r="C70" s="5"/>
      <c r="D70" s="253">
        <f>D62</f>
        <v>6700601.831000001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35" top="0.7694791666666667" bottom="0.2362204724409449" header="0.16" footer="0"/>
  <pageSetup fitToHeight="1" fitToWidth="1" horizontalDpi="600" verticalDpi="600" orientation="portrait" scale="74" r:id="rId1"/>
  <headerFooter alignWithMargins="0">
    <oddHeader>&amp;RLondon Hydro Inc.
EB-2011-0181
Deferred PILs 1562 Disposition 
Appendix C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B10">
      <selection activeCell="L60" sqref="L60"/>
    </sheetView>
  </sheetViews>
  <sheetFormatPr defaultColWidth="9.140625" defaultRowHeight="12.75"/>
  <cols>
    <col min="1" max="1" width="8.7109375" style="505" customWidth="1"/>
    <col min="2" max="2" width="53.7109375" style="505" customWidth="1"/>
    <col min="3" max="3" width="13.00390625" style="505" customWidth="1"/>
    <col min="4" max="4" width="12.7109375" style="505" customWidth="1"/>
    <col min="5" max="5" width="11.7109375" style="505" customWidth="1"/>
    <col min="6" max="6" width="12.00390625" style="505" customWidth="1"/>
    <col min="7" max="16384" width="9.140625" style="505" customWidth="1"/>
  </cols>
  <sheetData>
    <row r="1" ht="15.75">
      <c r="B1" s="506" t="s">
        <v>514</v>
      </c>
    </row>
    <row r="3" ht="12.75">
      <c r="B3" s="507" t="s">
        <v>515</v>
      </c>
    </row>
    <row r="4" ht="15.75">
      <c r="B4" s="508"/>
    </row>
    <row r="5" spans="1:4" ht="12.75">
      <c r="A5" s="509" t="s">
        <v>516</v>
      </c>
      <c r="B5" s="510" t="s">
        <v>517</v>
      </c>
      <c r="C5" s="511"/>
      <c r="D5" s="511"/>
    </row>
    <row r="6" spans="3:6" ht="12.75">
      <c r="C6" s="511" t="s">
        <v>102</v>
      </c>
      <c r="D6" s="511"/>
      <c r="E6" s="509" t="s">
        <v>518</v>
      </c>
      <c r="F6" s="509" t="s">
        <v>518</v>
      </c>
    </row>
    <row r="7" spans="1:6" ht="12.75">
      <c r="A7" s="509">
        <v>5</v>
      </c>
      <c r="B7" s="510" t="s">
        <v>519</v>
      </c>
      <c r="C7" s="512">
        <v>2001</v>
      </c>
      <c r="D7" s="512">
        <v>2002</v>
      </c>
      <c r="E7" s="512">
        <v>2001</v>
      </c>
      <c r="F7" s="512">
        <v>2002</v>
      </c>
    </row>
    <row r="8" ht="12.75">
      <c r="B8" s="507" t="s">
        <v>520</v>
      </c>
    </row>
    <row r="9" spans="2:6" ht="12.75">
      <c r="B9" s="505" t="s">
        <v>521</v>
      </c>
      <c r="C9" s="513">
        <v>1497570</v>
      </c>
      <c r="D9" s="513">
        <f>+C13</f>
        <v>2332748</v>
      </c>
      <c r="E9" s="513">
        <v>0</v>
      </c>
      <c r="F9" s="513">
        <v>2332748</v>
      </c>
    </row>
    <row r="10" spans="3:9" ht="12.75">
      <c r="C10" s="513"/>
      <c r="D10" s="513"/>
      <c r="E10" s="513"/>
      <c r="F10" s="513"/>
      <c r="I10"/>
    </row>
    <row r="11" spans="2:9" ht="12.75">
      <c r="B11" s="505" t="s">
        <v>522</v>
      </c>
      <c r="C11" s="514">
        <f>+C13-C9</f>
        <v>835178</v>
      </c>
      <c r="D11" s="514">
        <f>+D13-D9</f>
        <v>21045</v>
      </c>
      <c r="E11" s="514">
        <f>+C11/4</f>
        <v>208794.5</v>
      </c>
      <c r="F11" s="514">
        <f>+F13-F9</f>
        <v>21045</v>
      </c>
      <c r="I11"/>
    </row>
    <row r="12" spans="3:9" ht="12.75">
      <c r="C12" s="515"/>
      <c r="D12" s="515"/>
      <c r="E12" s="513"/>
      <c r="F12" s="513"/>
      <c r="I12"/>
    </row>
    <row r="13" spans="2:9" ht="12.75">
      <c r="B13" s="505" t="s">
        <v>523</v>
      </c>
      <c r="C13" s="513">
        <v>2332748</v>
      </c>
      <c r="D13" s="513">
        <v>2353793</v>
      </c>
      <c r="E13" s="513">
        <v>0</v>
      </c>
      <c r="F13" s="513">
        <v>2353793</v>
      </c>
      <c r="I13"/>
    </row>
    <row r="14" spans="3:9" ht="12.75">
      <c r="C14" s="513"/>
      <c r="D14" s="513"/>
      <c r="E14" s="513"/>
      <c r="F14" s="513"/>
      <c r="I14"/>
    </row>
    <row r="15" spans="2:9" ht="12.75">
      <c r="B15" s="507" t="s">
        <v>524</v>
      </c>
      <c r="E15" s="513"/>
      <c r="F15" s="513"/>
      <c r="I15"/>
    </row>
    <row r="16" spans="2:9" ht="12.75">
      <c r="B16" s="505" t="s">
        <v>521</v>
      </c>
      <c r="C16" s="513">
        <v>483190</v>
      </c>
      <c r="D16" s="513">
        <f>+C19</f>
        <v>178447</v>
      </c>
      <c r="E16" s="513">
        <v>0</v>
      </c>
      <c r="F16" s="513">
        <v>178447</v>
      </c>
      <c r="I16"/>
    </row>
    <row r="17" spans="2:9" ht="12.75">
      <c r="B17" s="505" t="s">
        <v>525</v>
      </c>
      <c r="C17" s="514">
        <f>+C19-C16</f>
        <v>-304743</v>
      </c>
      <c r="D17" s="514">
        <f>+D19-D16</f>
        <v>-65523</v>
      </c>
      <c r="E17" s="514">
        <f>+C17/4</f>
        <v>-76185.75</v>
      </c>
      <c r="F17" s="514">
        <f>+F19-F16</f>
        <v>-65523</v>
      </c>
      <c r="I17"/>
    </row>
    <row r="18" spans="3:9" ht="12.75">
      <c r="C18" s="515"/>
      <c r="D18" s="515"/>
      <c r="E18" s="513"/>
      <c r="F18" s="515"/>
      <c r="I18"/>
    </row>
    <row r="19" spans="2:9" ht="12.75">
      <c r="B19" s="505" t="s">
        <v>523</v>
      </c>
      <c r="C19" s="513">
        <v>178447</v>
      </c>
      <c r="D19" s="513">
        <v>112924</v>
      </c>
      <c r="E19" s="513">
        <v>0</v>
      </c>
      <c r="F19" s="513">
        <v>112924</v>
      </c>
      <c r="I19"/>
    </row>
    <row r="20" ht="12.75">
      <c r="I20"/>
    </row>
    <row r="21" spans="2:9" ht="12.75">
      <c r="B21" s="516" t="s">
        <v>526</v>
      </c>
      <c r="C21" s="517">
        <f>+C17+C11</f>
        <v>530435</v>
      </c>
      <c r="D21" s="517">
        <f>+D17+D11</f>
        <v>-44478</v>
      </c>
      <c r="E21" s="517">
        <f>+E17+E11</f>
        <v>132608.75</v>
      </c>
      <c r="F21" s="517">
        <f>+F17+F11</f>
        <v>-44478</v>
      </c>
      <c r="I21"/>
    </row>
    <row r="22" ht="12.75">
      <c r="I22"/>
    </row>
    <row r="25" spans="3:6" ht="12.75">
      <c r="C25" s="509" t="s">
        <v>527</v>
      </c>
      <c r="D25" s="509" t="s">
        <v>527</v>
      </c>
      <c r="E25" s="509" t="s">
        <v>528</v>
      </c>
      <c r="F25" s="509" t="s">
        <v>528</v>
      </c>
    </row>
    <row r="26" spans="1:6" ht="12.75">
      <c r="A26" s="509">
        <v>6</v>
      </c>
      <c r="B26" s="507" t="s">
        <v>529</v>
      </c>
      <c r="C26" s="512">
        <v>2001</v>
      </c>
      <c r="D26" s="512">
        <v>2002</v>
      </c>
      <c r="E26" s="512">
        <v>2001</v>
      </c>
      <c r="F26" s="512">
        <v>2002</v>
      </c>
    </row>
    <row r="27" spans="3:4" ht="12.75">
      <c r="C27" s="511"/>
      <c r="D27" s="511"/>
    </row>
    <row r="28" ht="12.75">
      <c r="B28" s="507" t="s">
        <v>530</v>
      </c>
    </row>
    <row r="29" spans="2:6" ht="12.75">
      <c r="B29" s="505" t="s">
        <v>531</v>
      </c>
      <c r="C29" s="513"/>
      <c r="D29" s="513">
        <v>76711</v>
      </c>
      <c r="E29" s="513"/>
      <c r="F29" s="513">
        <f>+D29*0.39*0.69582</f>
        <v>20817.0487278</v>
      </c>
    </row>
    <row r="30" spans="2:6" ht="12.75">
      <c r="B30" s="505" t="s">
        <v>532</v>
      </c>
      <c r="C30" s="513"/>
      <c r="D30" s="513">
        <v>64200</v>
      </c>
      <c r="E30" s="513"/>
      <c r="F30" s="513">
        <f>+D30*0.39*0.69582</f>
        <v>17421.94116</v>
      </c>
    </row>
    <row r="31" spans="2:6" ht="12.75">
      <c r="B31" s="505" t="s">
        <v>533</v>
      </c>
      <c r="C31" s="513"/>
      <c r="D31" s="513">
        <v>214946</v>
      </c>
      <c r="E31" s="513"/>
      <c r="F31" s="513">
        <f>+D31*0.39*0.69582</f>
        <v>58329.853030800004</v>
      </c>
    </row>
    <row r="32" spans="2:6" ht="12.75">
      <c r="B32" s="505" t="s">
        <v>534</v>
      </c>
      <c r="C32" s="513"/>
      <c r="D32" s="513">
        <v>3437</v>
      </c>
      <c r="E32" s="513"/>
      <c r="F32" s="513">
        <f>+D32*0.39*0.69582</f>
        <v>932.6980026</v>
      </c>
    </row>
    <row r="33" spans="3:6" ht="12.75">
      <c r="C33" s="513"/>
      <c r="D33" s="518">
        <f>SUM(D29:D32)</f>
        <v>359294</v>
      </c>
      <c r="E33" s="513"/>
      <c r="F33" s="518">
        <f>SUM(F29:F32)</f>
        <v>97501.5409212</v>
      </c>
    </row>
    <row r="34" spans="2:6" ht="12.75">
      <c r="B34" s="505" t="s">
        <v>535</v>
      </c>
      <c r="C34" s="513"/>
      <c r="D34" s="513">
        <v>0</v>
      </c>
      <c r="E34" s="513"/>
      <c r="F34" s="513">
        <v>0</v>
      </c>
    </row>
    <row r="35" spans="3:6" ht="12.75">
      <c r="C35" s="513"/>
      <c r="D35" s="519">
        <f>SUM(D33:D34)</f>
        <v>359294</v>
      </c>
      <c r="E35" s="513"/>
      <c r="F35" s="519">
        <f>SUM(F33:F34)</f>
        <v>97501.5409212</v>
      </c>
    </row>
    <row r="36" spans="2:6" ht="12.75">
      <c r="B36" s="507" t="s">
        <v>536</v>
      </c>
      <c r="C36" s="513"/>
      <c r="D36" s="513"/>
      <c r="E36" s="513"/>
      <c r="F36" s="513"/>
    </row>
    <row r="37" spans="2:6" ht="12.75">
      <c r="B37" s="505" t="s">
        <v>537</v>
      </c>
      <c r="C37" s="513"/>
      <c r="D37" s="513">
        <v>0</v>
      </c>
      <c r="F37" s="513">
        <v>0</v>
      </c>
    </row>
    <row r="38" spans="2:6" ht="12.75">
      <c r="B38" s="505" t="s">
        <v>538</v>
      </c>
      <c r="C38" s="513"/>
      <c r="D38" s="513">
        <v>0</v>
      </c>
      <c r="F38" s="513">
        <v>0</v>
      </c>
    </row>
    <row r="39" spans="2:6" ht="12.75">
      <c r="B39" s="505" t="s">
        <v>539</v>
      </c>
      <c r="C39" s="513"/>
      <c r="D39" s="513">
        <v>0</v>
      </c>
      <c r="F39" s="513">
        <v>0</v>
      </c>
    </row>
    <row r="40" spans="4:6" ht="12.75">
      <c r="D40" s="519">
        <f>SUM(D37:D39)</f>
        <v>0</v>
      </c>
      <c r="F40" s="519">
        <f>SUM(F37:F39)</f>
        <v>0</v>
      </c>
    </row>
    <row r="41" ht="12.75">
      <c r="D41" s="517" t="s">
        <v>102</v>
      </c>
    </row>
    <row r="42" spans="2:6" ht="13.5" thickBot="1">
      <c r="B42" s="520" t="s">
        <v>540</v>
      </c>
      <c r="D42" s="521">
        <f>+D40+D35</f>
        <v>359294</v>
      </c>
      <c r="F42" s="521">
        <f>+F40+F35</f>
        <v>97501.5409212</v>
      </c>
    </row>
    <row r="43" ht="13.5" thickTop="1"/>
    <row r="45" spans="3:6" ht="12.75">
      <c r="C45" s="509" t="s">
        <v>541</v>
      </c>
      <c r="D45" s="509" t="s">
        <v>541</v>
      </c>
      <c r="E45" s="509" t="s">
        <v>542</v>
      </c>
      <c r="F45" s="509" t="s">
        <v>542</v>
      </c>
    </row>
    <row r="46" spans="1:6" ht="12.75">
      <c r="A46" s="509">
        <v>11</v>
      </c>
      <c r="B46" s="507" t="s">
        <v>543</v>
      </c>
      <c r="C46" s="512">
        <v>2001</v>
      </c>
      <c r="D46" s="512">
        <v>2002</v>
      </c>
      <c r="E46" s="512">
        <v>2001</v>
      </c>
      <c r="F46" s="512">
        <v>2002</v>
      </c>
    </row>
    <row r="47" spans="3:4" ht="12.75">
      <c r="C47" s="511"/>
      <c r="D47" s="511"/>
    </row>
    <row r="48" ht="12.75">
      <c r="B48" s="507" t="s">
        <v>530</v>
      </c>
    </row>
    <row r="49" spans="2:6" ht="12.75">
      <c r="B49" s="505" t="s">
        <v>544</v>
      </c>
      <c r="C49" s="513"/>
      <c r="D49" s="513">
        <v>0</v>
      </c>
      <c r="E49" s="513"/>
      <c r="F49" s="513">
        <v>0</v>
      </c>
    </row>
    <row r="50" spans="3:6" ht="12.75">
      <c r="C50" s="513"/>
      <c r="D50" s="513"/>
      <c r="E50" s="513"/>
      <c r="F50" s="513"/>
    </row>
    <row r="51" spans="2:6" ht="12.75">
      <c r="B51" s="507" t="s">
        <v>536</v>
      </c>
      <c r="C51" s="513"/>
      <c r="D51" s="513"/>
      <c r="E51" s="513"/>
      <c r="F51" s="513"/>
    </row>
    <row r="52" spans="2:6" ht="12.75">
      <c r="B52" s="505" t="s">
        <v>537</v>
      </c>
      <c r="C52" s="513"/>
      <c r="D52" s="513">
        <v>0</v>
      </c>
      <c r="F52" s="513">
        <v>0</v>
      </c>
    </row>
    <row r="53" spans="2:6" ht="12.75">
      <c r="B53" s="505" t="s">
        <v>538</v>
      </c>
      <c r="C53" s="513"/>
      <c r="D53" s="513">
        <v>0</v>
      </c>
      <c r="F53" s="513">
        <v>0</v>
      </c>
    </row>
    <row r="54" spans="4:6" ht="12.75">
      <c r="D54" s="519">
        <f>SUM(D52:D53)</f>
        <v>0</v>
      </c>
      <c r="F54" s="519">
        <f>SUM(F52:F53)</f>
        <v>0</v>
      </c>
    </row>
    <row r="55" spans="4:6" ht="12.75">
      <c r="D55" s="515"/>
      <c r="F55" s="515"/>
    </row>
    <row r="56" spans="2:6" ht="13.5" thickBot="1">
      <c r="B56" s="520" t="s">
        <v>540</v>
      </c>
      <c r="D56" s="521">
        <f>+D54+D49</f>
        <v>0</v>
      </c>
      <c r="F56" s="521">
        <f>+F54+F49</f>
        <v>0</v>
      </c>
    </row>
    <row r="57" ht="13.5" thickTop="1"/>
  </sheetData>
  <sheetProtection/>
  <printOptions/>
  <pageMargins left="0.75" right="0.75" top="0.45" bottom="0.52" header="0.5" footer="0.5"/>
  <pageSetup fitToHeight="1" fitToWidth="1"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view="pageLayout" workbookViewId="0" topLeftCell="A7">
      <selection activeCell="S13" sqref="S1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</v>
      </c>
    </row>
    <row r="2" spans="1:2" ht="12.75">
      <c r="A2" s="2" t="s">
        <v>452</v>
      </c>
      <c r="B2" s="2"/>
    </row>
    <row r="3" spans="1:15" ht="12.75">
      <c r="A3" s="2" t="str">
        <f>REGINFO!A3</f>
        <v>Utility Name: London Hydro Inc.</v>
      </c>
      <c r="O3" s="417" t="str">
        <f>REGINFO!E1</f>
        <v>Version 2009.1</v>
      </c>
    </row>
    <row r="4" spans="1:15" ht="12.75">
      <c r="A4" s="2" t="str">
        <f>REGINFO!A4</f>
        <v>Reporting period:  2001</v>
      </c>
      <c r="E4" s="418" t="s">
        <v>316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2104536.4615410464</v>
      </c>
      <c r="F11" s="420"/>
      <c r="G11" s="397">
        <f>E22</f>
        <v>8736204.9160865</v>
      </c>
      <c r="H11" s="420"/>
      <c r="I11" s="397">
        <f>G22</f>
        <v>17444559.377627548</v>
      </c>
      <c r="J11" s="391"/>
      <c r="K11" s="397">
        <f>I22</f>
        <v>24583740.24301281</v>
      </c>
      <c r="L11" s="391"/>
      <c r="M11" s="397">
        <f>K22</f>
        <v>26237770.99301281</v>
      </c>
      <c r="N11" s="391"/>
      <c r="O11" s="397">
        <f>C11</f>
        <v>0</v>
      </c>
    </row>
    <row r="12" spans="1:15" ht="27" customHeight="1">
      <c r="A12" s="81" t="s">
        <v>392</v>
      </c>
      <c r="B12" s="66" t="s">
        <v>190</v>
      </c>
      <c r="C12" s="396">
        <f>+'TAXCALC 2001'!C96</f>
        <v>2092231.4615410466</v>
      </c>
      <c r="D12" s="392"/>
      <c r="E12" s="396">
        <v>6616123</v>
      </c>
      <c r="F12" s="95"/>
      <c r="G12" s="419">
        <f>C12+E12</f>
        <v>8708354.461541047</v>
      </c>
      <c r="H12" s="95"/>
      <c r="I12" s="419">
        <f>(E12/12*9)+(G12/12*3)</f>
        <v>7139180.865385262</v>
      </c>
      <c r="J12" s="392"/>
      <c r="K12" s="419">
        <f>E12/12*3</f>
        <v>1654030.75</v>
      </c>
      <c r="L12" s="392"/>
      <c r="M12" s="419">
        <f>K13/9*12/4</f>
        <v>0</v>
      </c>
      <c r="N12" s="392"/>
      <c r="O12" s="397">
        <f aca="true" t="shared" si="0" ref="O12:O20">SUM(C12:N12)</f>
        <v>26209920.538467355</v>
      </c>
    </row>
    <row r="13" spans="1:15" ht="27" customHeight="1">
      <c r="A13" s="81" t="s">
        <v>433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393</v>
      </c>
      <c r="B14" s="66" t="s">
        <v>190</v>
      </c>
      <c r="C14" s="396"/>
      <c r="D14" s="392"/>
      <c r="E14" s="396">
        <f>+TAXCALC!E133</f>
        <v>15545.454545454546</v>
      </c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15545.454545454546</v>
      </c>
    </row>
    <row r="15" spans="1:15" ht="27" customHeight="1">
      <c r="A15" s="81" t="s">
        <v>394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v>0</v>
      </c>
      <c r="N15" s="392"/>
      <c r="O15" s="397">
        <f t="shared" si="0"/>
        <v>0</v>
      </c>
    </row>
    <row r="16" spans="1:15" ht="27" customHeight="1">
      <c r="A16" s="81" t="s">
        <v>395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396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TAXCALC!E182</f>
        <v>0</v>
      </c>
      <c r="N17" s="392"/>
      <c r="O17" s="397">
        <f t="shared" si="0"/>
        <v>0</v>
      </c>
    </row>
    <row r="18" spans="1:15" ht="25.5">
      <c r="A18" s="81" t="s">
        <v>397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1" t="s">
        <v>398</v>
      </c>
      <c r="B19" s="66" t="s">
        <v>190</v>
      </c>
      <c r="C19" s="396">
        <v>12305</v>
      </c>
      <c r="D19" s="392"/>
      <c r="E19" s="396">
        <v>0</v>
      </c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12305</v>
      </c>
    </row>
    <row r="20" spans="1:15" ht="24.75" customHeight="1">
      <c r="A20" s="81" t="s">
        <v>464</v>
      </c>
      <c r="B20" s="66" t="s">
        <v>188</v>
      </c>
      <c r="C20" s="419">
        <v>0</v>
      </c>
      <c r="D20" s="392"/>
      <c r="E20" s="396">
        <v>0</v>
      </c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370</v>
      </c>
      <c r="B22" s="34"/>
      <c r="C22" s="398">
        <f>SUM(C11:C20)</f>
        <v>2104536.4615410464</v>
      </c>
      <c r="D22" s="420"/>
      <c r="E22" s="398">
        <f>SUM(E11:E20)</f>
        <v>8736204.9160865</v>
      </c>
      <c r="F22" s="420"/>
      <c r="G22" s="398">
        <f>SUM(G11:G20)</f>
        <v>17444559.377627548</v>
      </c>
      <c r="H22" s="420"/>
      <c r="I22" s="398">
        <f>SUM(I11:I20)</f>
        <v>24583740.24301281</v>
      </c>
      <c r="J22" s="391"/>
      <c r="K22" s="398">
        <f>SUM(K11:K20)</f>
        <v>26237770.99301281</v>
      </c>
      <c r="L22" s="391"/>
      <c r="M22" s="398">
        <f>SUM(M11:M21)</f>
        <v>26237770.99301281</v>
      </c>
      <c r="N22" s="391"/>
      <c r="O22" s="449">
        <f>SUM(O11:O20)</f>
        <v>26237770.99301281</v>
      </c>
    </row>
    <row r="23" spans="1:15" ht="13.5" thickTop="1">
      <c r="A23" s="432"/>
      <c r="B23" s="433"/>
      <c r="C23" s="439"/>
      <c r="D23" s="440"/>
      <c r="E23" s="439"/>
      <c r="F23" s="440"/>
      <c r="G23" s="439"/>
      <c r="H23" s="440"/>
      <c r="I23" s="439"/>
      <c r="J23" s="433"/>
      <c r="K23" s="439"/>
      <c r="L23" s="188"/>
      <c r="M23" s="441"/>
      <c r="N23" s="188"/>
      <c r="O23" s="441"/>
    </row>
    <row r="24" spans="1:15" ht="12.75">
      <c r="A24" s="454"/>
      <c r="B24" s="455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7"/>
    </row>
    <row r="25" spans="1:15" ht="12.75">
      <c r="A25" s="432"/>
      <c r="B25" s="433"/>
      <c r="C25" s="458"/>
      <c r="D25" s="458"/>
      <c r="E25" s="458"/>
      <c r="F25" s="458"/>
      <c r="G25" s="458"/>
      <c r="H25" s="458"/>
      <c r="I25" s="458"/>
      <c r="J25" s="459"/>
      <c r="K25" s="458"/>
      <c r="L25" s="460"/>
      <c r="M25" s="461"/>
      <c r="N25" s="460"/>
      <c r="O25" s="461"/>
    </row>
    <row r="26" spans="1:15" ht="12.75">
      <c r="A26" s="432" t="s">
        <v>399</v>
      </c>
      <c r="B26" s="433"/>
      <c r="C26" s="458"/>
      <c r="D26" s="458"/>
      <c r="E26" s="458"/>
      <c r="F26" s="458"/>
      <c r="G26" s="458"/>
      <c r="H26" s="458"/>
      <c r="I26" s="458"/>
      <c r="J26" s="459"/>
      <c r="K26" s="458"/>
      <c r="L26" s="460"/>
      <c r="M26" s="461"/>
      <c r="N26" s="460"/>
      <c r="O26" s="461"/>
    </row>
    <row r="27" spans="1:15" ht="9" customHeight="1">
      <c r="A27" s="432"/>
      <c r="B27" s="433"/>
      <c r="C27" s="433"/>
      <c r="D27" s="433"/>
      <c r="E27" s="433"/>
      <c r="F27" s="433"/>
      <c r="G27" s="433"/>
      <c r="H27" s="433"/>
      <c r="I27" s="433"/>
      <c r="J27" s="433"/>
      <c r="K27" s="434"/>
      <c r="L27" s="188"/>
      <c r="M27" s="188"/>
      <c r="N27" s="188"/>
      <c r="O27" s="188"/>
    </row>
    <row r="28" spans="1:15" ht="12.75">
      <c r="A28" s="432" t="s">
        <v>400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188"/>
      <c r="M28" s="188"/>
      <c r="N28" s="188"/>
      <c r="O28" s="188"/>
    </row>
    <row r="29" spans="1:15" ht="12.75">
      <c r="A29" s="435" t="s">
        <v>401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188"/>
      <c r="M29" s="188"/>
      <c r="N29" s="188"/>
      <c r="O29" s="188"/>
    </row>
    <row r="30" spans="1:15" ht="9" customHeight="1">
      <c r="A30" s="188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188"/>
      <c r="M30" s="188"/>
      <c r="N30" s="188"/>
      <c r="O30" s="188"/>
    </row>
    <row r="31" spans="1:15" ht="12.75">
      <c r="A31" s="503" t="s">
        <v>510</v>
      </c>
      <c r="B31" s="80"/>
      <c r="C31" s="80"/>
      <c r="D31" s="80"/>
      <c r="E31" s="80"/>
      <c r="F31" s="80"/>
      <c r="G31" s="80"/>
      <c r="H31" s="80"/>
      <c r="I31" s="446"/>
      <c r="J31" s="446"/>
      <c r="K31" s="446"/>
      <c r="L31" s="446"/>
      <c r="M31" s="446"/>
      <c r="N31" s="446"/>
      <c r="O31" s="446"/>
    </row>
    <row r="32" spans="1:15" ht="9" customHeight="1">
      <c r="A32" s="450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</row>
    <row r="33" spans="1:19" ht="12.75">
      <c r="A33" s="537" t="s">
        <v>402</v>
      </c>
      <c r="B33" s="538"/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421"/>
      <c r="Q33" s="421"/>
      <c r="R33" s="421"/>
      <c r="S33" s="421"/>
    </row>
    <row r="34" spans="1:19" ht="12.75">
      <c r="A34" s="536" t="s">
        <v>403</v>
      </c>
      <c r="B34" s="539"/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421"/>
      <c r="Q34" s="421"/>
      <c r="R34" s="421"/>
      <c r="S34" s="421"/>
    </row>
    <row r="35" spans="1:19" ht="12.75">
      <c r="A35" s="536" t="s">
        <v>424</v>
      </c>
      <c r="B35" s="539"/>
      <c r="C35" s="539"/>
      <c r="D35" s="539"/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421"/>
      <c r="Q35" s="421"/>
      <c r="R35" s="421"/>
      <c r="S35" s="421"/>
    </row>
    <row r="36" spans="1:19" ht="12.75">
      <c r="A36" s="536" t="s">
        <v>404</v>
      </c>
      <c r="B36" s="538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421"/>
      <c r="Q36" s="421"/>
      <c r="R36" s="421"/>
      <c r="S36" s="421"/>
    </row>
    <row r="37" spans="1:19" ht="12.75">
      <c r="A37" s="436" t="s">
        <v>367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21"/>
      <c r="Q37" s="421"/>
      <c r="R37" s="421"/>
      <c r="S37" s="421"/>
    </row>
    <row r="38" spans="1:19" ht="12.75">
      <c r="A38" s="436" t="s">
        <v>368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21"/>
      <c r="Q38" s="421"/>
      <c r="R38" s="421"/>
      <c r="S38" s="421"/>
    </row>
    <row r="39" spans="1:19" ht="12.75">
      <c r="A39" s="436" t="s">
        <v>405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21"/>
      <c r="Q39" s="421"/>
      <c r="R39" s="421"/>
      <c r="S39" s="421"/>
    </row>
    <row r="40" spans="1:19" ht="12.75">
      <c r="A40" s="436" t="s">
        <v>406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21"/>
      <c r="Q40" s="421"/>
      <c r="R40" s="421"/>
      <c r="S40" s="421"/>
    </row>
    <row r="41" spans="2:19" ht="9" customHeight="1"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21"/>
      <c r="Q41" s="421"/>
      <c r="R41" s="421"/>
      <c r="S41" s="421"/>
    </row>
    <row r="42" spans="1:15" ht="12.75">
      <c r="A42" s="438" t="s">
        <v>407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188"/>
      <c r="M42" s="188"/>
      <c r="N42" s="188"/>
      <c r="O42" s="188"/>
    </row>
    <row r="43" spans="1:15" ht="12.75">
      <c r="A43" s="433" t="s">
        <v>408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188"/>
      <c r="M43" s="188"/>
      <c r="N43" s="188"/>
      <c r="O43" s="188"/>
    </row>
    <row r="44" spans="1:15" ht="9" customHeight="1">
      <c r="A44" s="433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188"/>
      <c r="M44" s="188"/>
      <c r="N44" s="188"/>
      <c r="O44" s="188"/>
    </row>
    <row r="45" spans="1:15" ht="12.75">
      <c r="A45" s="438" t="s">
        <v>409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188"/>
      <c r="M45" s="188"/>
      <c r="N45" s="188"/>
      <c r="O45" s="188"/>
    </row>
    <row r="46" spans="1:15" ht="12.75">
      <c r="A46" s="433" t="s">
        <v>410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188"/>
      <c r="M46" s="188"/>
      <c r="N46" s="188"/>
      <c r="O46" s="188"/>
    </row>
    <row r="47" spans="1:15" ht="9" customHeight="1">
      <c r="A47" s="433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188"/>
      <c r="M47" s="188"/>
      <c r="N47" s="188"/>
      <c r="O47" s="188"/>
    </row>
    <row r="48" spans="1:15" ht="12.75">
      <c r="A48" s="438" t="s">
        <v>411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188"/>
      <c r="M48" s="188"/>
      <c r="N48" s="188"/>
      <c r="O48" s="188"/>
    </row>
    <row r="49" spans="1:15" ht="12.75">
      <c r="A49" s="433" t="s">
        <v>412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188"/>
      <c r="M49" s="188"/>
      <c r="N49" s="188"/>
      <c r="O49" s="188"/>
    </row>
    <row r="50" spans="1:15" ht="9" customHeight="1">
      <c r="A50" s="433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188"/>
      <c r="M50" s="188"/>
      <c r="N50" s="188"/>
      <c r="O50" s="188"/>
    </row>
    <row r="51" spans="1:15" ht="12.75">
      <c r="A51" s="438" t="s">
        <v>413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188"/>
      <c r="M51" s="188"/>
      <c r="N51" s="188"/>
      <c r="O51" s="188"/>
    </row>
    <row r="52" spans="1:15" ht="12.75">
      <c r="A52" s="433" t="s">
        <v>410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188"/>
      <c r="M52" s="188"/>
      <c r="N52" s="188"/>
      <c r="O52" s="188"/>
    </row>
    <row r="53" spans="1:15" ht="9" customHeight="1">
      <c r="A53" s="438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188"/>
      <c r="M53" s="188"/>
      <c r="N53" s="188"/>
      <c r="O53" s="188"/>
    </row>
    <row r="54" spans="1:15" ht="12.75">
      <c r="A54" s="433" t="s">
        <v>414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188"/>
      <c r="M54" s="188"/>
      <c r="N54" s="188"/>
      <c r="O54" s="188"/>
    </row>
    <row r="55" spans="1:15" ht="9" customHeight="1">
      <c r="A55" s="433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188"/>
      <c r="M55" s="188"/>
      <c r="N55" s="188"/>
      <c r="O55" s="188"/>
    </row>
    <row r="56" spans="1:15" ht="12.75" customHeight="1">
      <c r="A56" s="438" t="s">
        <v>415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188"/>
      <c r="M56" s="188"/>
      <c r="N56" s="188"/>
      <c r="O56" s="188"/>
    </row>
    <row r="57" spans="1:15" ht="9" customHeight="1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188"/>
      <c r="M57" s="188"/>
      <c r="N57" s="188"/>
      <c r="O57" s="188"/>
    </row>
    <row r="58" spans="1:15" ht="12.75">
      <c r="A58" s="433" t="s">
        <v>416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188"/>
      <c r="M58" s="188"/>
      <c r="N58" s="188"/>
      <c r="O58" s="188"/>
    </row>
    <row r="59" spans="1:15" ht="12.75">
      <c r="A59" s="433" t="s">
        <v>417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188"/>
      <c r="M59" s="188"/>
      <c r="N59" s="188"/>
      <c r="O59" s="188"/>
    </row>
    <row r="60" spans="1:15" ht="12.75">
      <c r="A60" s="433" t="s">
        <v>418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188"/>
      <c r="M60" s="188"/>
      <c r="N60" s="188"/>
      <c r="O60" s="188"/>
    </row>
    <row r="61" spans="1:15" ht="12.75">
      <c r="A61" s="433" t="s">
        <v>377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188"/>
      <c r="M61" s="188"/>
      <c r="N61" s="188"/>
      <c r="O61" s="188"/>
    </row>
    <row r="62" spans="1:15" ht="9" customHeight="1">
      <c r="A62" s="433"/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188"/>
      <c r="M62" s="188"/>
      <c r="N62" s="188"/>
      <c r="O62" s="188"/>
    </row>
    <row r="63" spans="1:15" ht="12.75">
      <c r="A63" s="433" t="s">
        <v>419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188"/>
      <c r="M63" s="188"/>
      <c r="N63" s="188"/>
      <c r="O63" s="188"/>
    </row>
    <row r="64" spans="1:15" ht="12.75">
      <c r="A64" s="433" t="s">
        <v>420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188"/>
      <c r="M64" s="188"/>
      <c r="N64" s="188"/>
      <c r="O64" s="188"/>
    </row>
    <row r="65" spans="1:15" ht="12.75">
      <c r="A65" s="433" t="s">
        <v>379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188"/>
      <c r="M65" s="188"/>
      <c r="N65" s="188"/>
      <c r="O65" s="188"/>
    </row>
    <row r="66" spans="1:15" ht="3.7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188"/>
      <c r="M66" s="188"/>
      <c r="N66" s="188"/>
      <c r="O66" s="188"/>
    </row>
    <row r="67" spans="1:15" ht="12.75">
      <c r="A67" s="433" t="s">
        <v>378</v>
      </c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188"/>
      <c r="M67" s="188"/>
      <c r="N67" s="188"/>
      <c r="O67" s="188"/>
    </row>
    <row r="68" spans="1:15" ht="12.75">
      <c r="A68" s="433" t="s">
        <v>380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188"/>
      <c r="M68" s="188"/>
      <c r="N68" s="188"/>
      <c r="O68" s="188"/>
    </row>
    <row r="69" spans="1:15" ht="3.75" customHeight="1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188"/>
      <c r="M69" s="188"/>
      <c r="N69" s="188"/>
      <c r="O69" s="188"/>
    </row>
    <row r="70" spans="1:15" ht="12.75">
      <c r="A70" s="433" t="s">
        <v>421</v>
      </c>
      <c r="B70" s="433"/>
      <c r="C70" s="433"/>
      <c r="D70" s="433"/>
      <c r="E70" s="433"/>
      <c r="F70" s="433"/>
      <c r="G70" s="433"/>
      <c r="H70" s="433"/>
      <c r="I70" s="433"/>
      <c r="J70" s="433"/>
      <c r="K70" s="433"/>
      <c r="L70" s="188"/>
      <c r="M70" s="188"/>
      <c r="N70" s="188"/>
      <c r="O70" s="188"/>
    </row>
    <row r="71" spans="1:15" ht="12.75">
      <c r="A71" s="433" t="s">
        <v>422</v>
      </c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188"/>
      <c r="M71" s="188"/>
      <c r="N71" s="188"/>
      <c r="O71" s="188"/>
    </row>
    <row r="72" spans="1:15" ht="12.75">
      <c r="A72" s="433" t="s">
        <v>423</v>
      </c>
      <c r="B72" s="433"/>
      <c r="C72" s="433"/>
      <c r="D72" s="433"/>
      <c r="E72" s="433"/>
      <c r="F72" s="433"/>
      <c r="G72" s="433"/>
      <c r="H72" s="433"/>
      <c r="I72" s="433"/>
      <c r="J72" s="433"/>
      <c r="K72" s="433"/>
      <c r="L72" s="188"/>
      <c r="M72" s="188"/>
      <c r="N72" s="188"/>
      <c r="O72" s="188"/>
    </row>
    <row r="73" spans="1:15" ht="9" customHeight="1">
      <c r="A73" s="433"/>
      <c r="B73" s="433"/>
      <c r="C73" s="433"/>
      <c r="D73" s="433"/>
      <c r="E73" s="433"/>
      <c r="F73" s="433"/>
      <c r="G73" s="433"/>
      <c r="H73" s="433"/>
      <c r="I73" s="433"/>
      <c r="J73" s="433"/>
      <c r="K73" s="433"/>
      <c r="L73" s="188"/>
      <c r="M73" s="188"/>
      <c r="N73" s="188"/>
      <c r="O73" s="188"/>
    </row>
    <row r="74" spans="1:15" ht="12.75" customHeight="1">
      <c r="A74" s="536" t="s">
        <v>453</v>
      </c>
      <c r="B74" s="536"/>
      <c r="C74" s="536"/>
      <c r="D74" s="536"/>
      <c r="E74" s="536"/>
      <c r="F74" s="536"/>
      <c r="G74" s="536"/>
      <c r="H74" s="536"/>
      <c r="I74" s="536"/>
      <c r="J74" s="536"/>
      <c r="K74" s="536"/>
      <c r="L74" s="536"/>
      <c r="M74" s="536"/>
      <c r="N74" s="536"/>
      <c r="O74" s="536"/>
    </row>
    <row r="75" spans="1:15" ht="12.75">
      <c r="A75" s="433" t="s">
        <v>369</v>
      </c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188"/>
      <c r="M75" s="188"/>
      <c r="N75" s="188"/>
      <c r="O75" s="188"/>
    </row>
    <row r="76" spans="1:15" ht="12.75">
      <c r="A76" s="188"/>
      <c r="B76" s="433"/>
      <c r="C76" s="433"/>
      <c r="D76" s="433"/>
      <c r="E76" s="433"/>
      <c r="F76" s="433"/>
      <c r="G76" s="433"/>
      <c r="H76" s="433"/>
      <c r="I76" s="433"/>
      <c r="J76" s="433"/>
      <c r="K76" s="433"/>
      <c r="L76" s="188"/>
      <c r="M76" s="188"/>
      <c r="N76" s="188"/>
      <c r="O76" s="188"/>
    </row>
    <row r="77" spans="1:15" ht="12.75">
      <c r="A77" s="188"/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188"/>
      <c r="M77" s="188"/>
      <c r="N77" s="188"/>
      <c r="O77" s="188"/>
    </row>
    <row r="78" spans="1:17" ht="12.75">
      <c r="A78" s="188"/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188"/>
      <c r="O78" s="188"/>
      <c r="P78" s="188"/>
      <c r="Q78" s="188"/>
    </row>
    <row r="79" spans="1:17" ht="12.75">
      <c r="A79" s="188"/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188"/>
      <c r="O79" s="188"/>
      <c r="P79" s="188"/>
      <c r="Q79" s="188"/>
    </row>
    <row r="80" spans="1:17" ht="12.75">
      <c r="A80" s="188"/>
      <c r="B80" s="433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188"/>
      <c r="O80" s="188"/>
      <c r="P80" s="188"/>
      <c r="Q80" s="188"/>
    </row>
    <row r="81" spans="1:17" ht="12.75">
      <c r="A81" s="433"/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188"/>
      <c r="O81" s="188"/>
      <c r="P81" s="188"/>
      <c r="Q81" s="188"/>
    </row>
    <row r="82" spans="1:17" ht="12.75">
      <c r="A82" s="188"/>
      <c r="B82" s="188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188"/>
      <c r="O82" s="188"/>
      <c r="P82" s="188"/>
      <c r="Q82" s="188"/>
    </row>
    <row r="83" spans="1:17" ht="12.75">
      <c r="A83" s="188"/>
      <c r="B83" s="188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188"/>
      <c r="O83" s="188"/>
      <c r="P83" s="188"/>
      <c r="Q83" s="188"/>
    </row>
    <row r="84" spans="1:17" ht="12.75">
      <c r="A84" s="433"/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188"/>
      <c r="O84" s="188"/>
      <c r="P84" s="188"/>
      <c r="Q84" s="188"/>
    </row>
    <row r="85" spans="1:17" ht="12.75">
      <c r="A85" s="188"/>
      <c r="B85" s="433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188"/>
      <c r="O85" s="188"/>
      <c r="P85" s="188"/>
      <c r="Q85" s="188"/>
    </row>
    <row r="86" spans="1:17" ht="12.75">
      <c r="A86" s="188"/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188"/>
      <c r="O86" s="188"/>
      <c r="P86" s="188"/>
      <c r="Q86" s="188"/>
    </row>
    <row r="87" spans="1:17" ht="12.75">
      <c r="A87" s="188"/>
      <c r="B87" s="188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188"/>
      <c r="O87" s="188"/>
      <c r="P87" s="188"/>
      <c r="Q87" s="188"/>
    </row>
    <row r="88" spans="1:17" ht="12.75">
      <c r="A88" s="188"/>
      <c r="B88" s="188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188"/>
      <c r="O88" s="188"/>
      <c r="P88" s="188"/>
      <c r="Q88" s="188"/>
    </row>
    <row r="89" spans="1:17" ht="12.75">
      <c r="A89" s="188"/>
      <c r="B89" s="188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188"/>
      <c r="O89" s="188"/>
      <c r="P89" s="188"/>
      <c r="Q89" s="188"/>
    </row>
    <row r="90" spans="1:17" ht="12.75">
      <c r="A90" s="188"/>
      <c r="B90" s="188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188"/>
      <c r="O90" s="188"/>
      <c r="P90" s="188"/>
      <c r="Q90" s="188"/>
    </row>
    <row r="91" spans="1:17" ht="12.75">
      <c r="A91" s="188"/>
      <c r="B91" s="188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188"/>
      <c r="O91" s="188"/>
      <c r="P91" s="188"/>
      <c r="Q91" s="188"/>
    </row>
    <row r="92" spans="1:17" ht="12.75">
      <c r="A92" s="188"/>
      <c r="B92" s="188"/>
      <c r="C92" s="536"/>
      <c r="D92" s="536"/>
      <c r="E92" s="536"/>
      <c r="F92" s="536"/>
      <c r="G92" s="536"/>
      <c r="H92" s="536"/>
      <c r="I92" s="536"/>
      <c r="J92" s="536"/>
      <c r="K92" s="536"/>
      <c r="L92" s="536"/>
      <c r="M92" s="536"/>
      <c r="N92" s="536"/>
      <c r="O92" s="536"/>
      <c r="P92" s="536"/>
      <c r="Q92" s="536"/>
    </row>
    <row r="93" spans="1:17" ht="12.75">
      <c r="A93" s="188"/>
      <c r="B93" s="188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403125" bottom="0.2362204724409449" header="0.17" footer="0"/>
  <pageSetup fitToHeight="1" fitToWidth="1" horizontalDpi="600" verticalDpi="600" orientation="portrait" scale="49" r:id="rId1"/>
  <headerFooter alignWithMargins="0">
    <oddHeader>&amp;RLondon Hydro Inc.
EB-2011-0181
Deferred PILs 1562 Disposition
Appendix C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1"/>
  <sheetViews>
    <sheetView zoomScale="90" zoomScaleNormal="90" zoomScalePageLayoutView="0" workbookViewId="0" topLeftCell="A102">
      <selection activeCell="C25" sqref="C25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457</v>
      </c>
      <c r="H1" s="210"/>
    </row>
    <row r="2" spans="1:8" ht="12.75">
      <c r="A2" s="211" t="s">
        <v>456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458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491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London Hydro Inc.</v>
      </c>
      <c r="B6" s="115"/>
      <c r="D6" s="137"/>
      <c r="E6" s="115"/>
      <c r="G6" s="115"/>
      <c r="H6" s="463"/>
    </row>
    <row r="7" spans="1:8" ht="12.75">
      <c r="A7" s="211" t="str">
        <f>REGINFO!A4</f>
        <v>Reporting period:  2001</v>
      </c>
      <c r="B7" s="115"/>
      <c r="D7" s="137"/>
      <c r="E7" s="115"/>
      <c r="G7" s="115"/>
      <c r="H7" s="463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8">
        <f>REGINFO!B6</f>
        <v>92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252</v>
      </c>
      <c r="B10" s="428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337</v>
      </c>
      <c r="B16" s="125">
        <v>1</v>
      </c>
      <c r="C16" s="259">
        <f>REGINFO!E54/4</f>
        <v>2191227.3028133335</v>
      </c>
      <c r="D16" s="17"/>
      <c r="E16" s="267">
        <f>G16-C16</f>
        <v>-5703227.302813333</v>
      </c>
      <c r="F16" s="3"/>
      <c r="G16" s="267">
        <f>TAXREC!E50</f>
        <v>-3512000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2671869</v>
      </c>
      <c r="D20" s="18"/>
      <c r="E20" s="267">
        <f aca="true" t="shared" si="0" ref="E20:E25">G20-C20</f>
        <v>169131</v>
      </c>
      <c r="F20" s="6"/>
      <c r="G20" s="267">
        <f>TAXREC!E61</f>
        <v>2841000</v>
      </c>
      <c r="H20" s="151"/>
    </row>
    <row r="21" spans="1:8" ht="12.75">
      <c r="A21" s="501" t="s">
        <v>218</v>
      </c>
      <c r="B21" s="127"/>
      <c r="C21" s="261"/>
      <c r="D21" s="18"/>
      <c r="E21" s="267">
        <f t="shared" si="0"/>
        <v>102000</v>
      </c>
      <c r="F21" s="6"/>
      <c r="G21" s="267">
        <f>+'TAXCALC 2001'!G21</f>
        <v>102000</v>
      </c>
      <c r="H21" s="151"/>
    </row>
    <row r="22" spans="1:8" ht="12.75">
      <c r="A22" s="158" t="s">
        <v>56</v>
      </c>
      <c r="B22" s="127">
        <v>3</v>
      </c>
      <c r="C22" s="261"/>
      <c r="D22" s="18"/>
      <c r="E22" s="267">
        <f t="shared" si="0"/>
        <v>0</v>
      </c>
      <c r="F22" s="6"/>
      <c r="G22" s="267">
        <f>TAXREC!E62</f>
        <v>0</v>
      </c>
      <c r="H22" s="151"/>
    </row>
    <row r="23" spans="1:8" ht="12.75">
      <c r="A23" s="158" t="s">
        <v>259</v>
      </c>
      <c r="B23" s="127">
        <v>4</v>
      </c>
      <c r="C23" s="261"/>
      <c r="D23" s="18"/>
      <c r="E23" s="267">
        <f t="shared" si="0"/>
        <v>0</v>
      </c>
      <c r="F23" s="6"/>
      <c r="G23" s="267">
        <f>TAXREC!E63</f>
        <v>0</v>
      </c>
      <c r="H23" s="151"/>
    </row>
    <row r="24" spans="1:8" ht="12.75">
      <c r="A24" s="158" t="s">
        <v>258</v>
      </c>
      <c r="B24" s="127">
        <v>4</v>
      </c>
      <c r="C24" s="261"/>
      <c r="D24" s="18"/>
      <c r="E24" s="267">
        <f t="shared" si="0"/>
        <v>0</v>
      </c>
      <c r="F24" s="6"/>
      <c r="G24" s="267">
        <f>TAXREC!E64</f>
        <v>0</v>
      </c>
      <c r="H24" s="151"/>
    </row>
    <row r="25" spans="1:8" ht="12.75">
      <c r="A25" s="158" t="s">
        <v>260</v>
      </c>
      <c r="B25" s="127">
        <v>5</v>
      </c>
      <c r="C25" s="261"/>
      <c r="D25" s="18"/>
      <c r="E25" s="267">
        <f t="shared" si="0"/>
        <v>0</v>
      </c>
      <c r="F25" s="6"/>
      <c r="G25" s="267">
        <f>TAXREC!E65</f>
        <v>0</v>
      </c>
      <c r="H25" s="151"/>
    </row>
    <row r="26" spans="1:8" ht="12.75">
      <c r="A26" s="158" t="s">
        <v>53</v>
      </c>
      <c r="B26" s="127"/>
      <c r="C26" s="105" t="s">
        <v>102</v>
      </c>
      <c r="D26" s="18"/>
      <c r="E26" s="186"/>
      <c r="F26" s="33"/>
      <c r="G26" s="186"/>
      <c r="H26" s="151"/>
    </row>
    <row r="27" spans="1:8" ht="12.75">
      <c r="A27" s="158" t="s">
        <v>156</v>
      </c>
      <c r="B27" s="127">
        <v>6</v>
      </c>
      <c r="C27" s="261"/>
      <c r="D27" s="18"/>
      <c r="E27" s="267">
        <f>G27-C27</f>
        <v>0</v>
      </c>
      <c r="F27" s="6"/>
      <c r="G27" s="267">
        <f>TAXREC!E92</f>
        <v>0</v>
      </c>
      <c r="H27" s="151"/>
    </row>
    <row r="28" spans="1:8" ht="12.75">
      <c r="A28" s="158" t="s">
        <v>159</v>
      </c>
      <c r="B28" s="127">
        <v>6</v>
      </c>
      <c r="C28" s="261"/>
      <c r="D28" s="18"/>
      <c r="E28" s="267">
        <f>G28-C28</f>
        <v>0</v>
      </c>
      <c r="F28" s="6"/>
      <c r="G28" s="267">
        <f>TAXREC!E93</f>
        <v>0</v>
      </c>
      <c r="H28" s="151"/>
    </row>
    <row r="29" spans="1:8" ht="12.75">
      <c r="A29" s="158" t="s">
        <v>158</v>
      </c>
      <c r="B29" s="127">
        <v>6</v>
      </c>
      <c r="C29" s="261"/>
      <c r="D29" s="18"/>
      <c r="E29" s="267">
        <f>G29-C29</f>
        <v>0</v>
      </c>
      <c r="F29" s="6"/>
      <c r="G29" s="267">
        <f>TAXREC!E67</f>
        <v>0</v>
      </c>
      <c r="H29" s="151"/>
    </row>
    <row r="30" spans="1:8" ht="12.75">
      <c r="A30" s="158" t="s">
        <v>157</v>
      </c>
      <c r="B30" s="127">
        <v>6</v>
      </c>
      <c r="C30" s="261"/>
      <c r="D30" s="18"/>
      <c r="E30" s="267">
        <f>G30-C30</f>
        <v>0</v>
      </c>
      <c r="F30" s="6"/>
      <c r="G30" s="267">
        <f>TAXREC!E68</f>
        <v>0</v>
      </c>
      <c r="H30" s="151"/>
    </row>
    <row r="31" spans="1:8" ht="12.75">
      <c r="A31" s="404" t="s">
        <v>389</v>
      </c>
      <c r="B31" s="127"/>
      <c r="C31" s="259"/>
      <c r="D31" s="18"/>
      <c r="E31" s="267">
        <f>G31-C31</f>
        <v>0</v>
      </c>
      <c r="F31" s="6"/>
      <c r="G31" s="267">
        <f>TAXREC!E66</f>
        <v>0</v>
      </c>
      <c r="H31" s="151"/>
    </row>
    <row r="32" spans="1:8" ht="12.75">
      <c r="A32" s="158"/>
      <c r="B32" s="127"/>
      <c r="C32" s="105"/>
      <c r="D32" s="18"/>
      <c r="E32" s="139"/>
      <c r="F32" s="6"/>
      <c r="G32" s="139"/>
      <c r="H32" s="151"/>
    </row>
    <row r="33" spans="1:8" ht="12.75">
      <c r="A33" s="156" t="s">
        <v>338</v>
      </c>
      <c r="B33" s="126"/>
      <c r="C33" s="105"/>
      <c r="D33" s="132"/>
      <c r="E33" s="139"/>
      <c r="F33" s="6"/>
      <c r="G33" s="139"/>
      <c r="H33" s="151"/>
    </row>
    <row r="34" spans="1:8" ht="12.75">
      <c r="A34" s="155" t="s">
        <v>103</v>
      </c>
      <c r="B34" s="127">
        <v>7</v>
      </c>
      <c r="C34" s="261">
        <v>1020690</v>
      </c>
      <c r="D34" s="132"/>
      <c r="E34" s="267">
        <f aca="true" t="shared" si="1" ref="E34:E43">G34-C34</f>
        <v>2231120</v>
      </c>
      <c r="F34" s="6"/>
      <c r="G34" s="267">
        <f>TAXREC!E97+TAXREC!E98</f>
        <v>3251810</v>
      </c>
      <c r="H34" s="151"/>
    </row>
    <row r="35" spans="1:8" ht="12.75">
      <c r="A35" s="158" t="s">
        <v>57</v>
      </c>
      <c r="B35" s="127">
        <v>8</v>
      </c>
      <c r="C35" s="261"/>
      <c r="D35" s="132"/>
      <c r="E35" s="267">
        <f t="shared" si="1"/>
        <v>0</v>
      </c>
      <c r="F35" s="6"/>
      <c r="G35" s="267">
        <f>TAXREC!E99</f>
        <v>0</v>
      </c>
      <c r="H35" s="151"/>
    </row>
    <row r="36" spans="1:8" ht="12.75">
      <c r="A36" s="158" t="s">
        <v>45</v>
      </c>
      <c r="B36" s="127">
        <v>9</v>
      </c>
      <c r="C36" s="261">
        <v>0</v>
      </c>
      <c r="D36" s="132"/>
      <c r="E36" s="267">
        <f t="shared" si="1"/>
        <v>0</v>
      </c>
      <c r="F36" s="6"/>
      <c r="G36" s="267">
        <f>TAXREC!E100</f>
        <v>0</v>
      </c>
      <c r="H36" s="151"/>
    </row>
    <row r="37" spans="1:8" ht="12.75">
      <c r="A37" s="158" t="s">
        <v>261</v>
      </c>
      <c r="B37" s="127">
        <v>10</v>
      </c>
      <c r="C37" s="261">
        <v>0</v>
      </c>
      <c r="D37" s="132"/>
      <c r="E37" s="267">
        <f t="shared" si="1"/>
        <v>0</v>
      </c>
      <c r="F37" s="6"/>
      <c r="G37" s="267">
        <f>TAXREC!E102+TAXREC!E103</f>
        <v>0</v>
      </c>
      <c r="H37" s="151"/>
    </row>
    <row r="38" spans="1:8" ht="12.75">
      <c r="A38" s="155" t="s">
        <v>86</v>
      </c>
      <c r="B38" s="125">
        <v>11</v>
      </c>
      <c r="C38" s="260">
        <f>REGINFO!D64/4</f>
        <v>1016902.7381667471</v>
      </c>
      <c r="D38" s="132"/>
      <c r="E38" s="267">
        <f t="shared" si="1"/>
        <v>-977902.7381667471</v>
      </c>
      <c r="F38" s="6"/>
      <c r="G38" s="267">
        <f>TAXREC!E51</f>
        <v>39000</v>
      </c>
      <c r="H38" s="151"/>
    </row>
    <row r="39" spans="1:8" ht="12.75">
      <c r="A39" s="155" t="s">
        <v>257</v>
      </c>
      <c r="B39" s="125">
        <v>4</v>
      </c>
      <c r="C39" s="261"/>
      <c r="D39" s="132"/>
      <c r="E39" s="267">
        <f t="shared" si="1"/>
        <v>0</v>
      </c>
      <c r="F39" s="6"/>
      <c r="G39" s="267">
        <f>TAXREC!E104</f>
        <v>0</v>
      </c>
      <c r="H39" s="151"/>
    </row>
    <row r="40" spans="1:8" ht="12.75">
      <c r="A40" s="501" t="s">
        <v>499</v>
      </c>
      <c r="B40" s="125">
        <v>4</v>
      </c>
      <c r="C40" s="261">
        <v>52250</v>
      </c>
      <c r="D40" s="132"/>
      <c r="E40" s="267">
        <f t="shared" si="1"/>
        <v>-52250</v>
      </c>
      <c r="F40" s="6"/>
      <c r="G40" s="267">
        <f>TAXREC!E105</f>
        <v>0</v>
      </c>
      <c r="H40" s="151"/>
    </row>
    <row r="41" spans="1:8" ht="12.75">
      <c r="A41" s="155" t="s">
        <v>12</v>
      </c>
      <c r="B41" s="125">
        <v>3</v>
      </c>
      <c r="C41" s="261"/>
      <c r="D41" s="132"/>
      <c r="E41" s="267">
        <f t="shared" si="1"/>
        <v>0</v>
      </c>
      <c r="F41" s="6"/>
      <c r="G41" s="267">
        <f>TAXREC!E106</f>
        <v>0</v>
      </c>
      <c r="H41" s="151"/>
    </row>
    <row r="42" spans="1:8" ht="12.75">
      <c r="A42" s="155" t="s">
        <v>13</v>
      </c>
      <c r="B42" s="125">
        <v>3</v>
      </c>
      <c r="C42" s="261"/>
      <c r="D42" s="132"/>
      <c r="E42" s="267">
        <f t="shared" si="1"/>
        <v>0</v>
      </c>
      <c r="F42" s="6"/>
      <c r="G42" s="267">
        <f>TAXREC!E107</f>
        <v>0</v>
      </c>
      <c r="H42" s="151"/>
    </row>
    <row r="43" spans="1:8" ht="12.75">
      <c r="A43" s="155" t="s">
        <v>184</v>
      </c>
      <c r="B43" s="125">
        <v>11</v>
      </c>
      <c r="C43" s="261"/>
      <c r="D43" s="132"/>
      <c r="E43" s="267">
        <f t="shared" si="1"/>
        <v>0</v>
      </c>
      <c r="F43" s="6"/>
      <c r="G43" s="267">
        <f>TAXREC!E109</f>
        <v>0</v>
      </c>
      <c r="H43" s="151"/>
    </row>
    <row r="44" spans="1:8" ht="12.75">
      <c r="A44" s="158" t="s">
        <v>54</v>
      </c>
      <c r="B44" s="127"/>
      <c r="C44" s="105"/>
      <c r="D44" s="132"/>
      <c r="E44" s="139"/>
      <c r="F44" s="6"/>
      <c r="G44" s="139"/>
      <c r="H44" s="151"/>
    </row>
    <row r="45" spans="1:8" ht="12.75">
      <c r="A45" s="158" t="s">
        <v>156</v>
      </c>
      <c r="B45" s="127">
        <v>12</v>
      </c>
      <c r="C45" s="261"/>
      <c r="D45" s="132"/>
      <c r="E45" s="267">
        <f>G45-C45</f>
        <v>0</v>
      </c>
      <c r="F45" s="6"/>
      <c r="G45" s="251">
        <f>TAXREC!E130</f>
        <v>0</v>
      </c>
      <c r="H45" s="151"/>
    </row>
    <row r="46" spans="1:8" ht="12.75">
      <c r="A46" s="158" t="s">
        <v>153</v>
      </c>
      <c r="B46" s="127">
        <v>12</v>
      </c>
      <c r="C46" s="261"/>
      <c r="D46" s="132"/>
      <c r="E46" s="267">
        <f>G46-C46</f>
        <v>0</v>
      </c>
      <c r="F46" s="6"/>
      <c r="G46" s="251">
        <f>TAXREC!E131</f>
        <v>0</v>
      </c>
      <c r="H46" s="151"/>
    </row>
    <row r="47" spans="1:8" ht="12.75">
      <c r="A47" s="158" t="s">
        <v>155</v>
      </c>
      <c r="B47" s="127">
        <v>12</v>
      </c>
      <c r="C47" s="261"/>
      <c r="D47" s="132"/>
      <c r="E47" s="267">
        <f>G47-C47</f>
        <v>0</v>
      </c>
      <c r="F47" s="6"/>
      <c r="G47" s="251">
        <f>TAXREC!E110</f>
        <v>0</v>
      </c>
      <c r="H47" s="151"/>
    </row>
    <row r="48" spans="1:8" ht="12.75">
      <c r="A48" s="158" t="s">
        <v>154</v>
      </c>
      <c r="B48" s="127">
        <v>12</v>
      </c>
      <c r="C48" s="261"/>
      <c r="D48" s="132"/>
      <c r="E48" s="267">
        <f>G48-C48</f>
        <v>0</v>
      </c>
      <c r="F48" s="6"/>
      <c r="G48" s="251">
        <f>TAXREC!E111</f>
        <v>0</v>
      </c>
      <c r="H48" s="151"/>
    </row>
    <row r="49" spans="1:8" ht="12.75">
      <c r="A49" s="404" t="s">
        <v>389</v>
      </c>
      <c r="B49" s="127"/>
      <c r="C49" s="259"/>
      <c r="D49" s="132"/>
      <c r="E49" s="267">
        <f>G49-C49</f>
        <v>1014000</v>
      </c>
      <c r="F49" s="6"/>
      <c r="G49" s="251">
        <f>TAXREC!E108</f>
        <v>1014000</v>
      </c>
      <c r="H49" s="151"/>
    </row>
    <row r="50" spans="1:8" ht="12.75">
      <c r="A50" s="158"/>
      <c r="B50" s="127"/>
      <c r="C50" s="105"/>
      <c r="D50" s="132"/>
      <c r="E50" s="139"/>
      <c r="F50" s="6"/>
      <c r="G50" s="139"/>
      <c r="H50" s="151"/>
    </row>
    <row r="51" spans="1:8" ht="12.75">
      <c r="A51" s="152" t="s">
        <v>323</v>
      </c>
      <c r="B51" s="125"/>
      <c r="C51" s="263">
        <f>C16+SUM(C20:C31)-SUM(C34:C49)</f>
        <v>2773253.5646465863</v>
      </c>
      <c r="D51" s="102"/>
      <c r="E51" s="263">
        <f>E16+SUM(E20:E31)-SUM(E34:E49)</f>
        <v>-7647063.564646587</v>
      </c>
      <c r="F51" s="430" t="s">
        <v>363</v>
      </c>
      <c r="G51" s="263">
        <f>G16+SUM(G20:G31)-SUM(G34:G49)</f>
        <v>-4873810</v>
      </c>
      <c r="H51" s="160"/>
    </row>
    <row r="52" spans="1:9" ht="12.75">
      <c r="A52" s="159"/>
      <c r="B52" s="125"/>
      <c r="C52" s="107"/>
      <c r="D52" s="132"/>
      <c r="E52" s="107"/>
      <c r="F52" s="6"/>
      <c r="G52" s="107"/>
      <c r="H52" s="151"/>
      <c r="I52" s="116"/>
    </row>
    <row r="53" spans="1:8" ht="12.75">
      <c r="A53" s="158" t="s">
        <v>332</v>
      </c>
      <c r="B53" s="127"/>
      <c r="C53" s="108"/>
      <c r="D53" s="132"/>
      <c r="E53" s="139"/>
      <c r="F53" s="6"/>
      <c r="G53" s="139"/>
      <c r="H53" s="151"/>
    </row>
    <row r="54" spans="1:9" ht="12.75">
      <c r="A54" s="158" t="s">
        <v>336</v>
      </c>
      <c r="B54" s="127">
        <v>13</v>
      </c>
      <c r="C54" s="262">
        <f>IF($C$51&gt;'Tax Rates 2001'!$E$11,'Tax Rates 2001'!$F$16,IF($C$51&gt;'Tax Rates 2001'!$C$11,'Tax Rates 2001'!$E$16,'Tax Rates 2001'!$C$16))</f>
        <v>0.4062</v>
      </c>
      <c r="D54" s="102"/>
      <c r="E54" s="268">
        <f>+G54-C54</f>
        <v>0</v>
      </c>
      <c r="F54" s="114"/>
      <c r="G54" s="471">
        <f>TAXREC!E151</f>
        <v>0.4062</v>
      </c>
      <c r="H54" s="151"/>
      <c r="I54" s="468"/>
    </row>
    <row r="55" spans="1:8" ht="12.75">
      <c r="A55" s="158"/>
      <c r="B55" s="127"/>
      <c r="C55" s="105"/>
      <c r="D55" s="132"/>
      <c r="E55" s="139"/>
      <c r="F55" s="6"/>
      <c r="G55" s="139"/>
      <c r="H55" s="151"/>
    </row>
    <row r="56" spans="1:8" ht="12.75">
      <c r="A56" s="158" t="s">
        <v>28</v>
      </c>
      <c r="B56" s="127"/>
      <c r="C56" s="264">
        <f>IF(C51&gt;0,C51*C54,0)</f>
        <v>1126495.5979594435</v>
      </c>
      <c r="D56" s="102"/>
      <c r="E56" s="267">
        <f>G56-C56</f>
        <v>-1126495.5979594435</v>
      </c>
      <c r="F56" s="430" t="s">
        <v>364</v>
      </c>
      <c r="G56" s="264">
        <f>TAXREC!E144</f>
        <v>0</v>
      </c>
      <c r="H56" s="161"/>
    </row>
    <row r="57" spans="1:8" ht="12.75">
      <c r="A57" s="158"/>
      <c r="B57" s="127"/>
      <c r="C57" s="105"/>
      <c r="D57" s="132"/>
      <c r="E57" s="139"/>
      <c r="F57" s="114"/>
      <c r="G57" s="139"/>
      <c r="H57" s="151"/>
    </row>
    <row r="58" spans="1:8" ht="12.75">
      <c r="A58" s="158"/>
      <c r="B58" s="127"/>
      <c r="C58" s="105"/>
      <c r="D58" s="132"/>
      <c r="E58" s="139"/>
      <c r="F58" s="6"/>
      <c r="G58" s="139"/>
      <c r="H58" s="151"/>
    </row>
    <row r="59" spans="1:8" ht="12.75">
      <c r="A59" s="158" t="s">
        <v>36</v>
      </c>
      <c r="B59" s="127">
        <v>14</v>
      </c>
      <c r="C59" s="265"/>
      <c r="D59" s="132"/>
      <c r="E59" s="267">
        <f>+G59-C59</f>
        <v>0</v>
      </c>
      <c r="F59" s="430" t="s">
        <v>364</v>
      </c>
      <c r="G59" s="270">
        <f>TAXREC!E145</f>
        <v>0</v>
      </c>
      <c r="H59" s="151"/>
    </row>
    <row r="60" spans="1:8" ht="13.5" thickBot="1">
      <c r="A60" s="158"/>
      <c r="B60" s="127"/>
      <c r="C60" s="105"/>
      <c r="D60" s="18"/>
      <c r="E60" s="139"/>
      <c r="F60" s="6"/>
      <c r="G60" s="139"/>
      <c r="H60" s="151"/>
    </row>
    <row r="61" spans="1:8" ht="13.5" thickBot="1">
      <c r="A61" s="150" t="s">
        <v>37</v>
      </c>
      <c r="B61" s="134"/>
      <c r="C61" s="266">
        <f>+C56-C59</f>
        <v>1126495.5979594435</v>
      </c>
      <c r="D61" s="133"/>
      <c r="E61" s="269">
        <f>+E56-E59</f>
        <v>-1126495.5979594435</v>
      </c>
      <c r="F61" s="430" t="s">
        <v>364</v>
      </c>
      <c r="G61" s="269">
        <f>+G56-G59</f>
        <v>0</v>
      </c>
      <c r="H61" s="135"/>
    </row>
    <row r="62" spans="1:8" ht="12.75">
      <c r="A62" s="158"/>
      <c r="B62" s="127"/>
      <c r="C62" s="105"/>
      <c r="D62" s="18"/>
      <c r="E62" s="139"/>
      <c r="F62" s="6"/>
      <c r="G62" s="139"/>
      <c r="H62" s="151"/>
    </row>
    <row r="63" spans="1:8" ht="12.75">
      <c r="A63" s="158"/>
      <c r="B63" s="123"/>
      <c r="C63" s="105"/>
      <c r="D63" s="18"/>
      <c r="E63" s="139"/>
      <c r="F63" s="6"/>
      <c r="G63" s="139"/>
      <c r="H63" s="151"/>
    </row>
    <row r="64" spans="1:8" ht="12.75">
      <c r="A64" s="154" t="s">
        <v>31</v>
      </c>
      <c r="B64" s="128"/>
      <c r="C64" s="105"/>
      <c r="D64" s="18"/>
      <c r="E64" s="139"/>
      <c r="F64" s="6"/>
      <c r="G64" s="139"/>
      <c r="H64" s="151"/>
    </row>
    <row r="65" spans="1:8" ht="12.75">
      <c r="A65" s="158"/>
      <c r="B65" s="127"/>
      <c r="C65" s="105"/>
      <c r="D65" s="18"/>
      <c r="E65" s="139"/>
      <c r="F65" s="6"/>
      <c r="G65" s="139"/>
      <c r="H65" s="151"/>
    </row>
    <row r="66" spans="1:8" ht="12.75">
      <c r="A66" s="156" t="s">
        <v>29</v>
      </c>
      <c r="B66" s="126"/>
      <c r="C66" s="105"/>
      <c r="D66" s="18"/>
      <c r="E66" s="139"/>
      <c r="F66" s="6"/>
      <c r="G66" s="139"/>
      <c r="H66" s="151"/>
    </row>
    <row r="67" spans="1:9" ht="12.75">
      <c r="A67" s="152" t="s">
        <v>17</v>
      </c>
      <c r="B67" s="125">
        <v>15</v>
      </c>
      <c r="C67" s="264">
        <f>Ratebase</f>
        <v>174041606</v>
      </c>
      <c r="D67" s="102"/>
      <c r="E67" s="267">
        <f>G67-C67</f>
        <v>22334187</v>
      </c>
      <c r="F67" s="6"/>
      <c r="G67" s="473">
        <v>196375793</v>
      </c>
      <c r="H67" s="151"/>
      <c r="I67" s="474" t="s">
        <v>478</v>
      </c>
    </row>
    <row r="68" spans="1:9" ht="12.75">
      <c r="A68" s="152" t="s">
        <v>356</v>
      </c>
      <c r="B68" s="125">
        <v>16</v>
      </c>
      <c r="C68" s="260">
        <f>IF(C67&gt;0,'Tax Rates 2001'!C21,0)</f>
        <v>5000000</v>
      </c>
      <c r="D68" s="102"/>
      <c r="E68" s="267">
        <f>G68-C68</f>
        <v>0</v>
      </c>
      <c r="F68" s="6"/>
      <c r="G68" s="267">
        <v>5000000</v>
      </c>
      <c r="H68" s="151"/>
      <c r="I68" s="474" t="s">
        <v>478</v>
      </c>
    </row>
    <row r="69" spans="1:8" ht="12.75">
      <c r="A69" s="152" t="s">
        <v>42</v>
      </c>
      <c r="B69" s="125"/>
      <c r="C69" s="264">
        <f>IF((C67-C68)&gt;0,C67-C68,0)</f>
        <v>169041606</v>
      </c>
      <c r="D69" s="102"/>
      <c r="E69" s="267">
        <f>SUM(E67:E68)</f>
        <v>22334187</v>
      </c>
      <c r="F69" s="114"/>
      <c r="G69" s="264">
        <f>G67-G68</f>
        <v>191375793</v>
      </c>
      <c r="H69" s="160"/>
    </row>
    <row r="70" spans="1:8" ht="12.75">
      <c r="A70" s="152"/>
      <c r="B70" s="125"/>
      <c r="C70" s="110"/>
      <c r="D70" s="18"/>
      <c r="E70" s="139"/>
      <c r="F70" s="6"/>
      <c r="G70" s="139"/>
      <c r="H70" s="151"/>
    </row>
    <row r="71" spans="1:8" ht="12.75">
      <c r="A71" s="152" t="s">
        <v>357</v>
      </c>
      <c r="B71" s="125">
        <v>17</v>
      </c>
      <c r="C71" s="301">
        <f>'Tax Rates 2001'!C18</f>
        <v>0.003</v>
      </c>
      <c r="D71" s="102"/>
      <c r="E71" s="268">
        <f>+G71-C71</f>
        <v>0</v>
      </c>
      <c r="F71" s="6"/>
      <c r="G71" s="301">
        <v>0.003</v>
      </c>
      <c r="H71" s="151"/>
    </row>
    <row r="72" spans="1:8" ht="12.75">
      <c r="A72" s="152"/>
      <c r="B72" s="125"/>
      <c r="C72" s="185"/>
      <c r="D72" s="18"/>
      <c r="E72" s="140"/>
      <c r="F72" s="6"/>
      <c r="G72" s="185"/>
      <c r="H72" s="151"/>
    </row>
    <row r="73" spans="1:8" ht="12.75">
      <c r="A73" s="152" t="s">
        <v>311</v>
      </c>
      <c r="B73" s="125"/>
      <c r="C73" s="264">
        <f>IF(C69&gt;0,C69*C71,0)*REGINFO!$B$6/REGINFO!$B$7</f>
        <v>127823.24179726029</v>
      </c>
      <c r="D73" s="101"/>
      <c r="E73" s="267">
        <f>+G73-C73</f>
        <v>16888.316745205448</v>
      </c>
      <c r="F73" s="475"/>
      <c r="G73" s="264">
        <f>IF(G69&gt;0,G69*G71,0)*REGINFO!$B$6/REGINFO!$B$7</f>
        <v>144711.55854246573</v>
      </c>
      <c r="H73" s="161"/>
    </row>
    <row r="74" spans="1:8" ht="12.75">
      <c r="A74" s="150"/>
      <c r="B74" s="129"/>
      <c r="C74" s="110"/>
      <c r="D74" s="136"/>
      <c r="E74" s="139"/>
      <c r="F74" s="6"/>
      <c r="G74" s="139"/>
      <c r="H74" s="151"/>
    </row>
    <row r="75" spans="1:8" ht="12.75">
      <c r="A75" s="156" t="s">
        <v>218</v>
      </c>
      <c r="B75" s="126"/>
      <c r="C75" s="110"/>
      <c r="D75" s="18"/>
      <c r="E75" s="139"/>
      <c r="F75" s="6"/>
      <c r="G75" s="139"/>
      <c r="H75" s="151"/>
    </row>
    <row r="76" spans="1:9" ht="12.75">
      <c r="A76" s="152" t="s">
        <v>17</v>
      </c>
      <c r="B76" s="125">
        <v>18</v>
      </c>
      <c r="C76" s="264">
        <f>Ratebase</f>
        <v>174041606</v>
      </c>
      <c r="D76" s="102"/>
      <c r="E76" s="267">
        <f>+G76-C76</f>
        <v>5843394</v>
      </c>
      <c r="F76" s="6"/>
      <c r="G76" s="473">
        <v>179885000</v>
      </c>
      <c r="H76" s="151"/>
      <c r="I76" s="474" t="s">
        <v>478</v>
      </c>
    </row>
    <row r="77" spans="1:9" ht="12.75">
      <c r="A77" s="152" t="s">
        <v>356</v>
      </c>
      <c r="B77" s="125">
        <v>19</v>
      </c>
      <c r="C77" s="260">
        <f>IF(C76&gt;0,'Tax Rates 2001'!C22,0)</f>
        <v>10000000</v>
      </c>
      <c r="D77" s="18"/>
      <c r="E77" s="267">
        <f>+G77-C77</f>
        <v>0</v>
      </c>
      <c r="F77" s="6"/>
      <c r="G77" s="267">
        <f>'Tax Rates 2001'!C58</f>
        <v>10000000</v>
      </c>
      <c r="H77" s="151"/>
      <c r="I77" s="474" t="s">
        <v>478</v>
      </c>
    </row>
    <row r="78" spans="1:8" ht="12.75">
      <c r="A78" s="152" t="s">
        <v>42</v>
      </c>
      <c r="B78" s="125"/>
      <c r="C78" s="264">
        <f>IF((C76-C77)&gt;0,C76-C77,0)</f>
        <v>164041606</v>
      </c>
      <c r="D78" s="19"/>
      <c r="E78" s="267">
        <f>SUM(E76:E77)</f>
        <v>5843394</v>
      </c>
      <c r="F78" s="114"/>
      <c r="G78" s="264">
        <f>G76-G77</f>
        <v>169885000</v>
      </c>
      <c r="H78" s="160"/>
    </row>
    <row r="79" spans="1:8" ht="12.75">
      <c r="A79" s="152"/>
      <c r="B79" s="125"/>
      <c r="C79" s="110"/>
      <c r="D79" s="18"/>
      <c r="E79" s="139"/>
      <c r="F79" s="6"/>
      <c r="G79" s="139"/>
      <c r="H79" s="151"/>
    </row>
    <row r="80" spans="1:8" ht="12.75">
      <c r="A80" s="152" t="s">
        <v>357</v>
      </c>
      <c r="B80" s="125">
        <v>20</v>
      </c>
      <c r="C80" s="301">
        <f>'Tax Rates 2001'!C19</f>
        <v>0.00225</v>
      </c>
      <c r="D80" s="102"/>
      <c r="E80" s="268">
        <f>G80-C80</f>
        <v>0</v>
      </c>
      <c r="F80" s="6"/>
      <c r="G80" s="268">
        <f>'Tax Rates 2001'!C55</f>
        <v>0.00225</v>
      </c>
      <c r="H80" s="151"/>
    </row>
    <row r="81" spans="1:8" ht="12.75">
      <c r="A81" s="152"/>
      <c r="B81" s="125"/>
      <c r="C81" s="110"/>
      <c r="D81" s="18"/>
      <c r="E81" s="139"/>
      <c r="F81" s="6"/>
      <c r="G81" s="139"/>
      <c r="H81" s="151"/>
    </row>
    <row r="82" spans="1:8" ht="12.75">
      <c r="A82" s="152" t="s">
        <v>312</v>
      </c>
      <c r="B82" s="125"/>
      <c r="C82" s="264">
        <f>IF(C78&gt;0,C78*C80,0)*REGINFO!$B$6/REGINFO!$B$7</f>
        <v>93031.81490958904</v>
      </c>
      <c r="D82" s="102"/>
      <c r="E82" s="267">
        <f>+G82-C82</f>
        <v>3313.9248164383607</v>
      </c>
      <c r="F82" s="6"/>
      <c r="G82" s="264">
        <f>G78*G80*B9/B10</f>
        <v>96345.7397260274</v>
      </c>
      <c r="H82" s="151"/>
    </row>
    <row r="83" spans="1:8" ht="12.75">
      <c r="A83" s="152" t="s">
        <v>313</v>
      </c>
      <c r="B83" s="125">
        <v>21</v>
      </c>
      <c r="C83" s="300">
        <f>IF(C78&gt;0,IF(C61&gt;0,C51*'Tax Rates 2001'!C20,0),0)</f>
        <v>31060.439924041766</v>
      </c>
      <c r="D83" s="102"/>
      <c r="E83" s="267">
        <f>+G83-C83</f>
        <v>-31060.439924041766</v>
      </c>
      <c r="F83" s="6"/>
      <c r="G83" s="300">
        <f>IF(G78&gt;0,IF(G61&gt;0,G51*'Tax Rates 2001'!G20,0),0)</f>
        <v>0</v>
      </c>
      <c r="H83" s="151"/>
    </row>
    <row r="84" spans="1:8" ht="12.75">
      <c r="A84" s="152"/>
      <c r="B84" s="125"/>
      <c r="C84" s="110"/>
      <c r="D84" s="18"/>
      <c r="E84" s="139"/>
      <c r="F84" s="6"/>
      <c r="G84" s="139"/>
      <c r="H84" s="151"/>
    </row>
    <row r="85" spans="1:12" ht="12.75">
      <c r="A85" s="152" t="s">
        <v>32</v>
      </c>
      <c r="B85" s="125"/>
      <c r="C85" s="264">
        <f>C82-C83</f>
        <v>61971.37498554727</v>
      </c>
      <c r="D85" s="16"/>
      <c r="E85" s="267">
        <f>E82-E83</f>
        <v>34374.36474048013</v>
      </c>
      <c r="F85" s="103"/>
      <c r="G85" s="264">
        <f>G82-G83</f>
        <v>96345.7397260274</v>
      </c>
      <c r="H85" s="161"/>
      <c r="L85" s="22"/>
    </row>
    <row r="86" spans="1:8" ht="12.75">
      <c r="A86" s="152"/>
      <c r="B86" s="125"/>
      <c r="C86" s="105"/>
      <c r="D86" s="11"/>
      <c r="E86" s="141"/>
      <c r="F86" s="6"/>
      <c r="G86" s="141"/>
      <c r="H86" s="163"/>
    </row>
    <row r="87" spans="1:8" ht="12.75">
      <c r="A87" s="154" t="s">
        <v>118</v>
      </c>
      <c r="B87" s="128"/>
      <c r="C87" s="105"/>
      <c r="D87" s="11"/>
      <c r="E87" s="115"/>
      <c r="F87" s="3"/>
      <c r="G87" s="123"/>
      <c r="H87" s="151"/>
    </row>
    <row r="88" spans="1:8" ht="12.75">
      <c r="A88" s="154"/>
      <c r="B88" s="128"/>
      <c r="C88" s="105"/>
      <c r="D88" s="11"/>
      <c r="E88" s="114"/>
      <c r="F88" s="6"/>
      <c r="G88" s="198"/>
      <c r="H88" s="151"/>
    </row>
    <row r="89" spans="1:8" ht="12.75">
      <c r="A89" s="152" t="s">
        <v>227</v>
      </c>
      <c r="B89" s="125"/>
      <c r="C89" s="262">
        <f>IF($C$51&gt;'Tax Rates 2001'!$E$11,'Tax Rates 2001'!$F$16,IF(AND($C$51&gt;='Tax Rates 2001'!$C$11,$C$51&lt;='Tax Rates 2001'!E11),'Tax Rates 2001'!$E$16,'Tax Rates 2001'!$C$16))-1.12%</f>
        <v>0.395</v>
      </c>
      <c r="D89" s="11"/>
      <c r="E89" s="114"/>
      <c r="F89" s="6"/>
      <c r="G89" s="198"/>
      <c r="H89" s="151"/>
    </row>
    <row r="90" spans="1:8" ht="12.75">
      <c r="A90" s="150"/>
      <c r="B90" s="129"/>
      <c r="C90" s="110"/>
      <c r="D90" s="11"/>
      <c r="E90" s="114"/>
      <c r="F90" s="6"/>
      <c r="G90" s="198"/>
      <c r="H90" s="151"/>
    </row>
    <row r="91" spans="1:8" ht="12.75">
      <c r="A91" s="158" t="s">
        <v>365</v>
      </c>
      <c r="B91" s="127">
        <v>22</v>
      </c>
      <c r="C91" s="264">
        <f>C61/(1-C89)</f>
        <v>1861976.1949742867</v>
      </c>
      <c r="D91" s="20"/>
      <c r="E91" s="139"/>
      <c r="F91" s="429" t="s">
        <v>467</v>
      </c>
      <c r="G91" s="270">
        <f>TAXREC!E156</f>
        <v>0</v>
      </c>
      <c r="H91" s="151"/>
    </row>
    <row r="92" spans="1:8" ht="12.75">
      <c r="A92" s="158" t="s">
        <v>366</v>
      </c>
      <c r="B92" s="127">
        <v>23</v>
      </c>
      <c r="C92" s="264">
        <f>C85/(1-C89)</f>
        <v>102432.02476949962</v>
      </c>
      <c r="D92" s="20"/>
      <c r="E92" s="139"/>
      <c r="F92" s="429" t="s">
        <v>467</v>
      </c>
      <c r="G92" s="270">
        <f>TAXREC!E158</f>
        <v>96346</v>
      </c>
      <c r="H92" s="151"/>
    </row>
    <row r="93" spans="1:8" ht="12.75">
      <c r="A93" s="158" t="s">
        <v>344</v>
      </c>
      <c r="B93" s="127">
        <v>24</v>
      </c>
      <c r="C93" s="264">
        <f>C73</f>
        <v>127823.24179726029</v>
      </c>
      <c r="D93" s="20"/>
      <c r="E93" s="139"/>
      <c r="F93" s="429" t="s">
        <v>467</v>
      </c>
      <c r="G93" s="270">
        <f>TAXREC!E157</f>
        <v>139266</v>
      </c>
      <c r="H93" s="151"/>
    </row>
    <row r="94" spans="1:8" ht="12.75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8"/>
      <c r="B95" s="127"/>
      <c r="C95" s="110"/>
      <c r="D95" s="11"/>
      <c r="E95" s="139"/>
      <c r="F95" s="6"/>
      <c r="G95" s="139"/>
      <c r="H95" s="151"/>
    </row>
    <row r="96" spans="1:8" ht="13.5" thickBot="1">
      <c r="A96" s="156" t="s">
        <v>468</v>
      </c>
      <c r="B96" s="125">
        <v>25</v>
      </c>
      <c r="C96" s="269">
        <f>SUM(C91:C94)</f>
        <v>2092231.4615410466</v>
      </c>
      <c r="D96" s="6"/>
      <c r="E96" s="139"/>
      <c r="F96" s="429" t="s">
        <v>467</v>
      </c>
      <c r="G96" s="414">
        <f>SUM(G91:G95)</f>
        <v>235612</v>
      </c>
      <c r="H96" s="164"/>
    </row>
    <row r="97" spans="1:8" ht="12.75">
      <c r="A97" s="404" t="s">
        <v>303</v>
      </c>
      <c r="B97" s="125"/>
      <c r="C97" s="105"/>
      <c r="D97" s="6"/>
      <c r="E97" s="109"/>
      <c r="F97" s="6"/>
      <c r="G97" s="139"/>
      <c r="H97" s="164"/>
    </row>
    <row r="98" spans="1:8" ht="13.5" thickBot="1">
      <c r="A98" s="152"/>
      <c r="B98" s="125"/>
      <c r="C98" s="105"/>
      <c r="D98" s="6"/>
      <c r="E98" s="109"/>
      <c r="F98" s="6"/>
      <c r="G98" s="139"/>
      <c r="H98" s="182"/>
    </row>
    <row r="99" spans="1:8" ht="13.5" thickTop="1">
      <c r="A99" s="165"/>
      <c r="B99" s="124"/>
      <c r="C99" s="111"/>
      <c r="D99" s="7"/>
      <c r="E99" s="142"/>
      <c r="F99" s="7"/>
      <c r="G99" s="199"/>
      <c r="H99" s="164"/>
    </row>
    <row r="100" spans="1:8" ht="12.75">
      <c r="A100" s="156" t="s">
        <v>300</v>
      </c>
      <c r="B100" s="123"/>
      <c r="C100" s="112"/>
      <c r="D100" s="3"/>
      <c r="E100" s="112"/>
      <c r="F100" s="3"/>
      <c r="G100" s="200"/>
      <c r="H100" s="164"/>
    </row>
    <row r="101" spans="1:8" ht="15">
      <c r="A101" s="166" t="s">
        <v>246</v>
      </c>
      <c r="B101" s="123"/>
      <c r="C101" s="112"/>
      <c r="D101" s="3"/>
      <c r="E101" s="143" t="s">
        <v>248</v>
      </c>
      <c r="F101" s="37"/>
      <c r="G101" s="200"/>
      <c r="H101" s="164"/>
    </row>
    <row r="102" spans="1:8" ht="12.75">
      <c r="A102" s="156" t="s">
        <v>343</v>
      </c>
      <c r="B102" s="123"/>
      <c r="C102" s="112"/>
      <c r="D102" s="3"/>
      <c r="E102" s="112"/>
      <c r="F102" s="37"/>
      <c r="G102" s="200"/>
      <c r="H102" s="164"/>
    </row>
    <row r="103" spans="1:8" ht="12.75">
      <c r="A103" s="158" t="s">
        <v>56</v>
      </c>
      <c r="B103" s="127">
        <v>3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100</v>
      </c>
      <c r="B105" s="127">
        <v>4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44</v>
      </c>
      <c r="B106" s="127">
        <v>5</v>
      </c>
      <c r="C106" s="112"/>
      <c r="D106" s="3"/>
      <c r="E106" s="251">
        <f>E25</f>
        <v>0</v>
      </c>
      <c r="F106" s="37"/>
      <c r="G106" s="201"/>
      <c r="H106" s="164"/>
    </row>
    <row r="107" spans="1:8" ht="12.75">
      <c r="A107" s="158" t="s">
        <v>359</v>
      </c>
      <c r="B107" s="127">
        <v>6</v>
      </c>
      <c r="C107" s="112"/>
      <c r="D107" s="3"/>
      <c r="E107" s="251">
        <f>E27</f>
        <v>0</v>
      </c>
      <c r="F107" s="37"/>
      <c r="G107" s="201"/>
      <c r="H107" s="164"/>
    </row>
    <row r="108" spans="1:8" ht="12.75">
      <c r="A108" s="158" t="s">
        <v>360</v>
      </c>
      <c r="B108" s="127">
        <v>6</v>
      </c>
      <c r="C108" s="112"/>
      <c r="D108" s="3"/>
      <c r="E108" s="251">
        <f>E29</f>
        <v>0</v>
      </c>
      <c r="F108" s="37"/>
      <c r="G108" s="201"/>
      <c r="H108" s="164"/>
    </row>
    <row r="109" spans="1:8" ht="12.75">
      <c r="A109" s="156" t="s">
        <v>358</v>
      </c>
      <c r="B109" s="127"/>
      <c r="C109" s="112"/>
      <c r="D109" s="3"/>
      <c r="E109" s="30"/>
      <c r="F109" s="37"/>
      <c r="G109" s="201"/>
      <c r="H109" s="164"/>
    </row>
    <row r="110" spans="1:8" ht="12.75">
      <c r="A110" s="158" t="s">
        <v>57</v>
      </c>
      <c r="B110" s="127">
        <v>8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45</v>
      </c>
      <c r="B111" s="127">
        <v>9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8" t="s">
        <v>44</v>
      </c>
      <c r="B112" s="127">
        <v>10</v>
      </c>
      <c r="C112" s="112"/>
      <c r="D112" s="3"/>
      <c r="E112" s="251">
        <f>E37</f>
        <v>0</v>
      </c>
      <c r="F112" s="37"/>
      <c r="G112" s="201"/>
      <c r="H112" s="164"/>
    </row>
    <row r="113" spans="1:8" ht="12.75">
      <c r="A113" s="155" t="s">
        <v>315</v>
      </c>
      <c r="B113" s="127">
        <v>11</v>
      </c>
      <c r="C113" s="112"/>
      <c r="D113" s="3"/>
      <c r="E113" s="470">
        <f>E207</f>
        <v>0</v>
      </c>
      <c r="F113" s="187"/>
      <c r="G113" s="201"/>
      <c r="H113" s="164"/>
    </row>
    <row r="114" spans="1:8" ht="12.75">
      <c r="A114" s="155" t="s">
        <v>15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101</v>
      </c>
      <c r="B115" s="125">
        <v>4</v>
      </c>
      <c r="C115" s="112"/>
      <c r="D115" s="3"/>
      <c r="E115" s="251">
        <f>E40</f>
        <v>-52250</v>
      </c>
      <c r="F115" s="37"/>
      <c r="G115" s="201"/>
      <c r="H115" s="164"/>
    </row>
    <row r="116" spans="1:8" ht="12.75">
      <c r="A116" s="155" t="s">
        <v>12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5" t="s">
        <v>13</v>
      </c>
      <c r="B117" s="125">
        <v>3</v>
      </c>
      <c r="C117" s="112"/>
      <c r="D117" s="3"/>
      <c r="E117" s="251">
        <f>E42</f>
        <v>0</v>
      </c>
      <c r="F117" s="37"/>
      <c r="G117" s="201"/>
      <c r="H117" s="164"/>
    </row>
    <row r="118" spans="1:8" ht="12.75">
      <c r="A118" s="158" t="s">
        <v>361</v>
      </c>
      <c r="B118" s="127">
        <v>12</v>
      </c>
      <c r="C118" s="112"/>
      <c r="D118" s="3"/>
      <c r="E118" s="251">
        <f>E45</f>
        <v>0</v>
      </c>
      <c r="F118" s="37"/>
      <c r="G118" s="201"/>
      <c r="H118" s="164"/>
    </row>
    <row r="119" spans="1:8" ht="12.75">
      <c r="A119" s="158" t="s">
        <v>362</v>
      </c>
      <c r="B119" s="127">
        <v>12</v>
      </c>
      <c r="C119" s="112"/>
      <c r="D119" s="3"/>
      <c r="E119" s="251">
        <f>E47</f>
        <v>0</v>
      </c>
      <c r="F119" s="37"/>
      <c r="G119" s="201"/>
      <c r="H119" s="164"/>
    </row>
    <row r="120" spans="1:8" ht="12.75">
      <c r="A120" s="158"/>
      <c r="B120" s="127"/>
      <c r="C120" s="112"/>
      <c r="D120" s="3"/>
      <c r="E120" s="110"/>
      <c r="F120" s="37"/>
      <c r="G120" s="201"/>
      <c r="H120" s="164"/>
    </row>
    <row r="121" spans="1:8" ht="12.75">
      <c r="A121" s="152" t="s">
        <v>220</v>
      </c>
      <c r="B121" s="127">
        <v>26</v>
      </c>
      <c r="C121" s="112"/>
      <c r="D121" s="117" t="s">
        <v>189</v>
      </c>
      <c r="E121" s="264">
        <f>SUM(E103:E108)-SUM(E110:E119)</f>
        <v>52250</v>
      </c>
      <c r="F121" s="37"/>
      <c r="G121" s="201"/>
      <c r="H121" s="164"/>
    </row>
    <row r="122" spans="1:8" ht="12.75">
      <c r="A122" s="152"/>
      <c r="B122" s="127"/>
      <c r="C122" s="112"/>
      <c r="D122" s="117"/>
      <c r="E122" s="110"/>
      <c r="F122" s="37"/>
      <c r="G122" s="201"/>
      <c r="H122" s="164"/>
    </row>
    <row r="123" spans="1:8" ht="12.75">
      <c r="A123" s="157" t="s">
        <v>484</v>
      </c>
      <c r="B123" s="127"/>
      <c r="C123" s="112"/>
      <c r="D123" s="3" t="s">
        <v>231</v>
      </c>
      <c r="E123" s="467">
        <f>IF((E121+G51)&gt;'Tax Rates 2001'!$E$47,'Tax Rates 2001'!$F$52-1.12%,IF((E121+G51)&gt;'Tax Rates 2001'!$D$47,'Tax Rates 2001'!$E$52-1.12%,IF((E121+G51)&gt;'Tax Rates 2001'!$C$47,'Tax Rates 2001'!$D$52-1.12%,'Tax Rates 2001'!$C$52-1.12%)))</f>
        <v>0.18</v>
      </c>
      <c r="F123" s="468"/>
      <c r="G123" s="201" t="s">
        <v>102</v>
      </c>
      <c r="H123" s="164"/>
    </row>
    <row r="124" spans="1:8" ht="12.75">
      <c r="A124" s="158"/>
      <c r="B124" s="127"/>
      <c r="C124" s="112"/>
      <c r="D124" s="3"/>
      <c r="E124" s="110"/>
      <c r="F124" s="37"/>
      <c r="G124" s="201" t="s">
        <v>102</v>
      </c>
      <c r="H124" s="164"/>
    </row>
    <row r="125" spans="1:8" ht="12.75">
      <c r="A125" s="158" t="s">
        <v>245</v>
      </c>
      <c r="B125" s="127"/>
      <c r="C125" s="112"/>
      <c r="D125" s="3" t="s">
        <v>189</v>
      </c>
      <c r="E125" s="264">
        <f>E121*E123</f>
        <v>9405</v>
      </c>
      <c r="F125" s="37"/>
      <c r="G125" s="201"/>
      <c r="H125" s="164"/>
    </row>
    <row r="126" spans="1:8" ht="12.75">
      <c r="A126" s="158"/>
      <c r="B126" s="127"/>
      <c r="C126" s="112"/>
      <c r="D126" s="3"/>
      <c r="E126" s="110"/>
      <c r="F126" s="37"/>
      <c r="G126" s="201"/>
      <c r="H126" s="164"/>
    </row>
    <row r="127" spans="1:8" ht="12.75">
      <c r="A127" s="158" t="s">
        <v>114</v>
      </c>
      <c r="B127" s="127">
        <v>14</v>
      </c>
      <c r="C127" s="112"/>
      <c r="D127" s="3"/>
      <c r="E127" s="264">
        <f>E59</f>
        <v>0</v>
      </c>
      <c r="F127" s="37"/>
      <c r="G127" s="201"/>
      <c r="H127" s="164"/>
    </row>
    <row r="128" spans="1:8" ht="12.75">
      <c r="A128" s="158"/>
      <c r="B128" s="127"/>
      <c r="C128" s="112"/>
      <c r="D128" s="3"/>
      <c r="E128" s="110"/>
      <c r="F128" s="37"/>
      <c r="G128" s="201"/>
      <c r="H128" s="164"/>
    </row>
    <row r="129" spans="1:8" ht="12.75">
      <c r="A129" s="158" t="s">
        <v>117</v>
      </c>
      <c r="B129" s="127"/>
      <c r="C129" s="112"/>
      <c r="D129" s="3"/>
      <c r="E129" s="264">
        <f>E125-E127</f>
        <v>9405</v>
      </c>
      <c r="F129" s="37"/>
      <c r="G129" s="201"/>
      <c r="H129" s="164"/>
    </row>
    <row r="130" spans="1:8" ht="12.75">
      <c r="A130" s="167"/>
      <c r="B130" s="127"/>
      <c r="C130" s="112"/>
      <c r="D130" s="3"/>
      <c r="E130" s="110"/>
      <c r="F130" s="37"/>
      <c r="G130" s="201"/>
      <c r="H130" s="164"/>
    </row>
    <row r="131" spans="1:8" ht="12.75">
      <c r="A131" s="152" t="s">
        <v>196</v>
      </c>
      <c r="B131" s="127"/>
      <c r="C131" s="112"/>
      <c r="D131" s="3"/>
      <c r="E131" s="312">
        <f>IF((E121+C51)&gt;'Tax Rates 2001'!$E$47,'Tax Rates 2001'!$F$52-1.12%,IF((E121+C51)&gt;'Tax Rates 2001'!$D$47,'Tax Rates 2001'!$E$52-1.12%,IF((E121+C51)&gt;'Tax Rates 2001'!$C$47,'Tax Rates 2001'!$D$52-1.12%,'Tax Rates 2001'!$C$52-1.12%)))</f>
        <v>0.395</v>
      </c>
      <c r="F131" s="37"/>
      <c r="G131" s="201"/>
      <c r="H131" s="164"/>
    </row>
    <row r="132" spans="1:8" ht="12.75">
      <c r="A132" s="150"/>
      <c r="B132" s="127"/>
      <c r="C132" s="112"/>
      <c r="D132" s="3"/>
      <c r="E132" s="110"/>
      <c r="F132" s="37"/>
      <c r="G132" s="201"/>
      <c r="H132" s="164"/>
    </row>
    <row r="133" spans="1:8" ht="12.75">
      <c r="A133" s="168" t="s">
        <v>348</v>
      </c>
      <c r="B133" s="130"/>
      <c r="C133" s="112"/>
      <c r="D133" s="3"/>
      <c r="E133" s="263">
        <f>E129/(1-E131)</f>
        <v>15545.454545454546</v>
      </c>
      <c r="F133" s="37"/>
      <c r="G133" s="201"/>
      <c r="H133" s="164"/>
    </row>
    <row r="134" spans="1:8" ht="12.75">
      <c r="A134" s="168"/>
      <c r="B134" s="130"/>
      <c r="C134" s="112"/>
      <c r="D134" s="3"/>
      <c r="E134" s="107"/>
      <c r="F134" s="37"/>
      <c r="G134" s="201"/>
      <c r="H134" s="164"/>
    </row>
    <row r="135" spans="1:8" ht="30">
      <c r="A135" s="169" t="s">
        <v>351</v>
      </c>
      <c r="B135" s="130"/>
      <c r="C135" s="112"/>
      <c r="D135" s="3"/>
      <c r="E135" s="107"/>
      <c r="F135" s="37"/>
      <c r="G135" s="201"/>
      <c r="H135" s="164"/>
    </row>
    <row r="136" spans="1:8" ht="12.75">
      <c r="A136" s="170"/>
      <c r="B136" s="130"/>
      <c r="C136" s="112"/>
      <c r="D136" s="3"/>
      <c r="E136" s="107"/>
      <c r="F136" s="37"/>
      <c r="G136" s="201"/>
      <c r="H136" s="164"/>
    </row>
    <row r="137" spans="1:8" ht="25.5">
      <c r="A137" s="171" t="s">
        <v>235</v>
      </c>
      <c r="B137" s="130"/>
      <c r="C137" s="112"/>
      <c r="D137" s="118" t="s">
        <v>189</v>
      </c>
      <c r="E137" s="302">
        <f>C51</f>
        <v>2773253.5646465863</v>
      </c>
      <c r="F137" s="37"/>
      <c r="G137" s="201"/>
      <c r="H137" s="164"/>
    </row>
    <row r="138" spans="1:8" ht="12.75">
      <c r="A138" s="171"/>
      <c r="B138" s="130"/>
      <c r="C138" s="112"/>
      <c r="D138" s="119"/>
      <c r="E138" s="145"/>
      <c r="F138" s="37"/>
      <c r="G138" s="201"/>
      <c r="H138" s="164"/>
    </row>
    <row r="139" spans="1:8" ht="12.75">
      <c r="A139" s="171" t="s">
        <v>237</v>
      </c>
      <c r="B139" s="130"/>
      <c r="C139" s="112"/>
      <c r="D139" s="119" t="s">
        <v>231</v>
      </c>
      <c r="E139" s="312">
        <f>IF((E121+E137)&gt;'Tax Rates 2001'!E47,'Tax Rates 2001'!F52,IF((E121+E137)&gt;'Tax Rates 2001'!D47,'Tax Rates 2001'!E52,IF((E121+E137)&gt;'Tax Rates 2001'!C47,'Tax Rates 2001'!D52,'Tax Rates 2001'!C52)))</f>
        <v>0.4062</v>
      </c>
      <c r="F139" s="197" t="s">
        <v>102</v>
      </c>
      <c r="G139" s="201"/>
      <c r="H139" s="164"/>
    </row>
    <row r="140" spans="1:8" ht="12.75">
      <c r="A140" s="171"/>
      <c r="B140" s="130"/>
      <c r="C140" s="112"/>
      <c r="D140" s="119"/>
      <c r="E140" s="144"/>
      <c r="F140" s="37"/>
      <c r="G140" s="201"/>
      <c r="H140" s="164"/>
    </row>
    <row r="141" spans="1:8" ht="12.75">
      <c r="A141" s="171" t="s">
        <v>229</v>
      </c>
      <c r="B141" s="130"/>
      <c r="C141" s="112"/>
      <c r="D141" s="118" t="s">
        <v>189</v>
      </c>
      <c r="E141" s="303">
        <f>IF(E137&gt;0,E137*E139,0)</f>
        <v>1126495.5979594435</v>
      </c>
      <c r="F141" s="37"/>
      <c r="G141" s="201"/>
      <c r="H141" s="164"/>
    </row>
    <row r="142" spans="1:8" ht="12.75">
      <c r="A142" s="171"/>
      <c r="B142" s="130"/>
      <c r="C142" s="112"/>
      <c r="D142" s="119"/>
      <c r="E142" s="144"/>
      <c r="F142" s="37"/>
      <c r="G142" s="201"/>
      <c r="H142" s="164"/>
    </row>
    <row r="143" spans="1:8" ht="12.75">
      <c r="A143" s="171" t="s">
        <v>238</v>
      </c>
      <c r="B143" s="130"/>
      <c r="C143" s="112"/>
      <c r="D143" s="118" t="s">
        <v>188</v>
      </c>
      <c r="E143" s="304">
        <f>TAXREC!E145</f>
        <v>0</v>
      </c>
      <c r="F143" s="37"/>
      <c r="G143" s="201"/>
      <c r="H143" s="164"/>
    </row>
    <row r="144" spans="1:8" ht="12.75">
      <c r="A144" s="171"/>
      <c r="B144" s="130"/>
      <c r="C144" s="112"/>
      <c r="D144" s="119"/>
      <c r="E144" s="144"/>
      <c r="F144" s="37"/>
      <c r="G144" s="201"/>
      <c r="H144" s="164"/>
    </row>
    <row r="145" spans="1:8" ht="12.75">
      <c r="A145" s="171" t="s">
        <v>230</v>
      </c>
      <c r="B145" s="130"/>
      <c r="C145" s="112"/>
      <c r="D145" s="119" t="s">
        <v>189</v>
      </c>
      <c r="E145" s="302">
        <f>E141-E143</f>
        <v>1126495.5979594435</v>
      </c>
      <c r="F145" s="37"/>
      <c r="G145" s="201"/>
      <c r="H145" s="164"/>
    </row>
    <row r="146" spans="1:8" ht="12.75">
      <c r="A146" s="171"/>
      <c r="B146" s="130"/>
      <c r="C146" s="112"/>
      <c r="D146" s="119"/>
      <c r="E146" s="144"/>
      <c r="F146" s="37"/>
      <c r="G146" s="201"/>
      <c r="H146" s="164"/>
    </row>
    <row r="147" spans="1:8" ht="25.5">
      <c r="A147" s="171" t="s">
        <v>486</v>
      </c>
      <c r="B147" s="130"/>
      <c r="C147" s="112"/>
      <c r="D147" s="118" t="s">
        <v>188</v>
      </c>
      <c r="E147" s="302">
        <f>C61</f>
        <v>1126495.5979594435</v>
      </c>
      <c r="F147" s="37"/>
      <c r="G147" s="201"/>
      <c r="H147" s="164"/>
    </row>
    <row r="148" spans="1:8" ht="12.75">
      <c r="A148" s="171"/>
      <c r="B148" s="130"/>
      <c r="C148" s="112"/>
      <c r="D148" s="119"/>
      <c r="E148" s="144"/>
      <c r="F148" s="37"/>
      <c r="G148" s="201"/>
      <c r="H148" s="164"/>
    </row>
    <row r="149" spans="1:8" ht="12.75">
      <c r="A149" s="171" t="s">
        <v>232</v>
      </c>
      <c r="B149" s="130"/>
      <c r="C149" s="112"/>
      <c r="D149" s="118" t="s">
        <v>189</v>
      </c>
      <c r="E149" s="302">
        <f>E145-E147</f>
        <v>0</v>
      </c>
      <c r="F149" s="37"/>
      <c r="G149" s="201"/>
      <c r="H149" s="164"/>
    </row>
    <row r="150" spans="1:8" ht="12.75">
      <c r="A150" s="171"/>
      <c r="B150" s="130"/>
      <c r="C150" s="112"/>
      <c r="D150" s="119"/>
      <c r="E150" s="144"/>
      <c r="F150" s="37"/>
      <c r="G150" s="201"/>
      <c r="H150" s="164"/>
    </row>
    <row r="151" spans="1:8" ht="12.75">
      <c r="A151" s="387" t="s">
        <v>20</v>
      </c>
      <c r="B151" s="130"/>
      <c r="C151" s="112"/>
      <c r="D151" s="119"/>
      <c r="E151" s="304"/>
      <c r="F151" s="37"/>
      <c r="G151" s="201"/>
      <c r="H151" s="164"/>
    </row>
    <row r="152" spans="1:8" ht="12.75">
      <c r="A152" s="171" t="s">
        <v>17</v>
      </c>
      <c r="B152" s="130"/>
      <c r="C152" s="112"/>
      <c r="D152" s="119" t="s">
        <v>189</v>
      </c>
      <c r="E152" s="302">
        <f>C67</f>
        <v>174041606</v>
      </c>
      <c r="F152" s="37"/>
      <c r="G152" s="201"/>
      <c r="H152" s="164"/>
    </row>
    <row r="153" spans="1:8" ht="12.75">
      <c r="A153" s="171" t="s">
        <v>354</v>
      </c>
      <c r="B153" s="130"/>
      <c r="C153" s="112"/>
      <c r="D153" s="118" t="s">
        <v>188</v>
      </c>
      <c r="E153" s="305">
        <f>IF(E152&gt;0,'Tax Rates 2001'!C39,0)</f>
        <v>5000000</v>
      </c>
      <c r="F153" s="37"/>
      <c r="G153" s="201"/>
      <c r="H153" s="164"/>
    </row>
    <row r="154" spans="1:8" ht="12.75">
      <c r="A154" s="171" t="s">
        <v>233</v>
      </c>
      <c r="B154" s="130"/>
      <c r="C154" s="112"/>
      <c r="D154" s="118" t="s">
        <v>189</v>
      </c>
      <c r="E154" s="302">
        <f>E152-E153</f>
        <v>169041606</v>
      </c>
      <c r="F154" s="37"/>
      <c r="G154" s="201"/>
      <c r="H154" s="164"/>
    </row>
    <row r="155" spans="1:8" ht="12.75">
      <c r="A155" s="171"/>
      <c r="B155" s="130"/>
      <c r="C155" s="112"/>
      <c r="D155" s="119"/>
      <c r="E155" s="144"/>
      <c r="F155" s="37"/>
      <c r="G155" s="201"/>
      <c r="H155" s="164"/>
    </row>
    <row r="156" spans="1:8" ht="12.75">
      <c r="A156" s="171" t="s">
        <v>355</v>
      </c>
      <c r="B156" s="130"/>
      <c r="C156" s="112"/>
      <c r="D156" s="119" t="s">
        <v>231</v>
      </c>
      <c r="E156" s="306">
        <f>'Tax Rates 2001'!C54</f>
        <v>0.003</v>
      </c>
      <c r="F156" s="37"/>
      <c r="G156" s="201"/>
      <c r="H156" s="164"/>
    </row>
    <row r="157" spans="1:8" ht="12.75">
      <c r="A157" s="171"/>
      <c r="B157" s="130"/>
      <c r="C157" s="112"/>
      <c r="D157" s="119"/>
      <c r="E157" s="144"/>
      <c r="F157" s="37"/>
      <c r="G157" s="201"/>
      <c r="H157" s="164"/>
    </row>
    <row r="158" spans="1:8" ht="12.75">
      <c r="A158" s="171" t="s">
        <v>234</v>
      </c>
      <c r="B158" s="130"/>
      <c r="C158" s="112"/>
      <c r="D158" s="119" t="s">
        <v>189</v>
      </c>
      <c r="E158" s="302">
        <f>IF(E154&gt;0,E154*E156*B9/B10,0)</f>
        <v>127823.24179726029</v>
      </c>
      <c r="F158" s="37"/>
      <c r="G158" s="201"/>
      <c r="H158" s="164"/>
    </row>
    <row r="159" spans="1:8" ht="25.5">
      <c r="A159" s="171" t="s">
        <v>487</v>
      </c>
      <c r="B159" s="130"/>
      <c r="C159" s="112"/>
      <c r="D159" s="118" t="s">
        <v>188</v>
      </c>
      <c r="E159" s="305">
        <f>C73</f>
        <v>127823.24179726029</v>
      </c>
      <c r="F159" s="37"/>
      <c r="G159" s="201"/>
      <c r="H159" s="164"/>
    </row>
    <row r="160" spans="1:8" ht="12.75" customHeight="1">
      <c r="A160" s="172" t="s">
        <v>243</v>
      </c>
      <c r="B160" s="130"/>
      <c r="C160" s="112"/>
      <c r="D160" s="118" t="s">
        <v>189</v>
      </c>
      <c r="E160" s="472">
        <f>E158-E159</f>
        <v>0</v>
      </c>
      <c r="F160" s="37"/>
      <c r="G160" s="201"/>
      <c r="H160" s="164"/>
    </row>
    <row r="161" spans="1:8" ht="12.75">
      <c r="A161" s="171"/>
      <c r="B161" s="130"/>
      <c r="C161" s="112"/>
      <c r="D161" s="119"/>
      <c r="E161" s="144"/>
      <c r="F161" s="37"/>
      <c r="G161" s="201"/>
      <c r="H161" s="164"/>
    </row>
    <row r="162" spans="1:8" ht="12.75">
      <c r="A162" s="387" t="s">
        <v>236</v>
      </c>
      <c r="B162" s="130"/>
      <c r="C162" s="112"/>
      <c r="D162" s="119"/>
      <c r="E162" s="304"/>
      <c r="F162" s="37"/>
      <c r="G162" s="201"/>
      <c r="H162" s="164"/>
    </row>
    <row r="163" spans="1:8" ht="12.75">
      <c r="A163" s="171" t="s">
        <v>17</v>
      </c>
      <c r="B163" s="130"/>
      <c r="C163" s="112"/>
      <c r="D163" s="119"/>
      <c r="E163" s="302">
        <f>C76</f>
        <v>174041606</v>
      </c>
      <c r="F163" s="37"/>
      <c r="G163" s="201"/>
      <c r="H163" s="164"/>
    </row>
    <row r="164" spans="1:8" ht="12.75">
      <c r="A164" s="171" t="s">
        <v>353</v>
      </c>
      <c r="B164" s="130"/>
      <c r="C164" s="112"/>
      <c r="D164" s="118" t="s">
        <v>188</v>
      </c>
      <c r="E164" s="305">
        <f>IF(E163&gt;0,'Tax Rates 2001'!C40,0)</f>
        <v>10000000</v>
      </c>
      <c r="F164" s="37"/>
      <c r="G164" s="201"/>
      <c r="H164" s="164"/>
    </row>
    <row r="165" spans="1:8" ht="12.75">
      <c r="A165" s="171" t="s">
        <v>239</v>
      </c>
      <c r="B165" s="130"/>
      <c r="C165" s="112"/>
      <c r="D165" s="119" t="s">
        <v>189</v>
      </c>
      <c r="E165" s="302">
        <f>E163-E164</f>
        <v>164041606</v>
      </c>
      <c r="F165" s="37"/>
      <c r="G165" s="201"/>
      <c r="H165" s="164"/>
    </row>
    <row r="166" spans="1:8" ht="12.75">
      <c r="A166" s="171"/>
      <c r="B166" s="130"/>
      <c r="C166" s="112"/>
      <c r="D166" s="119"/>
      <c r="E166" s="144"/>
      <c r="F166" s="37"/>
      <c r="G166" s="201"/>
      <c r="H166" s="164"/>
    </row>
    <row r="167" spans="1:8" ht="12.75">
      <c r="A167" s="171" t="s">
        <v>304</v>
      </c>
      <c r="B167" s="130"/>
      <c r="C167" s="112"/>
      <c r="D167" s="119"/>
      <c r="E167" s="306">
        <f>'Tax Rates 2001'!C55</f>
        <v>0.00225</v>
      </c>
      <c r="F167" s="37"/>
      <c r="G167" s="201"/>
      <c r="H167" s="164"/>
    </row>
    <row r="168" spans="1:8" ht="12.75">
      <c r="A168" s="171"/>
      <c r="B168" s="130"/>
      <c r="C168" s="112"/>
      <c r="D168" s="119"/>
      <c r="E168" s="144"/>
      <c r="F168" s="37"/>
      <c r="G168" s="201"/>
      <c r="H168" s="164"/>
    </row>
    <row r="169" spans="1:8" ht="12.75">
      <c r="A169" s="171" t="s">
        <v>240</v>
      </c>
      <c r="B169" s="130"/>
      <c r="C169" s="112"/>
      <c r="D169" s="119"/>
      <c r="E169" s="302">
        <f>IF(E165&gt;0,E165*E167*B9/B10,0)</f>
        <v>93031.81490958904</v>
      </c>
      <c r="F169" s="37"/>
      <c r="G169" s="201"/>
      <c r="H169" s="164"/>
    </row>
    <row r="170" spans="1:8" ht="12.75">
      <c r="A170" s="171" t="s">
        <v>314</v>
      </c>
      <c r="B170" s="130"/>
      <c r="C170" s="112"/>
      <c r="D170" s="118" t="s">
        <v>188</v>
      </c>
      <c r="E170" s="307">
        <f>IF(E165&gt;0,IF(E145&gt;0,E137*'Tax Rates 2001'!C56,0),0)</f>
        <v>31060.439924041766</v>
      </c>
      <c r="F170" s="37"/>
      <c r="G170" s="201"/>
      <c r="H170" s="164"/>
    </row>
    <row r="171" spans="1:8" ht="12.75">
      <c r="A171" s="171" t="s">
        <v>241</v>
      </c>
      <c r="B171" s="130"/>
      <c r="C171" s="112"/>
      <c r="D171" s="119" t="s">
        <v>189</v>
      </c>
      <c r="E171" s="302">
        <f>E169-E170</f>
        <v>61971.37498554727</v>
      </c>
      <c r="F171" s="37"/>
      <c r="G171" s="201"/>
      <c r="H171" s="164"/>
    </row>
    <row r="172" spans="1:8" ht="12.75">
      <c r="A172" s="171"/>
      <c r="B172" s="130"/>
      <c r="C172" s="112"/>
      <c r="D172" s="119"/>
      <c r="E172" s="241"/>
      <c r="F172" s="37"/>
      <c r="G172" s="201"/>
      <c r="H172" s="164"/>
    </row>
    <row r="173" spans="1:8" ht="12.75">
      <c r="A173" s="415" t="s">
        <v>488</v>
      </c>
      <c r="B173" s="130"/>
      <c r="C173" s="112"/>
      <c r="D173" s="118" t="s">
        <v>188</v>
      </c>
      <c r="E173" s="305">
        <f>C85</f>
        <v>61971.37498554727</v>
      </c>
      <c r="F173" s="37"/>
      <c r="G173" s="201"/>
      <c r="H173" s="164"/>
    </row>
    <row r="174" spans="1:8" ht="12.75">
      <c r="A174" s="155" t="s">
        <v>244</v>
      </c>
      <c r="B174" s="130"/>
      <c r="C174" s="112"/>
      <c r="D174" s="119" t="s">
        <v>189</v>
      </c>
      <c r="E174" s="472">
        <f>E171-E173</f>
        <v>0</v>
      </c>
      <c r="F174" s="37"/>
      <c r="G174" s="201"/>
      <c r="H174" s="164"/>
    </row>
    <row r="175" spans="1:8" ht="12.75">
      <c r="A175" s="155"/>
      <c r="B175" s="130"/>
      <c r="C175" s="112"/>
      <c r="D175" s="119"/>
      <c r="E175" s="144"/>
      <c r="F175" s="37"/>
      <c r="G175" s="201"/>
      <c r="H175" s="164"/>
    </row>
    <row r="176" spans="1:8" ht="12.75">
      <c r="A176" s="155" t="s">
        <v>342</v>
      </c>
      <c r="B176" s="130"/>
      <c r="C176" s="112"/>
      <c r="D176" s="119"/>
      <c r="E176" s="467">
        <f>IF((E121+G51)&gt;'Tax Rates 2001'!E47,'Tax Rates 2001'!F52-1.12%,IF((E121+G51)&gt;'Tax Rates 2001'!D47,'Tax Rates 2001'!E52-1.12%,IF((E121+G51)&gt;'Tax Rates 2001'!C47,'Tax Rates 2001'!D52,'Tax Rates 2001'!C52-1.12%)))</f>
        <v>0.18</v>
      </c>
      <c r="F176" s="468"/>
      <c r="G176" s="201"/>
      <c r="H176" s="164"/>
    </row>
    <row r="177" spans="1:8" ht="12.75">
      <c r="A177" s="155"/>
      <c r="B177" s="130"/>
      <c r="C177" s="112"/>
      <c r="D177" s="119"/>
      <c r="E177" s="144"/>
      <c r="F177" s="37"/>
      <c r="G177" s="201"/>
      <c r="H177" s="164"/>
    </row>
    <row r="178" spans="1:8" ht="12.75">
      <c r="A178" s="168" t="s">
        <v>242</v>
      </c>
      <c r="B178" s="130"/>
      <c r="C178" s="112"/>
      <c r="D178" s="119" t="s">
        <v>187</v>
      </c>
      <c r="E178" s="302">
        <f>E149/(1-E176)</f>
        <v>0</v>
      </c>
      <c r="F178" s="37"/>
      <c r="G178" s="201"/>
      <c r="H178" s="164"/>
    </row>
    <row r="179" spans="1:8" ht="12.75">
      <c r="A179" s="168" t="s">
        <v>33</v>
      </c>
      <c r="B179" s="130"/>
      <c r="C179" s="112"/>
      <c r="D179" s="119" t="s">
        <v>187</v>
      </c>
      <c r="E179" s="302">
        <f>E174/(1-E176)</f>
        <v>0</v>
      </c>
      <c r="F179" s="37"/>
      <c r="G179" s="201"/>
      <c r="H179" s="164"/>
    </row>
    <row r="180" spans="1:8" ht="12.75">
      <c r="A180" s="168" t="s">
        <v>20</v>
      </c>
      <c r="B180" s="130"/>
      <c r="C180" s="112"/>
      <c r="D180" s="119" t="s">
        <v>187</v>
      </c>
      <c r="E180" s="302">
        <f>E160</f>
        <v>0</v>
      </c>
      <c r="F180" s="37"/>
      <c r="G180" s="201"/>
      <c r="H180" s="164"/>
    </row>
    <row r="181" spans="1:8" ht="12.75">
      <c r="A181" s="155"/>
      <c r="B181" s="130"/>
      <c r="C181" s="112"/>
      <c r="D181" s="119"/>
      <c r="E181" s="144"/>
      <c r="F181" s="37"/>
      <c r="G181" s="201"/>
      <c r="H181" s="164"/>
    </row>
    <row r="182" spans="1:8" ht="12.75">
      <c r="A182" s="168" t="s">
        <v>349</v>
      </c>
      <c r="B182" s="130"/>
      <c r="C182" s="112"/>
      <c r="D182" s="119" t="s">
        <v>189</v>
      </c>
      <c r="E182" s="302">
        <f>SUM(E178:E180)</f>
        <v>0</v>
      </c>
      <c r="F182" s="37"/>
      <c r="G182" s="201"/>
      <c r="H182" s="164"/>
    </row>
    <row r="183" spans="1:8" ht="12.75">
      <c r="A183" s="155"/>
      <c r="B183" s="130"/>
      <c r="C183" s="112"/>
      <c r="D183" s="119"/>
      <c r="E183" s="144"/>
      <c r="F183" s="37"/>
      <c r="G183" s="201"/>
      <c r="H183" s="164"/>
    </row>
    <row r="184" spans="1:8" ht="12.75">
      <c r="A184" s="168" t="s">
        <v>489</v>
      </c>
      <c r="B184" s="130"/>
      <c r="C184" s="112"/>
      <c r="D184" s="119" t="s">
        <v>187</v>
      </c>
      <c r="E184" s="302">
        <f>E133</f>
        <v>15545.454545454546</v>
      </c>
      <c r="F184" s="37" t="s">
        <v>102</v>
      </c>
      <c r="G184" s="201"/>
      <c r="H184" s="164"/>
    </row>
    <row r="185" spans="1:8" ht="12.75">
      <c r="A185" s="168"/>
      <c r="B185" s="130"/>
      <c r="C185" s="112"/>
      <c r="D185" s="119"/>
      <c r="E185" s="144"/>
      <c r="F185" s="37"/>
      <c r="G185" s="201"/>
      <c r="H185" s="164"/>
    </row>
    <row r="186" spans="1:8" ht="15">
      <c r="A186" s="173" t="s">
        <v>350</v>
      </c>
      <c r="B186" s="130"/>
      <c r="C186" s="112"/>
      <c r="D186" s="119" t="s">
        <v>189</v>
      </c>
      <c r="E186" s="302">
        <f>E182+E184</f>
        <v>15545.454545454546</v>
      </c>
      <c r="F186" s="37"/>
      <c r="G186" s="201"/>
      <c r="H186" s="164"/>
    </row>
    <row r="187" spans="1:8" ht="12.75">
      <c r="A187" s="162" t="s">
        <v>247</v>
      </c>
      <c r="B187" s="127"/>
      <c r="C187" s="112"/>
      <c r="D187" s="119"/>
      <c r="E187" s="146"/>
      <c r="F187" s="37"/>
      <c r="G187" s="201"/>
      <c r="H187" s="164"/>
    </row>
    <row r="188" spans="1:8" ht="12.75">
      <c r="A188" s="162"/>
      <c r="B188" s="127"/>
      <c r="C188" s="112"/>
      <c r="D188" s="119"/>
      <c r="E188" s="147"/>
      <c r="F188" s="37"/>
      <c r="G188" s="201"/>
      <c r="H188" s="164"/>
    </row>
    <row r="189" spans="1:8" ht="13.5" thickBot="1">
      <c r="A189" s="150"/>
      <c r="B189" s="127"/>
      <c r="C189" s="112"/>
      <c r="D189" s="119"/>
      <c r="E189" s="147"/>
      <c r="F189" s="37"/>
      <c r="G189" s="201"/>
      <c r="H189" s="164"/>
    </row>
    <row r="190" spans="1:8" ht="13.5" thickTop="1">
      <c r="A190" s="174"/>
      <c r="B190" s="131"/>
      <c r="C190" s="113"/>
      <c r="D190" s="99"/>
      <c r="E190" s="148"/>
      <c r="F190" s="7"/>
      <c r="G190" s="124"/>
      <c r="H190" s="175"/>
    </row>
    <row r="191" spans="1:8" ht="12.75">
      <c r="A191" s="168" t="s">
        <v>58</v>
      </c>
      <c r="B191" s="127"/>
      <c r="C191" s="114"/>
      <c r="D191" s="119"/>
      <c r="E191" s="146"/>
      <c r="F191" s="3"/>
      <c r="G191" s="123"/>
      <c r="H191" s="164"/>
    </row>
    <row r="192" spans="1:8" ht="12.75">
      <c r="A192" s="154" t="s">
        <v>83</v>
      </c>
      <c r="B192" s="123"/>
      <c r="C192" s="115"/>
      <c r="D192" s="119"/>
      <c r="E192" s="147"/>
      <c r="F192" s="3"/>
      <c r="G192" s="123"/>
      <c r="H192" s="164"/>
    </row>
    <row r="193" spans="1:8" ht="12.75">
      <c r="A193" s="154"/>
      <c r="B193" s="123"/>
      <c r="C193" s="115"/>
      <c r="D193" s="119"/>
      <c r="E193" s="147"/>
      <c r="F193" s="3"/>
      <c r="G193" s="123"/>
      <c r="H193" s="164"/>
    </row>
    <row r="194" spans="1:8" ht="12.75">
      <c r="A194" s="155" t="s">
        <v>224</v>
      </c>
      <c r="B194" s="127"/>
      <c r="C194" s="112"/>
      <c r="D194" s="120"/>
      <c r="E194" s="308">
        <f>REGINFO!D62</f>
        <v>6700601.831000001</v>
      </c>
      <c r="F194" s="3"/>
      <c r="G194" s="123"/>
      <c r="H194" s="164"/>
    </row>
    <row r="195" spans="1:8" ht="12.75">
      <c r="A195" s="155" t="s">
        <v>490</v>
      </c>
      <c r="B195" s="127"/>
      <c r="C195" s="112"/>
      <c r="D195" s="120"/>
      <c r="E195" s="308">
        <f>REGINFO!D64</f>
        <v>4067610.9526669886</v>
      </c>
      <c r="F195" s="476" t="s">
        <v>493</v>
      </c>
      <c r="G195" s="123"/>
      <c r="H195" s="164"/>
    </row>
    <row r="196" spans="1:8" ht="12.75">
      <c r="A196" s="155"/>
      <c r="B196" s="127"/>
      <c r="C196" s="112"/>
      <c r="D196" s="120"/>
      <c r="E196" s="149"/>
      <c r="F196" s="3"/>
      <c r="G196" s="123"/>
      <c r="H196" s="164"/>
    </row>
    <row r="197" spans="1:8" ht="12.75">
      <c r="A197" s="155" t="s">
        <v>339</v>
      </c>
      <c r="B197" s="127"/>
      <c r="C197" s="112"/>
      <c r="D197" s="120"/>
      <c r="E197" s="308">
        <f>E194-E195</f>
        <v>2632990.8783330126</v>
      </c>
      <c r="F197" s="3"/>
      <c r="G197" s="123"/>
      <c r="H197" s="164"/>
    </row>
    <row r="198" spans="1:8" ht="12.75">
      <c r="A198" s="155" t="s">
        <v>340</v>
      </c>
      <c r="B198" s="127"/>
      <c r="C198" s="112"/>
      <c r="D198" s="120"/>
      <c r="E198" s="147"/>
      <c r="F198" s="3"/>
      <c r="G198" s="123"/>
      <c r="H198" s="164"/>
    </row>
    <row r="199" spans="1:8" ht="12.75">
      <c r="A199" s="155"/>
      <c r="B199" s="127"/>
      <c r="C199" s="112"/>
      <c r="D199" s="120"/>
      <c r="E199" s="147"/>
      <c r="F199" s="3"/>
      <c r="G199" s="123"/>
      <c r="H199" s="164"/>
    </row>
    <row r="200" spans="1:8" ht="12.75">
      <c r="A200" s="168" t="s">
        <v>253</v>
      </c>
      <c r="B200" s="127"/>
      <c r="C200" s="112"/>
      <c r="D200" s="120"/>
      <c r="E200" s="147"/>
      <c r="F200" s="3"/>
      <c r="G200" s="123"/>
      <c r="H200" s="164"/>
    </row>
    <row r="201" spans="1:8" ht="12.75">
      <c r="A201" s="176" t="s">
        <v>85</v>
      </c>
      <c r="B201" s="127"/>
      <c r="C201" s="112"/>
      <c r="D201" s="120"/>
      <c r="E201" s="147"/>
      <c r="F201" s="3"/>
      <c r="G201" s="123"/>
      <c r="H201" s="164"/>
    </row>
    <row r="202" spans="1:8" ht="12.75">
      <c r="A202" s="155" t="s">
        <v>492</v>
      </c>
      <c r="B202" s="127"/>
      <c r="C202" s="112"/>
      <c r="D202" s="120"/>
      <c r="E202" s="308">
        <f>G38+G43</f>
        <v>39000</v>
      </c>
      <c r="F202" s="3"/>
      <c r="G202" s="123"/>
      <c r="H202" s="164"/>
    </row>
    <row r="203" spans="1:8" ht="12.75">
      <c r="A203" s="155" t="s">
        <v>341</v>
      </c>
      <c r="B203" s="127"/>
      <c r="C203" s="112"/>
      <c r="D203" s="120"/>
      <c r="E203" s="308">
        <f>REGINFO!D62</f>
        <v>6700601.831000001</v>
      </c>
      <c r="F203" s="3"/>
      <c r="G203" s="123"/>
      <c r="H203" s="164"/>
    </row>
    <row r="204" spans="1:8" ht="12.75">
      <c r="A204" s="155"/>
      <c r="B204" s="127"/>
      <c r="C204" s="112"/>
      <c r="D204" s="120"/>
      <c r="E204" s="149"/>
      <c r="F204" s="3"/>
      <c r="G204" s="123"/>
      <c r="H204" s="164"/>
    </row>
    <row r="205" spans="1:8" ht="12.75">
      <c r="A205" s="155" t="s">
        <v>84</v>
      </c>
      <c r="B205" s="127"/>
      <c r="C205" s="112"/>
      <c r="D205" s="120"/>
      <c r="E205" s="303">
        <f>IF((E202-E203)&gt;0,E202-E203,0)</f>
        <v>0</v>
      </c>
      <c r="F205" s="3"/>
      <c r="G205" s="123"/>
      <c r="H205" s="164"/>
    </row>
    <row r="206" spans="1:8" ht="12.75">
      <c r="A206" s="155"/>
      <c r="B206" s="127"/>
      <c r="C206" s="112"/>
      <c r="D206" s="120"/>
      <c r="E206" s="149"/>
      <c r="F206" s="3"/>
      <c r="G206" s="123"/>
      <c r="H206" s="164"/>
    </row>
    <row r="207" spans="1:8" ht="12.75">
      <c r="A207" s="168" t="s">
        <v>485</v>
      </c>
      <c r="B207" s="127"/>
      <c r="C207" s="112"/>
      <c r="D207" s="120"/>
      <c r="E207" s="469">
        <f>IF((E202-E203)&gt;0,E202-E203,0)</f>
        <v>0</v>
      </c>
      <c r="F207" s="3"/>
      <c r="G207" s="123"/>
      <c r="H207" s="164"/>
    </row>
    <row r="208" spans="1:8" ht="12.75">
      <c r="A208" s="155"/>
      <c r="B208" s="127"/>
      <c r="C208" s="112"/>
      <c r="D208" s="120"/>
      <c r="E208" s="149"/>
      <c r="F208" s="3"/>
      <c r="G208" s="123"/>
      <c r="H208" s="164"/>
    </row>
    <row r="209" spans="1:8" ht="13.5" thickBot="1">
      <c r="A209" s="177" t="s">
        <v>225</v>
      </c>
      <c r="B209" s="178"/>
      <c r="C209" s="179"/>
      <c r="D209" s="180"/>
      <c r="E209" s="309">
        <f>+E197-E205</f>
        <v>2632990.8783330126</v>
      </c>
      <c r="F209" s="74"/>
      <c r="G209" s="202"/>
      <c r="H209" s="181"/>
    </row>
    <row r="210" spans="1:5" ht="12.75">
      <c r="A210" s="35"/>
      <c r="B210" s="8"/>
      <c r="C210" s="22"/>
      <c r="D210" s="100"/>
      <c r="E210" s="96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5"/>
    </row>
    <row r="213" spans="2:5" ht="12.75">
      <c r="B213" s="8"/>
      <c r="C213" s="22"/>
      <c r="D213" s="100"/>
      <c r="E213" s="95"/>
    </row>
    <row r="214" spans="2:5" ht="12.75">
      <c r="B214" s="8"/>
      <c r="C214" s="5"/>
      <c r="D214" s="85"/>
      <c r="E214" s="97"/>
    </row>
    <row r="215" spans="2:5" ht="12.75">
      <c r="B215" s="8"/>
      <c r="C215" s="6"/>
      <c r="D215" s="85"/>
      <c r="E215" s="94"/>
    </row>
    <row r="216" spans="2:5" ht="12.75">
      <c r="B216" s="8"/>
      <c r="C216" s="5"/>
      <c r="D216" s="85"/>
      <c r="E216" s="93"/>
    </row>
    <row r="217" spans="2:5" ht="12.75">
      <c r="B217" s="8"/>
      <c r="C217" s="5"/>
      <c r="D217" s="85"/>
      <c r="E217" s="97"/>
    </row>
    <row r="218" spans="2:5" ht="12.75">
      <c r="B218" s="8"/>
      <c r="C218" s="5"/>
      <c r="D218" s="85"/>
      <c r="E218" s="93"/>
    </row>
    <row r="219" spans="4:5" ht="12.75">
      <c r="D219" s="85"/>
      <c r="E219" s="98"/>
    </row>
    <row r="220" spans="4:5" ht="12.75">
      <c r="D220" s="85"/>
      <c r="E220" s="72"/>
    </row>
    <row r="221" spans="4:5" ht="12.75"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3:5" ht="12.75">
      <c r="C224" t="s">
        <v>102</v>
      </c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  <row r="251" spans="4:5" ht="12.75">
      <c r="D251" s="85"/>
      <c r="E251" s="72"/>
    </row>
  </sheetData>
  <sheetProtection/>
  <printOptions gridLines="1" headings="1"/>
  <pageMargins left="0.354330708661417" right="0.0393700787401575" top="0.15748031496063" bottom="0.236220472440945" header="0.511811023622047" footer="0"/>
  <pageSetup fitToHeight="2" fitToWidth="1" horizontalDpi="600" verticalDpi="600" orientation="portrait" scale="48" r:id="rId1"/>
  <headerFooter alignWithMargins="0">
    <oddHeader>&amp;RLondon Hydro Inc.
EB-2011-0181
Deferred PILs 1562 Disposition
Appendix C]</oddHeader>
    <oddFooter>&amp;RLondon Hydro Inc.
EB-2011-0181
Deferred PILs 1562 Disposition
Appendix C]</oddFooter>
  </headerFooter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4"/>
  <sheetViews>
    <sheetView view="pageLayout" workbookViewId="0" topLeftCell="A19">
      <selection activeCell="G150" sqref="G15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London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4">
        <f>REGINFO!B6</f>
        <v>92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f>Ratebase*REGINFO!D33*0.25%</f>
        <v>195796.80675000002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80" t="s">
        <v>497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480" t="s">
        <v>498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480" t="s">
        <v>498</v>
      </c>
      <c r="D16" s="25"/>
      <c r="E16" s="25"/>
      <c r="F16" s="20"/>
      <c r="G16" s="3"/>
      <c r="H16" s="3"/>
      <c r="I16" s="3"/>
    </row>
    <row r="17" spans="1:6" ht="12.75">
      <c r="A17" s="2" t="s">
        <v>280</v>
      </c>
      <c r="B17" s="20" t="s">
        <v>64</v>
      </c>
      <c r="C17" s="480" t="s">
        <v>498</v>
      </c>
      <c r="E17" s="26"/>
      <c r="F17" s="8"/>
    </row>
    <row r="18" spans="1:6" ht="12.75">
      <c r="A18" s="55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321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255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319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320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269</v>
      </c>
      <c r="B31" s="23" t="s">
        <v>187</v>
      </c>
      <c r="C31" s="285">
        <v>0</v>
      </c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2490000</v>
      </c>
      <c r="D32" s="286"/>
      <c r="E32" s="284">
        <f>C32-D32</f>
        <v>2490000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2052000</v>
      </c>
      <c r="D33" s="286"/>
      <c r="E33" s="284">
        <f>C33-D33</f>
        <v>2052000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281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0</v>
      </c>
      <c r="D39" s="286"/>
      <c r="E39" s="284">
        <f>C39-D39</f>
        <v>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3265000</v>
      </c>
      <c r="D40" s="286"/>
      <c r="E40" s="284">
        <f aca="true" t="shared" si="0" ref="E40:E48">C40-D40</f>
        <v>3265000</v>
      </c>
      <c r="F40" s="11"/>
      <c r="G40" s="11"/>
      <c r="H40" s="6"/>
      <c r="I40" s="6"/>
    </row>
    <row r="41" spans="1:9" ht="12.75">
      <c r="A41" s="4" t="s">
        <v>270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271</v>
      </c>
      <c r="B42" s="23" t="s">
        <v>188</v>
      </c>
      <c r="C42" s="285">
        <v>1718000</v>
      </c>
      <c r="D42" s="286"/>
      <c r="E42" s="284">
        <f t="shared" si="0"/>
        <v>1718000</v>
      </c>
      <c r="F42" s="11"/>
      <c r="G42" s="11"/>
      <c r="H42" s="6"/>
      <c r="I42" s="6"/>
    </row>
    <row r="43" spans="1:9" ht="12.75">
      <c r="A43" s="4" t="s">
        <v>272</v>
      </c>
      <c r="B43" s="23" t="s">
        <v>188</v>
      </c>
      <c r="C43" s="285">
        <v>2841000</v>
      </c>
      <c r="D43" s="286"/>
      <c r="E43" s="284">
        <f t="shared" si="0"/>
        <v>2841000</v>
      </c>
      <c r="F43" s="11"/>
      <c r="G43" s="11"/>
      <c r="H43" s="6"/>
      <c r="I43" s="6"/>
    </row>
    <row r="44" spans="1:9" ht="12.75">
      <c r="A44" s="4" t="s">
        <v>273</v>
      </c>
      <c r="B44" s="23" t="s">
        <v>188</v>
      </c>
      <c r="C44" s="285">
        <v>128000</v>
      </c>
      <c r="D44" s="286"/>
      <c r="E44" s="284">
        <f t="shared" si="0"/>
        <v>128000</v>
      </c>
      <c r="F44" s="11"/>
      <c r="G44" s="11"/>
      <c r="H44" s="6"/>
      <c r="I44" s="6"/>
    </row>
    <row r="45" spans="1:11" ht="12.75">
      <c r="A45" s="484" t="s">
        <v>218</v>
      </c>
      <c r="B45" s="23" t="s">
        <v>188</v>
      </c>
      <c r="C45" s="285">
        <v>102000</v>
      </c>
      <c r="D45" s="286"/>
      <c r="E45" s="284">
        <f t="shared" si="0"/>
        <v>102000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-3512000</v>
      </c>
      <c r="D50" s="281">
        <f>SUM(D31:D36)-SUM(D39:D49)</f>
        <v>0</v>
      </c>
      <c r="E50" s="281">
        <f>SUM(E31:E35)-SUM(E39:E48)</f>
        <v>-3512000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39000</v>
      </c>
      <c r="D51" s="285"/>
      <c r="E51" s="282">
        <f>+C51-D51</f>
        <v>39000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>
        <v>-755000</v>
      </c>
      <c r="D52" s="285"/>
      <c r="E52" s="283">
        <f>+C52-D52</f>
        <v>-755000</v>
      </c>
      <c r="F52" s="8"/>
    </row>
    <row r="53" spans="1:6" ht="12.75">
      <c r="A53" s="2" t="s">
        <v>131</v>
      </c>
      <c r="B53" s="8" t="s">
        <v>189</v>
      </c>
      <c r="C53" s="281">
        <f>C50-C51-C52</f>
        <v>-2796000</v>
      </c>
      <c r="D53" s="281">
        <f>D50-D51-D52</f>
        <v>0</v>
      </c>
      <c r="E53" s="281">
        <f>E50-E51-E52</f>
        <v>-2796000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>
        <f>+C52</f>
        <v>-755000</v>
      </c>
      <c r="D59" s="287">
        <f>D52</f>
        <v>0</v>
      </c>
      <c r="E59" s="272">
        <f>+C59-D59</f>
        <v>-755000</v>
      </c>
      <c r="F59" s="8"/>
    </row>
    <row r="60" spans="1:6" ht="12.75">
      <c r="A60" s="4" t="s">
        <v>322</v>
      </c>
      <c r="B60" s="8" t="s">
        <v>187</v>
      </c>
      <c r="C60" s="318">
        <v>102000</v>
      </c>
      <c r="D60" s="318"/>
      <c r="E60" s="272">
        <f>+C60-D60</f>
        <v>102000</v>
      </c>
      <c r="F60" s="8"/>
    </row>
    <row r="61" spans="1:6" ht="12.75">
      <c r="A61" t="s">
        <v>4</v>
      </c>
      <c r="B61" s="8" t="s">
        <v>187</v>
      </c>
      <c r="C61" s="287">
        <f>C43</f>
        <v>2841000</v>
      </c>
      <c r="D61" s="287">
        <f>D43</f>
        <v>0</v>
      </c>
      <c r="E61" s="272">
        <f>+C61-D61</f>
        <v>2841000</v>
      </c>
      <c r="F61" s="8"/>
    </row>
    <row r="62" spans="1:6" ht="12.75">
      <c r="A62" t="s">
        <v>6</v>
      </c>
      <c r="B62" s="8" t="s">
        <v>187</v>
      </c>
      <c r="C62" s="318">
        <v>0</v>
      </c>
      <c r="D62" s="287">
        <v>0</v>
      </c>
      <c r="E62" s="272">
        <f>+C62-D62</f>
        <v>0</v>
      </c>
      <c r="F62" s="8"/>
    </row>
    <row r="63" spans="1:6" ht="12.75">
      <c r="A63" s="31" t="s">
        <v>274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437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5" t="s">
        <v>389</v>
      </c>
      <c r="B66" s="8"/>
      <c r="C66" s="445">
        <f>'TAXREC 3'!C47</f>
        <v>0</v>
      </c>
      <c r="D66" s="445">
        <f>'TAXREC 3'!D47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2188000</v>
      </c>
      <c r="D70" s="272">
        <f>SUM(D59:D68)</f>
        <v>0</v>
      </c>
      <c r="E70" s="272">
        <f>SUM(E59:E68)</f>
        <v>2188000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294"/>
      <c r="D76" s="294"/>
      <c r="E76" s="2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2188000</v>
      </c>
      <c r="D82" s="251">
        <f>D70+D80</f>
        <v>0</v>
      </c>
      <c r="E82" s="251">
        <f>E70+E80</f>
        <v>2188000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425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3251810</v>
      </c>
      <c r="D97" s="294"/>
      <c r="E97" s="272">
        <f>+C97-D97</f>
        <v>3251810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>
        <v>0</v>
      </c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257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275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5" t="s">
        <v>389</v>
      </c>
      <c r="B108" s="8"/>
      <c r="C108" s="254">
        <f>'TAXREC 3'!C73</f>
        <v>1014000</v>
      </c>
      <c r="D108" s="254">
        <f>'TAXREC 3'!D73</f>
        <v>0</v>
      </c>
      <c r="E108" s="272">
        <f t="shared" si="5"/>
        <v>1014000</v>
      </c>
      <c r="F108" s="8"/>
      <c r="G108" s="483" t="s">
        <v>511</v>
      </c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4265810</v>
      </c>
      <c r="D113" s="251">
        <f>SUM(D97:D111)</f>
        <v>0</v>
      </c>
      <c r="E113" s="251">
        <f>SUM(E97:E111)</f>
        <v>4265810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>
        <v>0</v>
      </c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4265810</v>
      </c>
      <c r="D122" s="251">
        <f>D113+D120</f>
        <v>0</v>
      </c>
      <c r="E122" s="251">
        <f>+E113+E120</f>
        <v>4265810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83" t="s">
        <v>102</v>
      </c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83" t="s">
        <v>102</v>
      </c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83" t="s">
        <v>102</v>
      </c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83" t="s">
        <v>102</v>
      </c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82" t="s">
        <v>102</v>
      </c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-4873810</v>
      </c>
      <c r="D134" s="251">
        <f>D53+D82-D122</f>
        <v>0</v>
      </c>
      <c r="E134" s="251">
        <f>E53+E82-E122</f>
        <v>-4873810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371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372</v>
      </c>
      <c r="B137" s="8" t="s">
        <v>188</v>
      </c>
      <c r="C137" s="310">
        <v>0</v>
      </c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-4873810</v>
      </c>
      <c r="D139" s="252">
        <f>D134-D136-D137-D138</f>
        <v>0</v>
      </c>
      <c r="E139" s="252">
        <f>E134-E136-E137-E138</f>
        <v>-4873810</v>
      </c>
      <c r="F139" s="8"/>
      <c r="G139" s="482" t="s">
        <v>102</v>
      </c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301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187</v>
      </c>
      <c r="C142" s="298">
        <v>0</v>
      </c>
      <c r="D142" s="298"/>
      <c r="E142" s="252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187</v>
      </c>
      <c r="C143" s="298">
        <v>0</v>
      </c>
      <c r="D143" s="298"/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301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25.5">
      <c r="A149" s="46" t="s">
        <v>324</v>
      </c>
      <c r="B149" s="8"/>
      <c r="C149" s="405">
        <v>0.2812</v>
      </c>
      <c r="D149" s="5"/>
      <c r="E149" s="406">
        <f>C149</f>
        <v>0.2812</v>
      </c>
      <c r="F149" s="8"/>
      <c r="G149" s="504" t="s">
        <v>462</v>
      </c>
      <c r="H149" s="45"/>
      <c r="I149" s="45"/>
      <c r="J149" s="45"/>
      <c r="K149" s="45"/>
    </row>
    <row r="150" spans="1:11" ht="25.5">
      <c r="A150" s="46" t="s">
        <v>325</v>
      </c>
      <c r="B150" s="8"/>
      <c r="C150" s="405">
        <v>0.125</v>
      </c>
      <c r="D150" s="5"/>
      <c r="E150" s="406">
        <f>C150</f>
        <v>0.125</v>
      </c>
      <c r="F150" s="8"/>
      <c r="G150" s="504" t="s">
        <v>463</v>
      </c>
      <c r="H150" s="45"/>
      <c r="I150" s="45"/>
      <c r="J150" s="45"/>
      <c r="K150" s="45"/>
    </row>
    <row r="151" spans="1:11" ht="12.75">
      <c r="A151" t="s">
        <v>326</v>
      </c>
      <c r="B151" s="8"/>
      <c r="C151" s="406">
        <f>SUM(C149:C150)</f>
        <v>0.4062</v>
      </c>
      <c r="D151" s="5"/>
      <c r="E151" s="406">
        <f>SUM(E149:E150)</f>
        <v>0.4062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352</v>
      </c>
      <c r="B153" s="8"/>
    </row>
    <row r="154" spans="1:2" ht="12.75">
      <c r="A154" s="14"/>
      <c r="B154" s="8"/>
    </row>
    <row r="155" spans="1:2" ht="12.75">
      <c r="A155" s="2" t="s">
        <v>330</v>
      </c>
      <c r="B155" s="8"/>
    </row>
    <row r="156" spans="1:5" ht="12.75">
      <c r="A156" t="s">
        <v>219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251">
        <v>139266</v>
      </c>
      <c r="D157" s="251"/>
      <c r="E157" s="251">
        <f>C157+D157</f>
        <v>139266</v>
      </c>
    </row>
    <row r="158" spans="1:5" ht="12.75">
      <c r="A158" t="s">
        <v>218</v>
      </c>
      <c r="B158" s="86" t="s">
        <v>187</v>
      </c>
      <c r="C158" s="251">
        <v>96346</v>
      </c>
      <c r="D158" s="251"/>
      <c r="E158" s="251">
        <f>C158+D158</f>
        <v>96346</v>
      </c>
    </row>
    <row r="159" ht="12.75">
      <c r="B159" s="8"/>
    </row>
    <row r="160" spans="1:5" ht="12.75">
      <c r="A160" s="2" t="s">
        <v>298</v>
      </c>
      <c r="B160" s="66" t="s">
        <v>189</v>
      </c>
      <c r="C160" s="251">
        <f>C156+C157+C158</f>
        <v>235612</v>
      </c>
      <c r="D160" s="251">
        <f>D156+D157+D158</f>
        <v>0</v>
      </c>
      <c r="E160" s="251">
        <f>E156+E157+E158</f>
        <v>235612</v>
      </c>
    </row>
    <row r="161" ht="12.75">
      <c r="C161" s="85"/>
    </row>
    <row r="162" ht="12.75">
      <c r="C162" s="8"/>
    </row>
    <row r="163" ht="12.75">
      <c r="E163" s="22"/>
    </row>
    <row r="164" ht="12.75">
      <c r="C164" s="481" t="s">
        <v>102</v>
      </c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266666666666667" bottom="0.2362204724409449" header="0.22" footer="0"/>
  <pageSetup fitToHeight="2" fitToWidth="1" horizontalDpi="600" verticalDpi="600" orientation="portrait" scale="64" r:id="rId1"/>
  <headerFooter alignWithMargins="0">
    <oddHeader>&amp;RLondon Hydro Inc.
EB-2011-0181
Deferred PILs 1562 Disposition
Appendix C</oddHeader>
    <oddFooter>&amp;R&amp;A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view="pageLayout" workbookViewId="0" topLeftCell="A1">
      <selection activeCell="G12" sqref="G1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296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297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London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268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276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277</v>
      </c>
      <c r="B15" s="61"/>
      <c r="C15" s="294"/>
      <c r="D15" s="294"/>
      <c r="E15" s="251">
        <f t="shared" si="0"/>
        <v>0</v>
      </c>
    </row>
    <row r="16" spans="1:5" ht="12.75">
      <c r="A16" s="61" t="s">
        <v>278</v>
      </c>
      <c r="B16" s="61"/>
      <c r="C16" s="294"/>
      <c r="D16" s="294"/>
      <c r="E16" s="251">
        <f t="shared" si="0"/>
        <v>0</v>
      </c>
    </row>
    <row r="17" spans="1:5" ht="12.75">
      <c r="A17" s="61" t="s">
        <v>279</v>
      </c>
      <c r="B17" s="61"/>
      <c r="C17" s="294"/>
      <c r="D17" s="294"/>
      <c r="E17" s="251">
        <f t="shared" si="0"/>
        <v>0</v>
      </c>
    </row>
    <row r="18" spans="1:5" ht="12.75">
      <c r="A18" s="61" t="s">
        <v>442</v>
      </c>
      <c r="B18" s="61"/>
      <c r="C18" s="294"/>
      <c r="D18" s="294"/>
      <c r="E18" s="251">
        <f t="shared" si="0"/>
        <v>0</v>
      </c>
    </row>
    <row r="19" spans="1:5" ht="12.75">
      <c r="A19" s="61" t="s">
        <v>442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267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276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277</v>
      </c>
      <c r="B27" s="61"/>
      <c r="C27" s="294"/>
      <c r="D27" s="294"/>
      <c r="E27" s="251">
        <f t="shared" si="1"/>
        <v>0</v>
      </c>
    </row>
    <row r="28" spans="1:5" ht="12.75">
      <c r="A28" s="61" t="s">
        <v>278</v>
      </c>
      <c r="B28" s="61"/>
      <c r="C28" s="294"/>
      <c r="D28" s="294"/>
      <c r="E28" s="251">
        <f t="shared" si="1"/>
        <v>0</v>
      </c>
    </row>
    <row r="29" spans="1:5" ht="12.75">
      <c r="A29" s="61" t="s">
        <v>279</v>
      </c>
      <c r="B29" s="61"/>
      <c r="C29" s="294"/>
      <c r="D29" s="294"/>
      <c r="E29" s="251">
        <f t="shared" si="1"/>
        <v>0</v>
      </c>
    </row>
    <row r="30" spans="1:5" ht="12.75">
      <c r="A30" s="61" t="s">
        <v>442</v>
      </c>
      <c r="B30" s="61"/>
      <c r="C30" s="294"/>
      <c r="D30" s="294"/>
      <c r="E30" s="251">
        <f t="shared" si="1"/>
        <v>0</v>
      </c>
    </row>
    <row r="31" spans="1:5" ht="12.75">
      <c r="A31" s="61" t="s">
        <v>442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266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268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262</v>
      </c>
      <c r="B43" s="61"/>
      <c r="C43" s="294"/>
      <c r="D43" s="294"/>
      <c r="E43" s="251">
        <f t="shared" si="2"/>
        <v>0</v>
      </c>
    </row>
    <row r="44" spans="1:5" ht="12.75">
      <c r="A44" s="61" t="s">
        <v>263</v>
      </c>
      <c r="B44" s="61"/>
      <c r="C44" s="294"/>
      <c r="D44" s="294"/>
      <c r="E44" s="251">
        <f t="shared" si="2"/>
        <v>0</v>
      </c>
    </row>
    <row r="45" spans="1:5" ht="12.75">
      <c r="A45" s="61" t="s">
        <v>264</v>
      </c>
      <c r="B45" s="61"/>
      <c r="C45" s="294"/>
      <c r="D45" s="294"/>
      <c r="E45" s="251">
        <f t="shared" si="2"/>
        <v>0</v>
      </c>
    </row>
    <row r="46" spans="1:5" ht="12.75">
      <c r="A46" s="61" t="s">
        <v>265</v>
      </c>
      <c r="B46" s="61"/>
      <c r="C46" s="294"/>
      <c r="D46" s="294"/>
      <c r="E46" s="251">
        <f t="shared" si="2"/>
        <v>0</v>
      </c>
    </row>
    <row r="47" spans="1:5" ht="12.75">
      <c r="A47" s="61" t="s">
        <v>442</v>
      </c>
      <c r="B47" s="61"/>
      <c r="C47" s="294"/>
      <c r="D47" s="294"/>
      <c r="E47" s="251">
        <f t="shared" si="2"/>
        <v>0</v>
      </c>
    </row>
    <row r="48" spans="1:5" ht="12.75">
      <c r="A48" s="61" t="s">
        <v>442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267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262</v>
      </c>
      <c r="B55" s="61"/>
      <c r="C55" s="294"/>
      <c r="D55" s="294"/>
      <c r="E55" s="251">
        <f t="shared" si="3"/>
        <v>0</v>
      </c>
    </row>
    <row r="56" spans="1:5" ht="12.75">
      <c r="A56" s="246" t="s">
        <v>263</v>
      </c>
      <c r="B56" s="61"/>
      <c r="C56" s="294"/>
      <c r="D56" s="294"/>
      <c r="E56" s="251">
        <f t="shared" si="3"/>
        <v>0</v>
      </c>
    </row>
    <row r="57" spans="1:5" ht="12.75">
      <c r="A57" s="246" t="s">
        <v>264</v>
      </c>
      <c r="B57" s="61"/>
      <c r="C57" s="294"/>
      <c r="D57" s="294"/>
      <c r="E57" s="251">
        <f t="shared" si="3"/>
        <v>0</v>
      </c>
    </row>
    <row r="58" spans="1:5" ht="12.75">
      <c r="A58" s="246" t="s">
        <v>265</v>
      </c>
      <c r="B58" s="61"/>
      <c r="C58" s="294"/>
      <c r="D58" s="294"/>
      <c r="E58" s="251">
        <f t="shared" si="3"/>
        <v>0</v>
      </c>
    </row>
    <row r="59" spans="1:5" ht="12.75">
      <c r="A59" s="61" t="s">
        <v>442</v>
      </c>
      <c r="B59" s="61"/>
      <c r="C59" s="294"/>
      <c r="D59" s="294"/>
      <c r="E59" s="251">
        <f t="shared" si="3"/>
        <v>0</v>
      </c>
    </row>
    <row r="60" spans="1:5" ht="12.75">
      <c r="A60" s="61" t="s">
        <v>442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8689583333333334" bottom="0.2362204724409449" header="0.2" footer="0"/>
  <pageSetup fitToHeight="1" fitToWidth="1" horizontalDpi="600" verticalDpi="600" orientation="portrait" scale="90" r:id="rId1"/>
  <headerFooter alignWithMargins="0">
    <oddHeader>&amp;RLondon Hydro Inc.
EB-2011-0181
Deferred PILs 1562 Disposition
Appendix C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view="pageLayout" workbookViewId="0" topLeftCell="A130">
      <selection activeCell="J12" sqref="J1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460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459</v>
      </c>
      <c r="B5" s="8"/>
      <c r="C5" s="8" t="s">
        <v>2</v>
      </c>
      <c r="D5" s="8"/>
      <c r="E5" s="8"/>
      <c r="F5" s="8"/>
    </row>
    <row r="6" spans="1:6" ht="12.75">
      <c r="A6" s="416" t="s">
        <v>439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London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92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195796.80675000002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249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443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250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/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251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373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/>
      <c r="B96" s="8" t="s">
        <v>188</v>
      </c>
      <c r="C96" s="294"/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265625" bottom="0.2362204724409449" header="0.17" footer="0"/>
  <pageSetup fitToHeight="2" fitToWidth="1" horizontalDpi="600" verticalDpi="600" orientation="portrait" scale="78" r:id="rId1"/>
  <headerFooter alignWithMargins="0">
    <oddHeader>&amp;RLondon Hydro Inc.
EB-2011-0181
Deferred PILs 1562 Disposition
Appendix C</oddHeader>
    <oddFooter>&amp;R&amp;A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G92"/>
  <sheetViews>
    <sheetView view="pageLayout" workbookViewId="0" topLeftCell="A43">
      <selection activeCell="G55" sqref="G5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</v>
      </c>
    </row>
    <row r="3" spans="1:5" ht="12.75">
      <c r="A3" s="2" t="s">
        <v>381</v>
      </c>
      <c r="E3" s="92"/>
    </row>
    <row r="4" spans="1:6" ht="15.75">
      <c r="A4" s="462" t="s">
        <v>439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4" t="s">
        <v>382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London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92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384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447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387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388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448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431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386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385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426</v>
      </c>
      <c r="B32" t="s">
        <v>187</v>
      </c>
      <c r="C32" s="295">
        <v>0</v>
      </c>
      <c r="D32" s="295"/>
      <c r="E32" s="313">
        <f t="shared" si="0"/>
        <v>0</v>
      </c>
    </row>
    <row r="33" spans="1:5" ht="12.75">
      <c r="A33" s="67" t="s">
        <v>427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444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445</v>
      </c>
      <c r="B35" t="s">
        <v>187</v>
      </c>
      <c r="C35" s="295"/>
      <c r="D35" s="295"/>
      <c r="E35" s="313"/>
    </row>
    <row r="36" spans="1:5" ht="12.75">
      <c r="A36" s="67" t="s">
        <v>428</v>
      </c>
      <c r="B36" t="s">
        <v>187</v>
      </c>
      <c r="C36" s="295"/>
      <c r="D36" s="295"/>
      <c r="E36" s="313"/>
    </row>
    <row r="37" spans="1:5" ht="12.75">
      <c r="A37" s="67" t="s">
        <v>429</v>
      </c>
      <c r="B37" t="s">
        <v>187</v>
      </c>
      <c r="C37" s="295"/>
      <c r="D37" s="295"/>
      <c r="E37" s="313"/>
    </row>
    <row r="38" spans="1:5" ht="12.75">
      <c r="A38" s="81" t="s">
        <v>481</v>
      </c>
      <c r="B38" t="s">
        <v>187</v>
      </c>
      <c r="C38" s="295"/>
      <c r="D38" s="295"/>
      <c r="E38" s="313"/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383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67" t="s">
        <v>451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t="s">
        <v>480</v>
      </c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8" t="s">
        <v>391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384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447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385</v>
      </c>
      <c r="B53" s="8" t="s">
        <v>188</v>
      </c>
      <c r="C53" s="294"/>
      <c r="D53" s="294"/>
      <c r="E53" s="251">
        <f t="shared" si="1"/>
        <v>0</v>
      </c>
    </row>
    <row r="54" spans="1:7" ht="12.75">
      <c r="A54" t="s">
        <v>430</v>
      </c>
      <c r="B54" s="8" t="s">
        <v>188</v>
      </c>
      <c r="C54" s="294">
        <v>1014000</v>
      </c>
      <c r="D54" s="294"/>
      <c r="E54" s="251">
        <f t="shared" si="1"/>
        <v>1014000</v>
      </c>
      <c r="G54" s="486" t="s">
        <v>513</v>
      </c>
    </row>
    <row r="55" spans="1:7" ht="12.75">
      <c r="A55" s="67" t="s">
        <v>438</v>
      </c>
      <c r="B55" s="8" t="s">
        <v>188</v>
      </c>
      <c r="C55" s="294"/>
      <c r="D55" s="294"/>
      <c r="E55" s="251">
        <f t="shared" si="1"/>
        <v>0</v>
      </c>
      <c r="G55" t="s">
        <v>512</v>
      </c>
    </row>
    <row r="56" spans="1:5" ht="12.75">
      <c r="A56" s="67" t="s">
        <v>450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446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449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6" t="s">
        <v>482</v>
      </c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6" t="s">
        <v>383</v>
      </c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2:5" ht="12.75"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 t="s">
        <v>483</v>
      </c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7" t="s">
        <v>390</v>
      </c>
      <c r="B73" s="8" t="s">
        <v>189</v>
      </c>
      <c r="C73" s="251">
        <f>SUM(C51:C72)</f>
        <v>1014000</v>
      </c>
      <c r="D73" s="251">
        <f>SUM(D51:D72)</f>
        <v>0</v>
      </c>
      <c r="E73" s="251">
        <f>SUM(E51:E72)</f>
        <v>1014000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805" bottom="0.2362204724409449" header="0.21" footer="0"/>
  <pageSetup fitToHeight="1" fitToWidth="1" horizontalDpi="600" verticalDpi="600" orientation="portrait" scale="71" r:id="rId1"/>
  <headerFooter alignWithMargins="0">
    <oddHeader>&amp;RLondon Hydro Inc.
EB-2011-0181
Deferred PILs 1562 Disposition
Appendix C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49">
      <selection activeCell="C20" sqref="C20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302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London Hydro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2001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333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32" t="s">
        <v>475</v>
      </c>
      <c r="B8" s="533"/>
      <c r="C8" s="533"/>
      <c r="D8" s="533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50000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461</v>
      </c>
      <c r="B10" s="327"/>
      <c r="C10" s="376" t="s">
        <v>111</v>
      </c>
      <c r="D10" s="376"/>
      <c r="E10" s="376" t="s">
        <v>111</v>
      </c>
      <c r="F10" s="377" t="s">
        <v>470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50000</v>
      </c>
      <c r="D11" s="378"/>
      <c r="E11" s="378">
        <v>175000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295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294</v>
      </c>
      <c r="B14" s="245"/>
      <c r="C14" s="328">
        <v>0.1312</v>
      </c>
      <c r="D14" s="328"/>
      <c r="E14" s="329">
        <v>0.2812</v>
      </c>
      <c r="F14" s="329">
        <v>0.2812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299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256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0.4062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327</v>
      </c>
      <c r="B21" s="407" t="s">
        <v>471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328</v>
      </c>
      <c r="B22" s="408" t="s">
        <v>472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26" t="s">
        <v>469</v>
      </c>
      <c r="B23" s="527"/>
      <c r="C23" s="527"/>
      <c r="D23" s="527"/>
      <c r="E23" s="527"/>
      <c r="F23" s="527"/>
      <c r="G23" s="437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334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32" t="s">
        <v>473</v>
      </c>
      <c r="B26" s="533"/>
      <c r="C26" s="533"/>
      <c r="D26" s="533"/>
      <c r="E26" s="533"/>
      <c r="F26" s="533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50000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434</v>
      </c>
      <c r="B28" s="327"/>
      <c r="C28" s="370" t="s">
        <v>111</v>
      </c>
      <c r="D28" s="370"/>
      <c r="E28" s="370" t="s">
        <v>111</v>
      </c>
      <c r="F28" s="371" t="s">
        <v>470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50000</v>
      </c>
      <c r="D29" s="372"/>
      <c r="E29" s="372">
        <v>175000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2001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294</v>
      </c>
      <c r="B32" s="410">
        <v>2001</v>
      </c>
      <c r="C32" s="328">
        <v>0.1312</v>
      </c>
      <c r="D32" s="328"/>
      <c r="E32" s="329">
        <v>0.2812</v>
      </c>
      <c r="F32" s="329">
        <v>0.2812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2001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256</v>
      </c>
      <c r="B34" s="410">
        <v>2001</v>
      </c>
      <c r="C34" s="332">
        <f>SUM(C32:C33)</f>
        <v>0.1912</v>
      </c>
      <c r="D34" s="332"/>
      <c r="E34" s="333">
        <f>SUM(E32:E33)</f>
        <v>0.3412</v>
      </c>
      <c r="F34" s="333">
        <f>SUM(F32:F33)</f>
        <v>0.4062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2001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2001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2001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476</v>
      </c>
      <c r="B39" s="407" t="s">
        <v>471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477</v>
      </c>
      <c r="B40" s="408" t="s">
        <v>472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28" t="s">
        <v>331</v>
      </c>
      <c r="B41" s="527"/>
      <c r="C41" s="527"/>
      <c r="D41" s="527"/>
      <c r="E41" s="527"/>
      <c r="F41" s="527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29"/>
      <c r="B42" s="529"/>
      <c r="C42" s="529"/>
      <c r="D42" s="529"/>
      <c r="E42" s="529"/>
      <c r="F42" s="529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335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474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50000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470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50000</v>
      </c>
      <c r="D47" s="372"/>
      <c r="E47" s="372">
        <v>175000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2001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294</v>
      </c>
      <c r="B50" s="245"/>
      <c r="C50" s="352">
        <v>0.1312</v>
      </c>
      <c r="D50" s="352"/>
      <c r="E50" s="353">
        <v>0.2212</v>
      </c>
      <c r="F50" s="353">
        <v>0.2812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256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0.4062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345</v>
      </c>
      <c r="B57" s="407" t="s">
        <v>471</v>
      </c>
      <c r="C57" s="362">
        <v>0</v>
      </c>
      <c r="D57" s="360"/>
      <c r="E57" s="361"/>
      <c r="F57" s="361"/>
      <c r="G57" s="194"/>
      <c r="H57" s="194">
        <v>29611572</v>
      </c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346</v>
      </c>
      <c r="B58" s="408" t="s">
        <v>472</v>
      </c>
      <c r="C58" s="363">
        <v>10000000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26" t="s">
        <v>347</v>
      </c>
      <c r="B59" s="530"/>
      <c r="C59" s="530"/>
      <c r="D59" s="530"/>
      <c r="E59" s="530"/>
      <c r="F59" s="530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31"/>
      <c r="B60" s="531"/>
      <c r="C60" s="531"/>
      <c r="D60" s="531"/>
      <c r="E60" s="531"/>
      <c r="F60" s="531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15748031496063" bottom="0.97" header="0.511811023622047" footer="0"/>
  <pageSetup fitToHeight="1" fitToWidth="1" horizontalDpi="600" verticalDpi="600" orientation="portrait" scale="73" r:id="rId1"/>
  <headerFooter alignWithMargins="0">
    <oddHeader>&amp;RLondon Hydro Inc.
EB-2011-0181
Deferred PILs 1562 Disposition
Appendix C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300"/>
  <sheetViews>
    <sheetView view="pageLayout" zoomScaleNormal="90" workbookViewId="0" topLeftCell="A262">
      <selection activeCell="J145" sqref="J145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457</v>
      </c>
      <c r="H1" s="210"/>
    </row>
    <row r="2" spans="1:8" ht="12.75">
      <c r="A2" s="211" t="s">
        <v>456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458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491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London Hydro Inc.</v>
      </c>
      <c r="B6" s="115"/>
      <c r="D6" s="137"/>
      <c r="E6" s="115"/>
      <c r="G6" s="115"/>
      <c r="H6" s="463"/>
    </row>
    <row r="7" spans="1:8" ht="12.75">
      <c r="A7" s="211" t="str">
        <f>REGINFO!A4</f>
        <v>Reporting period:  2001</v>
      </c>
      <c r="B7" s="115"/>
      <c r="D7" s="137"/>
      <c r="E7" s="115"/>
      <c r="G7" s="115"/>
      <c r="H7" s="463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8">
        <f>REGINFO!B6</f>
        <v>92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252</v>
      </c>
      <c r="B10" s="428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337</v>
      </c>
      <c r="B16" s="125">
        <v>1</v>
      </c>
      <c r="C16" s="259">
        <f>REGINFO!E54/4</f>
        <v>2191227.3028133335</v>
      </c>
      <c r="D16" s="17"/>
      <c r="E16" s="267">
        <f>G16-C16</f>
        <v>-5703227.302813333</v>
      </c>
      <c r="F16" s="3"/>
      <c r="G16" s="267">
        <f>TAXREC!E50</f>
        <v>-3512000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2671869</v>
      </c>
      <c r="D20" s="18"/>
      <c r="E20" s="267">
        <f aca="true" t="shared" si="0" ref="E20:E25">G20-C20</f>
        <v>169131</v>
      </c>
      <c r="F20" s="6"/>
      <c r="G20" s="267">
        <f>TAXREC!E61</f>
        <v>2841000</v>
      </c>
      <c r="H20" s="151"/>
    </row>
    <row r="21" spans="1:8" ht="12.75">
      <c r="A21" s="501" t="s">
        <v>509</v>
      </c>
      <c r="B21" s="127"/>
      <c r="C21" s="261"/>
      <c r="D21" s="18"/>
      <c r="E21" s="267">
        <f t="shared" si="0"/>
        <v>102000</v>
      </c>
      <c r="F21" s="6"/>
      <c r="G21" s="267">
        <f>+TAXREC!E60</f>
        <v>102000</v>
      </c>
      <c r="H21" s="151"/>
    </row>
    <row r="22" spans="1:8" ht="12.75">
      <c r="A22" s="158" t="s">
        <v>56</v>
      </c>
      <c r="B22" s="127">
        <v>3</v>
      </c>
      <c r="C22" s="261">
        <f>TAXCALC!C22</f>
        <v>0</v>
      </c>
      <c r="D22" s="18"/>
      <c r="E22" s="267">
        <f t="shared" si="0"/>
        <v>0</v>
      </c>
      <c r="F22" s="6"/>
      <c r="G22" s="267">
        <f>TAXREC!E62</f>
        <v>0</v>
      </c>
      <c r="H22" s="151"/>
    </row>
    <row r="23" spans="1:8" ht="12.75">
      <c r="A23" s="158" t="s">
        <v>259</v>
      </c>
      <c r="B23" s="127">
        <v>4</v>
      </c>
      <c r="C23" s="261">
        <f>TAXCALC!C23</f>
        <v>0</v>
      </c>
      <c r="D23" s="18"/>
      <c r="E23" s="267">
        <f t="shared" si="0"/>
        <v>0</v>
      </c>
      <c r="F23" s="6"/>
      <c r="G23" s="267">
        <f>TAXREC!E63</f>
        <v>0</v>
      </c>
      <c r="H23" s="151"/>
    </row>
    <row r="24" spans="1:8" ht="12.75">
      <c r="A24" s="485" t="s">
        <v>499</v>
      </c>
      <c r="B24" s="127">
        <v>4</v>
      </c>
      <c r="C24" s="261">
        <v>0</v>
      </c>
      <c r="D24" s="18"/>
      <c r="E24" s="267">
        <f t="shared" si="0"/>
        <v>0</v>
      </c>
      <c r="F24" s="6"/>
      <c r="G24" s="267">
        <f>TAXREC!E64</f>
        <v>0</v>
      </c>
      <c r="H24" s="151"/>
    </row>
    <row r="25" spans="1:8" ht="12.75">
      <c r="A25" s="158" t="s">
        <v>260</v>
      </c>
      <c r="B25" s="127">
        <v>5</v>
      </c>
      <c r="C25" s="261">
        <f>TAXCALC!C25</f>
        <v>0</v>
      </c>
      <c r="D25" s="18"/>
      <c r="E25" s="267">
        <f t="shared" si="0"/>
        <v>0</v>
      </c>
      <c r="F25" s="6"/>
      <c r="G25" s="267">
        <f>TAXREC!E65</f>
        <v>0</v>
      </c>
      <c r="H25" s="151"/>
    </row>
    <row r="26" spans="1:8" ht="12.75">
      <c r="A26" s="158" t="s">
        <v>53</v>
      </c>
      <c r="B26" s="127"/>
      <c r="C26" s="105" t="s">
        <v>102</v>
      </c>
      <c r="D26" s="18"/>
      <c r="E26" s="186"/>
      <c r="F26" s="33"/>
      <c r="G26" s="186"/>
      <c r="H26" s="151"/>
    </row>
    <row r="27" spans="1:8" ht="12.75">
      <c r="A27" s="158" t="s">
        <v>156</v>
      </c>
      <c r="B27" s="127">
        <v>6</v>
      </c>
      <c r="C27" s="261">
        <f>TAXCALC!C27</f>
        <v>0</v>
      </c>
      <c r="D27" s="18"/>
      <c r="E27" s="267">
        <f>G27-C27</f>
        <v>0</v>
      </c>
      <c r="F27" s="6"/>
      <c r="G27" s="267">
        <f>TAXREC!E92</f>
        <v>0</v>
      </c>
      <c r="H27" s="151"/>
    </row>
    <row r="28" spans="1:8" ht="12.75">
      <c r="A28" s="158" t="s">
        <v>159</v>
      </c>
      <c r="B28" s="127">
        <v>6</v>
      </c>
      <c r="C28" s="261">
        <f>TAXCALC!C28</f>
        <v>0</v>
      </c>
      <c r="D28" s="18"/>
      <c r="E28" s="267">
        <f>G28-C28</f>
        <v>0</v>
      </c>
      <c r="F28" s="6"/>
      <c r="G28" s="267">
        <f>TAXREC!E93</f>
        <v>0</v>
      </c>
      <c r="H28" s="151"/>
    </row>
    <row r="29" spans="1:8" ht="12.75">
      <c r="A29" s="158" t="s">
        <v>158</v>
      </c>
      <c r="B29" s="127">
        <v>6</v>
      </c>
      <c r="C29" s="261">
        <f>TAXCALC!C29</f>
        <v>0</v>
      </c>
      <c r="D29" s="18"/>
      <c r="E29" s="267">
        <f>G29-C29</f>
        <v>0</v>
      </c>
      <c r="F29" s="6"/>
      <c r="G29" s="267">
        <f>TAXREC!E67</f>
        <v>0</v>
      </c>
      <c r="H29" s="151"/>
    </row>
    <row r="30" spans="1:8" ht="12.75">
      <c r="A30" s="158" t="s">
        <v>157</v>
      </c>
      <c r="B30" s="127">
        <v>6</v>
      </c>
      <c r="C30" s="261">
        <f>TAXCALC!C30</f>
        <v>0</v>
      </c>
      <c r="D30" s="18"/>
      <c r="E30" s="267">
        <f>G30-C30</f>
        <v>0</v>
      </c>
      <c r="F30" s="6"/>
      <c r="G30" s="267">
        <f>TAXREC!E68</f>
        <v>0</v>
      </c>
      <c r="H30" s="151"/>
    </row>
    <row r="31" spans="1:8" ht="12.75">
      <c r="A31" s="404" t="s">
        <v>389</v>
      </c>
      <c r="B31" s="127"/>
      <c r="C31" s="259"/>
      <c r="D31" s="18"/>
      <c r="E31" s="267">
        <f>G31-C31</f>
        <v>0</v>
      </c>
      <c r="F31" s="6"/>
      <c r="G31" s="267">
        <f>TAXREC!E66</f>
        <v>0</v>
      </c>
      <c r="H31" s="151"/>
    </row>
    <row r="32" spans="1:8" ht="12.75">
      <c r="A32" s="158"/>
      <c r="B32" s="127"/>
      <c r="C32" s="105"/>
      <c r="D32" s="18"/>
      <c r="E32" s="139"/>
      <c r="F32" s="6"/>
      <c r="G32" s="139"/>
      <c r="H32" s="151"/>
    </row>
    <row r="33" spans="1:8" ht="12.75">
      <c r="A33" s="156" t="s">
        <v>338</v>
      </c>
      <c r="B33" s="126"/>
      <c r="C33" s="105"/>
      <c r="D33" s="132"/>
      <c r="E33" s="139"/>
      <c r="F33" s="6"/>
      <c r="G33" s="139"/>
      <c r="H33" s="151"/>
    </row>
    <row r="34" spans="1:8" ht="12.75">
      <c r="A34" s="155" t="s">
        <v>103</v>
      </c>
      <c r="B34" s="127">
        <v>7</v>
      </c>
      <c r="C34" s="261">
        <v>1020690</v>
      </c>
      <c r="D34" s="132"/>
      <c r="E34" s="267">
        <f aca="true" t="shared" si="1" ref="E34:E43">G34-C34</f>
        <v>2231120</v>
      </c>
      <c r="F34" s="6"/>
      <c r="G34" s="267">
        <f>TAXREC!E97+TAXREC!E98</f>
        <v>3251810</v>
      </c>
      <c r="H34" s="151"/>
    </row>
    <row r="35" spans="1:8" ht="12.75">
      <c r="A35" s="158" t="s">
        <v>57</v>
      </c>
      <c r="B35" s="127">
        <v>8</v>
      </c>
      <c r="C35" s="261">
        <f>TAXCALC!C35</f>
        <v>0</v>
      </c>
      <c r="D35" s="132"/>
      <c r="E35" s="267">
        <f t="shared" si="1"/>
        <v>0</v>
      </c>
      <c r="F35" s="6"/>
      <c r="G35" s="267">
        <f>TAXREC!E99</f>
        <v>0</v>
      </c>
      <c r="H35" s="151"/>
    </row>
    <row r="36" spans="1:8" ht="12.75">
      <c r="A36" s="158" t="s">
        <v>45</v>
      </c>
      <c r="B36" s="127">
        <v>9</v>
      </c>
      <c r="C36" s="261">
        <f>TAXCALC!C36</f>
        <v>0</v>
      </c>
      <c r="D36" s="132"/>
      <c r="E36" s="267">
        <f t="shared" si="1"/>
        <v>0</v>
      </c>
      <c r="F36" s="6"/>
      <c r="G36" s="267">
        <f>TAXREC!E100</f>
        <v>0</v>
      </c>
      <c r="H36" s="151"/>
    </row>
    <row r="37" spans="1:8" ht="12.75">
      <c r="A37" s="158" t="s">
        <v>261</v>
      </c>
      <c r="B37" s="127">
        <v>10</v>
      </c>
      <c r="C37" s="261">
        <f>TAXCALC!C37</f>
        <v>0</v>
      </c>
      <c r="D37" s="132"/>
      <c r="E37" s="267">
        <f t="shared" si="1"/>
        <v>0</v>
      </c>
      <c r="F37" s="6"/>
      <c r="G37" s="267">
        <f>TAXREC!E102+TAXREC!E103</f>
        <v>0</v>
      </c>
      <c r="H37" s="151"/>
    </row>
    <row r="38" spans="1:8" ht="12.75">
      <c r="A38" s="155" t="s">
        <v>86</v>
      </c>
      <c r="B38" s="125">
        <v>11</v>
      </c>
      <c r="C38" s="260">
        <f>REGINFO!D64/4</f>
        <v>1016902.7381667471</v>
      </c>
      <c r="D38" s="132"/>
      <c r="E38" s="267">
        <f t="shared" si="1"/>
        <v>-977902.7381667471</v>
      </c>
      <c r="F38" s="6"/>
      <c r="G38" s="267">
        <f>TAXREC!E51</f>
        <v>39000</v>
      </c>
      <c r="H38" s="151"/>
    </row>
    <row r="39" spans="1:8" ht="12.75">
      <c r="A39" s="155" t="s">
        <v>257</v>
      </c>
      <c r="B39" s="125">
        <v>4</v>
      </c>
      <c r="C39" s="261">
        <f>TAXCALC!C39</f>
        <v>0</v>
      </c>
      <c r="D39" s="132"/>
      <c r="E39" s="267">
        <f t="shared" si="1"/>
        <v>0</v>
      </c>
      <c r="F39" s="6"/>
      <c r="G39" s="267">
        <f>TAXREC!E104</f>
        <v>0</v>
      </c>
      <c r="H39" s="151"/>
    </row>
    <row r="40" spans="1:8" ht="12.75">
      <c r="A40" s="501" t="s">
        <v>499</v>
      </c>
      <c r="B40" s="125">
        <v>4</v>
      </c>
      <c r="C40" s="261">
        <f>TAXCALC!C40</f>
        <v>52250</v>
      </c>
      <c r="D40" s="132"/>
      <c r="E40" s="267">
        <f t="shared" si="1"/>
        <v>-52250</v>
      </c>
      <c r="F40" s="6"/>
      <c r="G40" s="267">
        <f>TAXREC!E105</f>
        <v>0</v>
      </c>
      <c r="H40" s="151"/>
    </row>
    <row r="41" spans="1:8" ht="12.75">
      <c r="A41" s="155" t="s">
        <v>12</v>
      </c>
      <c r="B41" s="125">
        <v>3</v>
      </c>
      <c r="C41" s="261">
        <f>TAXCALC!C41</f>
        <v>0</v>
      </c>
      <c r="D41" s="132"/>
      <c r="E41" s="267">
        <f t="shared" si="1"/>
        <v>0</v>
      </c>
      <c r="F41" s="6"/>
      <c r="G41" s="267">
        <f>TAXREC!E106</f>
        <v>0</v>
      </c>
      <c r="H41" s="151"/>
    </row>
    <row r="42" spans="1:8" ht="12.75">
      <c r="A42" s="155" t="s">
        <v>13</v>
      </c>
      <c r="B42" s="125">
        <v>3</v>
      </c>
      <c r="C42" s="261">
        <f>TAXCALC!C42</f>
        <v>0</v>
      </c>
      <c r="D42" s="132"/>
      <c r="E42" s="267">
        <f t="shared" si="1"/>
        <v>0</v>
      </c>
      <c r="F42" s="6"/>
      <c r="G42" s="267">
        <f>TAXREC!E107</f>
        <v>0</v>
      </c>
      <c r="H42" s="151"/>
    </row>
    <row r="43" spans="1:8" ht="12.75">
      <c r="A43" s="155" t="s">
        <v>184</v>
      </c>
      <c r="B43" s="125">
        <v>11</v>
      </c>
      <c r="C43" s="261">
        <f>TAXCALC!C43</f>
        <v>0</v>
      </c>
      <c r="D43" s="132"/>
      <c r="E43" s="267">
        <f t="shared" si="1"/>
        <v>0</v>
      </c>
      <c r="F43" s="6"/>
      <c r="G43" s="267">
        <f>TAXREC!E109</f>
        <v>0</v>
      </c>
      <c r="H43" s="151"/>
    </row>
    <row r="44" spans="1:8" ht="12.75">
      <c r="A44" s="158" t="s">
        <v>54</v>
      </c>
      <c r="B44" s="127"/>
      <c r="C44" s="105"/>
      <c r="D44" s="132"/>
      <c r="E44" s="139"/>
      <c r="F44" s="6"/>
      <c r="G44" s="139"/>
      <c r="H44" s="151"/>
    </row>
    <row r="45" spans="1:8" ht="12.75">
      <c r="A45" s="158" t="s">
        <v>156</v>
      </c>
      <c r="B45" s="127">
        <v>12</v>
      </c>
      <c r="C45" s="261">
        <f>TAXCALC!C45</f>
        <v>0</v>
      </c>
      <c r="D45" s="132"/>
      <c r="E45" s="267">
        <f>G45-C45</f>
        <v>0</v>
      </c>
      <c r="F45" s="6"/>
      <c r="G45" s="251">
        <f>TAXREC!E130</f>
        <v>0</v>
      </c>
      <c r="H45" s="151"/>
    </row>
    <row r="46" spans="1:8" ht="12.75">
      <c r="A46" s="158" t="s">
        <v>153</v>
      </c>
      <c r="B46" s="127">
        <v>12</v>
      </c>
      <c r="C46" s="261">
        <f>TAXCALC!C46</f>
        <v>0</v>
      </c>
      <c r="D46" s="132"/>
      <c r="E46" s="267">
        <f>G46-C46</f>
        <v>0</v>
      </c>
      <c r="F46" s="6"/>
      <c r="G46" s="251">
        <f>TAXREC!E131</f>
        <v>0</v>
      </c>
      <c r="H46" s="151"/>
    </row>
    <row r="47" spans="1:8" ht="12.75">
      <c r="A47" s="158" t="s">
        <v>155</v>
      </c>
      <c r="B47" s="127">
        <v>12</v>
      </c>
      <c r="C47" s="261">
        <f>TAXCALC!C47</f>
        <v>0</v>
      </c>
      <c r="D47" s="132"/>
      <c r="E47" s="267">
        <f>G47-C47</f>
        <v>0</v>
      </c>
      <c r="F47" s="6"/>
      <c r="G47" s="251">
        <f>TAXREC!E110</f>
        <v>0</v>
      </c>
      <c r="H47" s="151"/>
    </row>
    <row r="48" spans="1:8" ht="12.75">
      <c r="A48" s="158" t="s">
        <v>154</v>
      </c>
      <c r="B48" s="127">
        <v>12</v>
      </c>
      <c r="C48" s="261">
        <f>TAXCALC!C48</f>
        <v>0</v>
      </c>
      <c r="D48" s="132"/>
      <c r="E48" s="267">
        <f>G48-C48</f>
        <v>0</v>
      </c>
      <c r="F48" s="6"/>
      <c r="G48" s="251">
        <f>TAXREC!E111</f>
        <v>0</v>
      </c>
      <c r="H48" s="151"/>
    </row>
    <row r="49" spans="1:8" ht="12.75">
      <c r="A49" s="404" t="s">
        <v>389</v>
      </c>
      <c r="B49" s="127"/>
      <c r="C49" s="259"/>
      <c r="D49" s="132"/>
      <c r="E49" s="267">
        <f>G49-C49</f>
        <v>1014000</v>
      </c>
      <c r="F49" s="6"/>
      <c r="G49" s="251">
        <f>TAXREC!E108</f>
        <v>1014000</v>
      </c>
      <c r="H49" s="151"/>
    </row>
    <row r="50" spans="1:8" ht="12.75">
      <c r="A50" s="158"/>
      <c r="B50" s="127"/>
      <c r="C50" s="105"/>
      <c r="D50" s="132"/>
      <c r="E50" s="139"/>
      <c r="F50" s="6"/>
      <c r="G50" s="139"/>
      <c r="H50" s="151"/>
    </row>
    <row r="51" spans="1:8" ht="12.75">
      <c r="A51" s="152" t="s">
        <v>323</v>
      </c>
      <c r="B51" s="125"/>
      <c r="C51" s="263">
        <f>C16+SUM(C20:C31)-SUM(C34:C49)</f>
        <v>2773253.5646465863</v>
      </c>
      <c r="D51" s="102"/>
      <c r="E51" s="263">
        <f>E16+SUM(E20:E31)-SUM(E34:E49)</f>
        <v>-7647063.564646587</v>
      </c>
      <c r="F51" s="430" t="s">
        <v>363</v>
      </c>
      <c r="G51" s="263">
        <f>G16+SUM(G20:G31)-SUM(G34:G49)</f>
        <v>-4873810</v>
      </c>
      <c r="H51" s="160"/>
    </row>
    <row r="52" spans="1:9" ht="12.75">
      <c r="A52" s="159"/>
      <c r="B52" s="125"/>
      <c r="C52" s="107"/>
      <c r="D52" s="132"/>
      <c r="E52" s="107"/>
      <c r="F52" s="6"/>
      <c r="G52" s="107"/>
      <c r="H52" s="151"/>
      <c r="I52" s="116"/>
    </row>
    <row r="53" spans="1:8" ht="12.75">
      <c r="A53" s="158" t="s">
        <v>332</v>
      </c>
      <c r="B53" s="127"/>
      <c r="C53" s="108"/>
      <c r="D53" s="132"/>
      <c r="E53" s="139"/>
      <c r="F53" s="6"/>
      <c r="G53" s="139"/>
      <c r="H53" s="151"/>
    </row>
    <row r="54" spans="1:8" ht="12.75">
      <c r="A54" s="158" t="s">
        <v>336</v>
      </c>
      <c r="B54" s="127">
        <v>13</v>
      </c>
      <c r="C54" s="262">
        <f>IF($C$51&gt;'Tax Rates 2001'!$E$11,'Tax Rates 2001'!$F$16,IF($C$51&gt;'Tax Rates 2001'!$C$11,'Tax Rates 2001'!$E$16,'Tax Rates 2001'!$C$16))</f>
        <v>0.4062</v>
      </c>
      <c r="D54" s="102"/>
      <c r="E54" s="268">
        <f>+G54-C54</f>
        <v>0</v>
      </c>
      <c r="F54" s="114"/>
      <c r="G54" s="471">
        <f>TAXREC!E151</f>
        <v>0.4062</v>
      </c>
      <c r="H54" s="151"/>
    </row>
    <row r="55" spans="1:8" ht="12.75">
      <c r="A55" s="158"/>
      <c r="B55" s="127"/>
      <c r="C55" s="105"/>
      <c r="D55" s="132"/>
      <c r="E55" s="139"/>
      <c r="F55" s="6"/>
      <c r="G55" s="139"/>
      <c r="H55" s="151"/>
    </row>
    <row r="56" spans="1:8" ht="12.75">
      <c r="A56" s="158" t="s">
        <v>28</v>
      </c>
      <c r="B56" s="127"/>
      <c r="C56" s="264">
        <f>IF(C51&gt;0,C51*C54,0)</f>
        <v>1126495.5979594435</v>
      </c>
      <c r="D56" s="102"/>
      <c r="E56" s="267">
        <f>G56-C56</f>
        <v>-1126495.5979594435</v>
      </c>
      <c r="F56" s="430" t="s">
        <v>364</v>
      </c>
      <c r="G56" s="264">
        <f>TAXREC!E144</f>
        <v>0</v>
      </c>
      <c r="H56" s="161"/>
    </row>
    <row r="57" spans="1:8" ht="12.75">
      <c r="A57" s="158"/>
      <c r="B57" s="127"/>
      <c r="C57" s="105"/>
      <c r="D57" s="132"/>
      <c r="E57" s="139"/>
      <c r="F57" s="114"/>
      <c r="G57" s="139"/>
      <c r="H57" s="151"/>
    </row>
    <row r="58" spans="1:8" ht="12.75">
      <c r="A58" s="158"/>
      <c r="B58" s="127"/>
      <c r="C58" s="105"/>
      <c r="D58" s="132"/>
      <c r="E58" s="139"/>
      <c r="F58" s="6"/>
      <c r="G58" s="139"/>
      <c r="H58" s="151"/>
    </row>
    <row r="59" spans="1:8" ht="12.75">
      <c r="A59" s="158" t="s">
        <v>36</v>
      </c>
      <c r="B59" s="127">
        <v>14</v>
      </c>
      <c r="C59" s="261">
        <f>TAXCALC!C59</f>
        <v>0</v>
      </c>
      <c r="D59" s="132"/>
      <c r="E59" s="267">
        <f>+G59-C59</f>
        <v>0</v>
      </c>
      <c r="F59" s="430" t="s">
        <v>364</v>
      </c>
      <c r="G59" s="270">
        <f>TAXREC!E145</f>
        <v>0</v>
      </c>
      <c r="H59" s="151"/>
    </row>
    <row r="60" spans="1:8" ht="13.5" thickBot="1">
      <c r="A60" s="158"/>
      <c r="B60" s="127"/>
      <c r="C60" s="105"/>
      <c r="D60" s="18"/>
      <c r="E60" s="139"/>
      <c r="F60" s="6"/>
      <c r="G60" s="139"/>
      <c r="H60" s="151"/>
    </row>
    <row r="61" spans="1:8" ht="13.5" thickBot="1">
      <c r="A61" s="150" t="s">
        <v>37</v>
      </c>
      <c r="B61" s="134"/>
      <c r="C61" s="266">
        <f>+C56-C59</f>
        <v>1126495.5979594435</v>
      </c>
      <c r="D61" s="133"/>
      <c r="E61" s="269">
        <f>+E56-E59</f>
        <v>-1126495.5979594435</v>
      </c>
      <c r="F61" s="430" t="s">
        <v>364</v>
      </c>
      <c r="G61" s="269">
        <f>+G56-G59</f>
        <v>0</v>
      </c>
      <c r="H61" s="135"/>
    </row>
    <row r="62" spans="1:8" ht="12.75">
      <c r="A62" s="158"/>
      <c r="B62" s="127"/>
      <c r="C62" s="105"/>
      <c r="D62" s="18"/>
      <c r="E62" s="139"/>
      <c r="F62" s="6"/>
      <c r="G62" s="139"/>
      <c r="H62" s="151"/>
    </row>
    <row r="63" spans="1:8" ht="12.75">
      <c r="A63" s="158"/>
      <c r="B63" s="123"/>
      <c r="C63" s="105"/>
      <c r="D63" s="18"/>
      <c r="E63" s="139"/>
      <c r="F63" s="6"/>
      <c r="G63" s="139"/>
      <c r="H63" s="151"/>
    </row>
    <row r="64" spans="1:8" ht="12.75">
      <c r="A64" s="154" t="s">
        <v>31</v>
      </c>
      <c r="B64" s="128"/>
      <c r="C64" s="105"/>
      <c r="D64" s="18"/>
      <c r="E64" s="139"/>
      <c r="F64" s="6"/>
      <c r="G64" s="139"/>
      <c r="H64" s="151"/>
    </row>
    <row r="65" spans="1:8" ht="12.75">
      <c r="A65" s="158"/>
      <c r="B65" s="127"/>
      <c r="C65" s="105"/>
      <c r="D65" s="18"/>
      <c r="E65" s="139"/>
      <c r="F65" s="6"/>
      <c r="G65" s="139"/>
      <c r="H65" s="151"/>
    </row>
    <row r="66" spans="1:8" ht="12.75">
      <c r="A66" s="156" t="s">
        <v>29</v>
      </c>
      <c r="B66" s="126"/>
      <c r="C66" s="105"/>
      <c r="D66" s="18"/>
      <c r="E66" s="139"/>
      <c r="F66" s="6"/>
      <c r="G66" s="139"/>
      <c r="H66" s="151"/>
    </row>
    <row r="67" spans="1:9" ht="12.75">
      <c r="A67" s="152" t="s">
        <v>17</v>
      </c>
      <c r="B67" s="125">
        <v>15</v>
      </c>
      <c r="C67" s="264">
        <f>Ratebase</f>
        <v>174041606</v>
      </c>
      <c r="D67" s="102"/>
      <c r="E67" s="267">
        <f>G67-C67</f>
        <v>22334187</v>
      </c>
      <c r="F67" s="6"/>
      <c r="G67" s="473">
        <f>TAXCALC!G67</f>
        <v>196375793</v>
      </c>
      <c r="H67" s="151"/>
      <c r="I67" s="474" t="s">
        <v>478</v>
      </c>
    </row>
    <row r="68" spans="1:10" ht="12.75">
      <c r="A68" s="152" t="s">
        <v>356</v>
      </c>
      <c r="B68" s="125">
        <v>16</v>
      </c>
      <c r="C68" s="260">
        <f>IF(C67&gt;0,'Tax Rates 2001'!C21,0)</f>
        <v>5000000</v>
      </c>
      <c r="D68" s="102"/>
      <c r="E68" s="267">
        <f>G68-C68</f>
        <v>-5000000</v>
      </c>
      <c r="F68" s="6"/>
      <c r="G68" s="267">
        <f>'Tax Rates 2002'!C57</f>
        <v>0</v>
      </c>
      <c r="H68" s="151"/>
      <c r="I68" s="474" t="s">
        <v>478</v>
      </c>
      <c r="J68" t="s">
        <v>102</v>
      </c>
    </row>
    <row r="69" spans="1:8" ht="12.75">
      <c r="A69" s="152" t="s">
        <v>42</v>
      </c>
      <c r="B69" s="125"/>
      <c r="C69" s="264">
        <f>IF((C67-C68)&gt;0,C67-C68,0)</f>
        <v>169041606</v>
      </c>
      <c r="D69" s="102"/>
      <c r="E69" s="267">
        <f>SUM(E67:E68)</f>
        <v>17334187</v>
      </c>
      <c r="F69" s="114"/>
      <c r="G69" s="264">
        <f>G67-G68</f>
        <v>196375793</v>
      </c>
      <c r="H69" s="160"/>
    </row>
    <row r="70" spans="1:8" ht="12.75">
      <c r="A70" s="152"/>
      <c r="B70" s="125"/>
      <c r="C70" s="110"/>
      <c r="D70" s="18"/>
      <c r="E70" s="139"/>
      <c r="F70" s="6"/>
      <c r="G70" s="139"/>
      <c r="H70" s="151"/>
    </row>
    <row r="71" spans="1:8" ht="12.75">
      <c r="A71" s="152" t="s">
        <v>357</v>
      </c>
      <c r="B71" s="125">
        <v>17</v>
      </c>
      <c r="C71" s="301">
        <f>'Tax Rates 2001'!C18</f>
        <v>0.003</v>
      </c>
      <c r="D71" s="102"/>
      <c r="E71" s="268">
        <f>+G71-C71</f>
        <v>0</v>
      </c>
      <c r="F71" s="6"/>
      <c r="G71" s="301">
        <v>0.003</v>
      </c>
      <c r="H71" s="151"/>
    </row>
    <row r="72" spans="1:8" ht="12.75">
      <c r="A72" s="152"/>
      <c r="B72" s="125"/>
      <c r="C72" s="185"/>
      <c r="D72" s="18"/>
      <c r="E72" s="140"/>
      <c r="F72" s="6"/>
      <c r="G72" s="185"/>
      <c r="H72" s="151"/>
    </row>
    <row r="73" spans="1:8" ht="12.75">
      <c r="A73" s="152" t="s">
        <v>311</v>
      </c>
      <c r="B73" s="125"/>
      <c r="C73" s="264">
        <f>IF(C69&gt;0,C69*C71,0)*REGINFO!$B$6/REGINFO!$B$7</f>
        <v>127823.24179726029</v>
      </c>
      <c r="D73" s="101"/>
      <c r="E73" s="267">
        <f>+G73-C73</f>
        <v>20669.138663013655</v>
      </c>
      <c r="F73" s="475" t="s">
        <v>479</v>
      </c>
      <c r="G73" s="264">
        <f>IF(G69&gt;0,G69*G71,0)*REGINFO!$B$6/REGINFO!$B$7</f>
        <v>148492.38046027394</v>
      </c>
      <c r="H73" s="161"/>
    </row>
    <row r="74" spans="1:8" ht="12.75">
      <c r="A74" s="150"/>
      <c r="B74" s="129"/>
      <c r="C74" s="110"/>
      <c r="D74" s="136"/>
      <c r="E74" s="139"/>
      <c r="F74" s="6"/>
      <c r="G74" s="139"/>
      <c r="H74" s="151"/>
    </row>
    <row r="75" spans="1:8" ht="12.75">
      <c r="A75" s="156" t="s">
        <v>218</v>
      </c>
      <c r="B75" s="126"/>
      <c r="C75" s="110"/>
      <c r="D75" s="18"/>
      <c r="E75" s="139"/>
      <c r="F75" s="6"/>
      <c r="G75" s="139"/>
      <c r="H75" s="151"/>
    </row>
    <row r="76" spans="1:10" ht="12.75">
      <c r="A76" s="152" t="s">
        <v>17</v>
      </c>
      <c r="B76" s="125">
        <v>18</v>
      </c>
      <c r="C76" s="264">
        <f>Ratebase</f>
        <v>174041606</v>
      </c>
      <c r="D76" s="102"/>
      <c r="E76" s="267">
        <f>+G76-C76</f>
        <v>5843394</v>
      </c>
      <c r="F76" s="6"/>
      <c r="G76" s="473">
        <f>TAXCALC!G76</f>
        <v>179885000</v>
      </c>
      <c r="H76" s="151"/>
      <c r="I76" s="474" t="s">
        <v>478</v>
      </c>
      <c r="J76" s="487" t="s">
        <v>102</v>
      </c>
    </row>
    <row r="77" spans="1:9" ht="12.75">
      <c r="A77" s="152" t="s">
        <v>356</v>
      </c>
      <c r="B77" s="125">
        <v>19</v>
      </c>
      <c r="C77" s="260">
        <f>IF(C76&gt;0,'Tax Rates 2001'!C22,0)</f>
        <v>10000000</v>
      </c>
      <c r="D77" s="18"/>
      <c r="E77" s="267">
        <f>+G77-C77</f>
        <v>0</v>
      </c>
      <c r="F77" s="6"/>
      <c r="G77" s="267">
        <f>'Tax Rates 2002'!C58</f>
        <v>10000000</v>
      </c>
      <c r="H77" s="151"/>
      <c r="I77" s="474" t="s">
        <v>478</v>
      </c>
    </row>
    <row r="78" spans="1:8" ht="12.75">
      <c r="A78" s="152" t="s">
        <v>42</v>
      </c>
      <c r="B78" s="125"/>
      <c r="C78" s="264">
        <f>IF((C76-C77)&gt;0,C76-C77,0)</f>
        <v>164041606</v>
      </c>
      <c r="D78" s="19"/>
      <c r="E78" s="267">
        <f>SUM(E76:E77)</f>
        <v>5843394</v>
      </c>
      <c r="F78" s="114"/>
      <c r="G78" s="264">
        <f>G76-G77</f>
        <v>169885000</v>
      </c>
      <c r="H78" s="160"/>
    </row>
    <row r="79" spans="1:8" ht="12.75">
      <c r="A79" s="152"/>
      <c r="B79" s="125"/>
      <c r="C79" s="110"/>
      <c r="D79" s="18"/>
      <c r="E79" s="139"/>
      <c r="F79" s="6"/>
      <c r="G79" s="139"/>
      <c r="H79" s="151"/>
    </row>
    <row r="80" spans="1:8" ht="12.75">
      <c r="A80" s="152" t="s">
        <v>357</v>
      </c>
      <c r="B80" s="125">
        <v>20</v>
      </c>
      <c r="C80" s="301">
        <f>'Tax Rates 2001'!C19</f>
        <v>0.00225</v>
      </c>
      <c r="D80" s="102"/>
      <c r="E80" s="268">
        <f>G80-C80</f>
        <v>0</v>
      </c>
      <c r="F80" s="6"/>
      <c r="G80" s="268">
        <f>'Tax Rates 2001'!C55</f>
        <v>0.00225</v>
      </c>
      <c r="H80" s="151"/>
    </row>
    <row r="81" spans="1:8" ht="12.75">
      <c r="A81" s="152"/>
      <c r="B81" s="125"/>
      <c r="C81" s="110"/>
      <c r="D81" s="18"/>
      <c r="E81" s="139"/>
      <c r="F81" s="6"/>
      <c r="G81" s="139"/>
      <c r="H81" s="151"/>
    </row>
    <row r="82" spans="1:8" ht="12.75">
      <c r="A82" s="152" t="s">
        <v>312</v>
      </c>
      <c r="B82" s="125"/>
      <c r="C82" s="264">
        <f>IF(C78&gt;0,C78*C80,0)*REGINFO!$B$6/REGINFO!$B$7</f>
        <v>93031.81490958904</v>
      </c>
      <c r="D82" s="102"/>
      <c r="E82" s="267">
        <f>+G82-C82</f>
        <v>3313.9248164383607</v>
      </c>
      <c r="F82" s="6"/>
      <c r="G82" s="264">
        <f>G78*G80*B9/B10</f>
        <v>96345.7397260274</v>
      </c>
      <c r="H82" s="151"/>
    </row>
    <row r="83" spans="1:8" ht="12.75">
      <c r="A83" s="152" t="s">
        <v>313</v>
      </c>
      <c r="B83" s="125">
        <v>21</v>
      </c>
      <c r="C83" s="300">
        <f>IF(C78&gt;0,IF(C61&gt;0,C51*'Tax Rates 2001'!C20,0),0)</f>
        <v>31060.439924041766</v>
      </c>
      <c r="D83" s="102"/>
      <c r="E83" s="267">
        <f>+G83-C83</f>
        <v>-31060.439924041766</v>
      </c>
      <c r="F83" s="6"/>
      <c r="G83" s="300">
        <f>IF(G78&gt;0,IF(G61&gt;0,G51*'Tax Rates 2001'!G20,0),0)</f>
        <v>0</v>
      </c>
      <c r="H83" s="151"/>
    </row>
    <row r="84" spans="1:8" ht="12.75">
      <c r="A84" s="152"/>
      <c r="B84" s="125"/>
      <c r="C84" s="110"/>
      <c r="D84" s="18"/>
      <c r="E84" s="139"/>
      <c r="F84" s="6"/>
      <c r="G84" s="139"/>
      <c r="H84" s="151"/>
    </row>
    <row r="85" spans="1:12" ht="12.75">
      <c r="A85" s="152" t="s">
        <v>32</v>
      </c>
      <c r="B85" s="125"/>
      <c r="C85" s="264">
        <f>C82-C83</f>
        <v>61971.37498554727</v>
      </c>
      <c r="D85" s="16"/>
      <c r="E85" s="267">
        <f>E82-E83</f>
        <v>34374.36474048013</v>
      </c>
      <c r="F85" s="103"/>
      <c r="G85" s="264">
        <f>G82-G83</f>
        <v>96345.7397260274</v>
      </c>
      <c r="H85" s="161"/>
      <c r="L85" s="22"/>
    </row>
    <row r="86" spans="1:8" ht="12.75">
      <c r="A86" s="152"/>
      <c r="B86" s="125"/>
      <c r="C86" s="105"/>
      <c r="D86" s="11"/>
      <c r="E86" s="141"/>
      <c r="F86" s="6"/>
      <c r="G86" s="141"/>
      <c r="H86" s="163"/>
    </row>
    <row r="87" spans="1:8" ht="12.75">
      <c r="A87" s="154" t="s">
        <v>118</v>
      </c>
      <c r="B87" s="128"/>
      <c r="C87" s="105"/>
      <c r="D87" s="11"/>
      <c r="E87" s="115"/>
      <c r="F87" s="3"/>
      <c r="G87" s="123"/>
      <c r="H87" s="151"/>
    </row>
    <row r="88" spans="1:8" ht="12.75">
      <c r="A88" s="154"/>
      <c r="B88" s="128"/>
      <c r="C88" s="105"/>
      <c r="D88" s="11"/>
      <c r="E88" s="114"/>
      <c r="F88" s="6"/>
      <c r="G88" s="198"/>
      <c r="H88" s="151"/>
    </row>
    <row r="89" spans="1:8" ht="12.75">
      <c r="A89" s="152" t="s">
        <v>227</v>
      </c>
      <c r="B89" s="125"/>
      <c r="C89" s="262">
        <f>IF($C$51&gt;'Tax Rates 2001'!$E$11,'Tax Rates 2001'!$F$16,IF(AND($C$51&gt;='Tax Rates 2001'!$C$11,$C$51&lt;='Tax Rates 2001'!E11),'Tax Rates 2001'!$E$16,'Tax Rates 2001'!$C$16))-1.12%</f>
        <v>0.395</v>
      </c>
      <c r="D89" s="11"/>
      <c r="E89" s="114"/>
      <c r="F89" s="6"/>
      <c r="G89" s="198"/>
      <c r="H89" s="151"/>
    </row>
    <row r="90" spans="1:8" ht="12.75">
      <c r="A90" s="150"/>
      <c r="B90" s="129"/>
      <c r="C90" s="110"/>
      <c r="D90" s="11"/>
      <c r="E90" s="114"/>
      <c r="F90" s="6"/>
      <c r="G90" s="198"/>
      <c r="H90" s="151"/>
    </row>
    <row r="91" spans="1:8" ht="12.75">
      <c r="A91" s="158" t="s">
        <v>365</v>
      </c>
      <c r="B91" s="127">
        <v>22</v>
      </c>
      <c r="C91" s="264">
        <f>C61/(1-C89)</f>
        <v>1861976.1949742867</v>
      </c>
      <c r="D91" s="20"/>
      <c r="E91" s="139"/>
      <c r="F91" s="429" t="s">
        <v>467</v>
      </c>
      <c r="G91" s="270">
        <f>TAXREC!E156</f>
        <v>0</v>
      </c>
      <c r="H91" s="151"/>
    </row>
    <row r="92" spans="1:8" ht="12.75">
      <c r="A92" s="158" t="s">
        <v>366</v>
      </c>
      <c r="B92" s="127">
        <v>23</v>
      </c>
      <c r="C92" s="264">
        <f>C85/(1-C89)</f>
        <v>102432.02476949962</v>
      </c>
      <c r="D92" s="20"/>
      <c r="E92" s="139"/>
      <c r="F92" s="429" t="s">
        <v>467</v>
      </c>
      <c r="G92" s="270">
        <f>TAXREC!E158</f>
        <v>96346</v>
      </c>
      <c r="H92" s="151"/>
    </row>
    <row r="93" spans="1:8" ht="12.75">
      <c r="A93" s="158" t="s">
        <v>344</v>
      </c>
      <c r="B93" s="127">
        <v>24</v>
      </c>
      <c r="C93" s="264">
        <f>C73</f>
        <v>127823.24179726029</v>
      </c>
      <c r="D93" s="20"/>
      <c r="E93" s="139"/>
      <c r="F93" s="429" t="s">
        <v>467</v>
      </c>
      <c r="G93" s="270">
        <f>TAXREC!E157</f>
        <v>139266</v>
      </c>
      <c r="H93" s="151"/>
    </row>
    <row r="94" spans="1:8" ht="12.75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8"/>
      <c r="B95" s="127"/>
      <c r="C95" s="110"/>
      <c r="D95" s="11"/>
      <c r="E95" s="139"/>
      <c r="F95" s="6"/>
      <c r="G95" s="139"/>
      <c r="H95" s="151"/>
    </row>
    <row r="96" spans="1:8" ht="13.5" thickBot="1">
      <c r="A96" s="156" t="s">
        <v>468</v>
      </c>
      <c r="B96" s="125">
        <v>25</v>
      </c>
      <c r="C96" s="269">
        <f>SUM(C91:C94)</f>
        <v>2092231.4615410466</v>
      </c>
      <c r="D96" s="6"/>
      <c r="E96" s="139"/>
      <c r="F96" s="429" t="s">
        <v>467</v>
      </c>
      <c r="G96" s="414">
        <f>SUM(G91:G95)</f>
        <v>235612</v>
      </c>
      <c r="H96" s="164"/>
    </row>
    <row r="97" spans="1:8" ht="12.75">
      <c r="A97" s="404" t="s">
        <v>303</v>
      </c>
      <c r="B97" s="125"/>
      <c r="C97" s="105"/>
      <c r="D97" s="6"/>
      <c r="E97" s="109"/>
      <c r="F97" s="6"/>
      <c r="G97" s="139"/>
      <c r="H97" s="164"/>
    </row>
    <row r="98" spans="1:8" ht="13.5" thickBot="1">
      <c r="A98" s="152"/>
      <c r="B98" s="125"/>
      <c r="C98" s="105"/>
      <c r="D98" s="6"/>
      <c r="E98" s="109"/>
      <c r="F98" s="6"/>
      <c r="G98" s="139"/>
      <c r="H98" s="182"/>
    </row>
    <row r="99" spans="1:8" ht="13.5" thickTop="1">
      <c r="A99" s="165"/>
      <c r="B99" s="124"/>
      <c r="C99" s="111"/>
      <c r="D99" s="7"/>
      <c r="E99" s="142"/>
      <c r="F99" s="7"/>
      <c r="G99" s="199"/>
      <c r="H99" s="164"/>
    </row>
    <row r="100" spans="1:8" ht="12.75">
      <c r="A100" s="156" t="s">
        <v>300</v>
      </c>
      <c r="B100" s="123"/>
      <c r="C100" s="112"/>
      <c r="D100" s="3"/>
      <c r="E100" s="112"/>
      <c r="F100" s="3"/>
      <c r="G100" s="200"/>
      <c r="H100" s="164"/>
    </row>
    <row r="101" spans="1:8" ht="15">
      <c r="A101" s="166" t="s">
        <v>246</v>
      </c>
      <c r="B101" s="123"/>
      <c r="C101" s="112"/>
      <c r="D101" s="3"/>
      <c r="E101" s="143" t="s">
        <v>248</v>
      </c>
      <c r="F101" s="37"/>
      <c r="G101" s="200"/>
      <c r="H101" s="164"/>
    </row>
    <row r="102" spans="1:8" ht="12.75">
      <c r="A102" s="156" t="s">
        <v>343</v>
      </c>
      <c r="B102" s="123"/>
      <c r="C102" s="112"/>
      <c r="D102" s="3"/>
      <c r="E102" s="112"/>
      <c r="F102" s="37"/>
      <c r="G102" s="200"/>
      <c r="H102" s="164"/>
    </row>
    <row r="103" spans="1:8" ht="12.75">
      <c r="A103" s="158" t="s">
        <v>56</v>
      </c>
      <c r="B103" s="127">
        <v>3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100</v>
      </c>
      <c r="B105" s="127">
        <v>4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44</v>
      </c>
      <c r="B106" s="127">
        <v>5</v>
      </c>
      <c r="C106" s="112"/>
      <c r="D106" s="3"/>
      <c r="E106" s="251">
        <f>E25</f>
        <v>0</v>
      </c>
      <c r="F106" s="37"/>
      <c r="G106" s="201"/>
      <c r="H106" s="164"/>
    </row>
    <row r="107" spans="1:8" ht="12.75">
      <c r="A107" s="158" t="s">
        <v>359</v>
      </c>
      <c r="B107" s="127">
        <v>6</v>
      </c>
      <c r="C107" s="112"/>
      <c r="D107" s="3"/>
      <c r="E107" s="251">
        <f>E27</f>
        <v>0</v>
      </c>
      <c r="F107" s="37"/>
      <c r="G107" s="201"/>
      <c r="H107" s="164"/>
    </row>
    <row r="108" spans="1:8" ht="12.75">
      <c r="A108" s="158" t="s">
        <v>360</v>
      </c>
      <c r="B108" s="127">
        <v>6</v>
      </c>
      <c r="C108" s="112"/>
      <c r="D108" s="3"/>
      <c r="E108" s="251">
        <f>E29</f>
        <v>0</v>
      </c>
      <c r="F108" s="37"/>
      <c r="G108" s="201"/>
      <c r="H108" s="164"/>
    </row>
    <row r="109" spans="1:8" ht="12.75">
      <c r="A109" s="156" t="s">
        <v>358</v>
      </c>
      <c r="B109" s="127"/>
      <c r="C109" s="112"/>
      <c r="D109" s="3"/>
      <c r="E109" s="30"/>
      <c r="F109" s="37"/>
      <c r="G109" s="201"/>
      <c r="H109" s="164"/>
    </row>
    <row r="110" spans="1:8" ht="12.75">
      <c r="A110" s="158" t="s">
        <v>57</v>
      </c>
      <c r="B110" s="127">
        <v>8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45</v>
      </c>
      <c r="B111" s="127">
        <v>9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8" t="s">
        <v>44</v>
      </c>
      <c r="B112" s="127">
        <v>10</v>
      </c>
      <c r="C112" s="112"/>
      <c r="D112" s="3"/>
      <c r="E112" s="251">
        <f>E37</f>
        <v>0</v>
      </c>
      <c r="F112" s="37"/>
      <c r="G112" s="201"/>
      <c r="H112" s="164"/>
    </row>
    <row r="113" spans="1:8" ht="12.75">
      <c r="A113" s="155" t="s">
        <v>315</v>
      </c>
      <c r="B113" s="127">
        <v>11</v>
      </c>
      <c r="C113" s="112"/>
      <c r="D113" s="3"/>
      <c r="E113" s="470">
        <f>E207</f>
        <v>0</v>
      </c>
      <c r="F113" s="187"/>
      <c r="G113" s="201"/>
      <c r="H113" s="164"/>
    </row>
    <row r="114" spans="1:8" ht="12.75">
      <c r="A114" s="155" t="s">
        <v>15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101</v>
      </c>
      <c r="B115" s="125">
        <v>4</v>
      </c>
      <c r="C115" s="112"/>
      <c r="D115" s="3"/>
      <c r="E115" s="251">
        <f>E40</f>
        <v>-52250</v>
      </c>
      <c r="F115" s="37"/>
      <c r="G115" s="201"/>
      <c r="H115" s="164"/>
    </row>
    <row r="116" spans="1:8" ht="12.75">
      <c r="A116" s="155" t="s">
        <v>12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5" t="s">
        <v>13</v>
      </c>
      <c r="B117" s="125">
        <v>3</v>
      </c>
      <c r="C117" s="112"/>
      <c r="D117" s="3"/>
      <c r="E117" s="251">
        <f>E42</f>
        <v>0</v>
      </c>
      <c r="F117" s="37"/>
      <c r="G117" s="201"/>
      <c r="H117" s="164"/>
    </row>
    <row r="118" spans="1:8" ht="12.75">
      <c r="A118" s="158" t="s">
        <v>361</v>
      </c>
      <c r="B118" s="127">
        <v>12</v>
      </c>
      <c r="C118" s="112"/>
      <c r="D118" s="3"/>
      <c r="E118" s="251">
        <f>E45</f>
        <v>0</v>
      </c>
      <c r="F118" s="37"/>
      <c r="G118" s="201"/>
      <c r="H118" s="164"/>
    </row>
    <row r="119" spans="1:8" ht="12.75">
      <c r="A119" s="158" t="s">
        <v>362</v>
      </c>
      <c r="B119" s="127">
        <v>12</v>
      </c>
      <c r="C119" s="112"/>
      <c r="D119" s="3"/>
      <c r="E119" s="251">
        <f>E47</f>
        <v>0</v>
      </c>
      <c r="F119" s="37"/>
      <c r="G119" s="201"/>
      <c r="H119" s="164"/>
    </row>
    <row r="120" spans="1:8" ht="12.75">
      <c r="A120" s="158"/>
      <c r="B120" s="127"/>
      <c r="C120" s="112"/>
      <c r="D120" s="3"/>
      <c r="E120" s="110"/>
      <c r="F120" s="37"/>
      <c r="G120" s="201"/>
      <c r="H120" s="164"/>
    </row>
    <row r="121" spans="1:8" ht="12.75">
      <c r="A121" s="152" t="s">
        <v>220</v>
      </c>
      <c r="B121" s="127">
        <v>26</v>
      </c>
      <c r="C121" s="112"/>
      <c r="D121" s="117" t="s">
        <v>189</v>
      </c>
      <c r="E121" s="264">
        <f>SUM(E103:E108)-SUM(E110:E119)</f>
        <v>52250</v>
      </c>
      <c r="F121" s="37"/>
      <c r="G121" s="201"/>
      <c r="H121" s="164"/>
    </row>
    <row r="122" spans="1:8" ht="12.75">
      <c r="A122" s="152"/>
      <c r="B122" s="127"/>
      <c r="C122" s="112"/>
      <c r="D122" s="117"/>
      <c r="E122" s="110"/>
      <c r="F122" s="37"/>
      <c r="G122" s="201"/>
      <c r="H122" s="164"/>
    </row>
    <row r="123" spans="1:8" ht="12.75">
      <c r="A123" s="157" t="s">
        <v>484</v>
      </c>
      <c r="B123" s="127"/>
      <c r="C123" s="112"/>
      <c r="D123" s="3" t="s">
        <v>231</v>
      </c>
      <c r="E123" s="467">
        <f>IF((E121+G51)&gt;'Tax Rates 2001'!$E$47,'Tax Rates 2001'!$F$52-1.12%,IF((E121+G51)&gt;'Tax Rates 2001'!$D$47,'Tax Rates 2001'!$E$52-1.12%,IF((E121+G51)&gt;'Tax Rates 2001'!$C$47,'Tax Rates 2001'!$D$52-1.12%,'Tax Rates 2001'!$C$52-1.12%)))</f>
        <v>0.18</v>
      </c>
      <c r="F123" s="468"/>
      <c r="G123" s="201" t="s">
        <v>102</v>
      </c>
      <c r="H123" s="164"/>
    </row>
    <row r="124" spans="1:8" ht="12.75">
      <c r="A124" s="158"/>
      <c r="B124" s="127"/>
      <c r="C124" s="112"/>
      <c r="D124" s="3"/>
      <c r="E124" s="110"/>
      <c r="F124" s="37"/>
      <c r="G124" s="201" t="s">
        <v>102</v>
      </c>
      <c r="H124" s="164"/>
    </row>
    <row r="125" spans="1:8" ht="12.75">
      <c r="A125" s="158" t="s">
        <v>245</v>
      </c>
      <c r="B125" s="127"/>
      <c r="C125" s="112"/>
      <c r="D125" s="3" t="s">
        <v>189</v>
      </c>
      <c r="E125" s="264">
        <f>E121*E123</f>
        <v>9405</v>
      </c>
      <c r="F125" s="37"/>
      <c r="G125" s="201"/>
      <c r="H125" s="164"/>
    </row>
    <row r="126" spans="1:8" ht="12.75">
      <c r="A126" s="158"/>
      <c r="B126" s="127"/>
      <c r="C126" s="112"/>
      <c r="D126" s="3"/>
      <c r="E126" s="110"/>
      <c r="F126" s="37"/>
      <c r="G126" s="201"/>
      <c r="H126" s="164"/>
    </row>
    <row r="127" spans="1:8" ht="12.75">
      <c r="A127" s="158" t="s">
        <v>114</v>
      </c>
      <c r="B127" s="127">
        <v>14</v>
      </c>
      <c r="C127" s="112"/>
      <c r="D127" s="3"/>
      <c r="E127" s="264">
        <f>E59</f>
        <v>0</v>
      </c>
      <c r="F127" s="37"/>
      <c r="G127" s="201"/>
      <c r="H127" s="164"/>
    </row>
    <row r="128" spans="1:8" ht="12.75">
      <c r="A128" s="158"/>
      <c r="B128" s="127"/>
      <c r="C128" s="112"/>
      <c r="D128" s="3"/>
      <c r="E128" s="110"/>
      <c r="F128" s="37"/>
      <c r="G128" s="201"/>
      <c r="H128" s="164"/>
    </row>
    <row r="129" spans="1:8" ht="12.75">
      <c r="A129" s="158" t="s">
        <v>117</v>
      </c>
      <c r="B129" s="127"/>
      <c r="C129" s="112"/>
      <c r="D129" s="3"/>
      <c r="E129" s="264">
        <f>E125-E127</f>
        <v>9405</v>
      </c>
      <c r="F129" s="37"/>
      <c r="G129" s="201"/>
      <c r="H129" s="164"/>
    </row>
    <row r="130" spans="1:8" ht="12.75">
      <c r="A130" s="167"/>
      <c r="B130" s="127"/>
      <c r="C130" s="112"/>
      <c r="D130" s="3"/>
      <c r="E130" s="110"/>
      <c r="F130" s="37"/>
      <c r="G130" s="201"/>
      <c r="H130" s="164"/>
    </row>
    <row r="131" spans="1:8" ht="12.75">
      <c r="A131" s="152" t="s">
        <v>196</v>
      </c>
      <c r="B131" s="127"/>
      <c r="C131" s="112"/>
      <c r="D131" s="3"/>
      <c r="E131" s="312">
        <f>IF((E121+C51)&gt;'Tax Rates 2002'!$E$29,'Tax Rates 2001'!$F$34-1.12%,IF((E121+C51)&gt;'Tax Rates 2002'!$D$29,'Tax Rates 2002'!$E$34-1.12%,IF((E121+C51)&gt;'Tax Rates 2002'!$C$29,'Tax Rates 2002'!$D$342-1.12%,'Tax Rates 2002'!$C$34-1.12%)))</f>
        <v>0.395</v>
      </c>
      <c r="F131" s="37"/>
      <c r="G131" s="201"/>
      <c r="H131" s="164"/>
    </row>
    <row r="132" spans="1:8" ht="12.75">
      <c r="A132" s="150"/>
      <c r="B132" s="127"/>
      <c r="C132" s="112"/>
      <c r="D132" s="3"/>
      <c r="E132" s="110"/>
      <c r="F132" s="37"/>
      <c r="G132" s="201"/>
      <c r="H132" s="164"/>
    </row>
    <row r="133" spans="1:8" ht="12.75">
      <c r="A133" s="168" t="s">
        <v>348</v>
      </c>
      <c r="B133" s="130"/>
      <c r="C133" s="112"/>
      <c r="D133" s="3"/>
      <c r="E133" s="263">
        <f>E129/(1-E131)</f>
        <v>15545.454545454546</v>
      </c>
      <c r="F133" s="37"/>
      <c r="G133" s="201"/>
      <c r="H133" s="164"/>
    </row>
    <row r="134" spans="1:8" ht="12.75">
      <c r="A134" s="168"/>
      <c r="B134" s="130"/>
      <c r="C134" s="112"/>
      <c r="D134" s="3"/>
      <c r="E134" s="107"/>
      <c r="F134" s="37"/>
      <c r="G134" s="201"/>
      <c r="H134" s="164"/>
    </row>
    <row r="135" spans="1:8" ht="30">
      <c r="A135" s="169" t="s">
        <v>351</v>
      </c>
      <c r="B135" s="130"/>
      <c r="C135" s="112"/>
      <c r="D135" s="3"/>
      <c r="E135" s="107"/>
      <c r="F135" s="37"/>
      <c r="G135" s="201"/>
      <c r="H135" s="164"/>
    </row>
    <row r="136" spans="1:8" ht="12.75">
      <c r="A136" s="170"/>
      <c r="B136" s="130"/>
      <c r="C136" s="112"/>
      <c r="D136" s="3"/>
      <c r="E136" s="107"/>
      <c r="F136" s="37"/>
      <c r="G136" s="201"/>
      <c r="H136" s="164"/>
    </row>
    <row r="137" spans="1:8" ht="25.5">
      <c r="A137" s="171" t="s">
        <v>235</v>
      </c>
      <c r="B137" s="130"/>
      <c r="C137" s="112"/>
      <c r="D137" s="118" t="s">
        <v>189</v>
      </c>
      <c r="E137" s="302">
        <f>C51</f>
        <v>2773253.5646465863</v>
      </c>
      <c r="F137" s="37"/>
      <c r="G137" s="201"/>
      <c r="H137" s="164"/>
    </row>
    <row r="138" spans="1:8" ht="12.75">
      <c r="A138" s="171"/>
      <c r="B138" s="130"/>
      <c r="C138" s="112"/>
      <c r="D138" s="119"/>
      <c r="E138" s="145"/>
      <c r="F138" s="37"/>
      <c r="G138" s="201"/>
      <c r="H138" s="164"/>
    </row>
    <row r="139" spans="1:8" ht="12.75">
      <c r="A139" s="171" t="s">
        <v>237</v>
      </c>
      <c r="B139" s="130"/>
      <c r="C139" s="112"/>
      <c r="D139" s="119" t="s">
        <v>231</v>
      </c>
      <c r="E139" s="312">
        <f>IF((E121+E137)&gt;'Tax Rates 2002'!E47,'Tax Rates 2002'!F52,IF((E121+E137)&gt;'Tax Rates 2002'!D47,'Tax Rates 2002'!E52,IF((E121+E137)&gt;'Tax Rates 2002'!C47,'Tax Rates 2002'!D52,'Tax Rates 2002'!C52)))</f>
        <v>0.4062</v>
      </c>
      <c r="F139" s="197" t="s">
        <v>102</v>
      </c>
      <c r="G139" s="201"/>
      <c r="H139" s="164"/>
    </row>
    <row r="140" spans="1:8" ht="12.75">
      <c r="A140" s="171"/>
      <c r="B140" s="130"/>
      <c r="C140" s="112"/>
      <c r="D140" s="119"/>
      <c r="E140" s="144"/>
      <c r="F140" s="37"/>
      <c r="G140" s="201"/>
      <c r="H140" s="164"/>
    </row>
    <row r="141" spans="1:8" ht="12.75">
      <c r="A141" s="171" t="s">
        <v>229</v>
      </c>
      <c r="B141" s="130"/>
      <c r="C141" s="112"/>
      <c r="D141" s="118" t="s">
        <v>189</v>
      </c>
      <c r="E141" s="303">
        <f>IF(E137&gt;0,E137*E139,0)</f>
        <v>1126495.5979594435</v>
      </c>
      <c r="F141" s="37"/>
      <c r="G141" s="201"/>
      <c r="H141" s="164"/>
    </row>
    <row r="142" spans="1:8" ht="12.75">
      <c r="A142" s="171"/>
      <c r="B142" s="130"/>
      <c r="C142" s="112"/>
      <c r="D142" s="119"/>
      <c r="E142" s="144"/>
      <c r="F142" s="37"/>
      <c r="G142" s="201"/>
      <c r="H142" s="164"/>
    </row>
    <row r="143" spans="1:8" ht="12.75">
      <c r="A143" s="171" t="s">
        <v>238</v>
      </c>
      <c r="B143" s="130"/>
      <c r="C143" s="112"/>
      <c r="D143" s="118" t="s">
        <v>188</v>
      </c>
      <c r="E143" s="304">
        <f>TAXREC!E145</f>
        <v>0</v>
      </c>
      <c r="F143" s="37"/>
      <c r="G143" s="201"/>
      <c r="H143" s="164"/>
    </row>
    <row r="144" spans="1:8" ht="12.75">
      <c r="A144" s="171"/>
      <c r="B144" s="130"/>
      <c r="C144" s="112"/>
      <c r="D144" s="119"/>
      <c r="E144" s="144"/>
      <c r="F144" s="37"/>
      <c r="G144" s="201"/>
      <c r="H144" s="164"/>
    </row>
    <row r="145" spans="1:8" ht="12.75">
      <c r="A145" s="171" t="s">
        <v>230</v>
      </c>
      <c r="B145" s="130"/>
      <c r="C145" s="112"/>
      <c r="D145" s="119" t="s">
        <v>189</v>
      </c>
      <c r="E145" s="302">
        <f>E141-E143</f>
        <v>1126495.5979594435</v>
      </c>
      <c r="F145" s="37"/>
      <c r="G145" s="201"/>
      <c r="H145" s="164"/>
    </row>
    <row r="146" spans="1:8" ht="12.75">
      <c r="A146" s="171"/>
      <c r="B146" s="130"/>
      <c r="C146" s="112"/>
      <c r="D146" s="119"/>
      <c r="E146" s="144"/>
      <c r="F146" s="37"/>
      <c r="G146" s="201"/>
      <c r="H146" s="164"/>
    </row>
    <row r="147" spans="1:8" ht="25.5">
      <c r="A147" s="171" t="s">
        <v>486</v>
      </c>
      <c r="B147" s="130"/>
      <c r="C147" s="112"/>
      <c r="D147" s="118" t="s">
        <v>188</v>
      </c>
      <c r="E147" s="302">
        <f>C61</f>
        <v>1126495.5979594435</v>
      </c>
      <c r="F147" s="37"/>
      <c r="G147" s="201"/>
      <c r="H147" s="164"/>
    </row>
    <row r="148" spans="1:8" ht="12.75">
      <c r="A148" s="171"/>
      <c r="B148" s="130"/>
      <c r="C148" s="112"/>
      <c r="D148" s="119"/>
      <c r="E148" s="144"/>
      <c r="F148" s="37"/>
      <c r="G148" s="201"/>
      <c r="H148" s="164"/>
    </row>
    <row r="149" spans="1:8" ht="12.75">
      <c r="A149" s="171" t="s">
        <v>232</v>
      </c>
      <c r="B149" s="130"/>
      <c r="C149" s="112"/>
      <c r="D149" s="118" t="s">
        <v>189</v>
      </c>
      <c r="E149" s="302">
        <f>E145-E147</f>
        <v>0</v>
      </c>
      <c r="F149" s="37"/>
      <c r="G149" s="201"/>
      <c r="H149" s="164"/>
    </row>
    <row r="150" spans="1:8" ht="12.75">
      <c r="A150" s="171"/>
      <c r="B150" s="130"/>
      <c r="C150" s="112"/>
      <c r="D150" s="119"/>
      <c r="E150" s="144"/>
      <c r="F150" s="37"/>
      <c r="G150" s="201"/>
      <c r="H150" s="164"/>
    </row>
    <row r="151" spans="1:8" ht="12.75">
      <c r="A151" s="387" t="s">
        <v>20</v>
      </c>
      <c r="B151" s="130"/>
      <c r="C151" s="112"/>
      <c r="D151" s="119"/>
      <c r="E151" s="304"/>
      <c r="F151" s="37"/>
      <c r="G151" s="201"/>
      <c r="H151" s="164"/>
    </row>
    <row r="152" spans="1:8" ht="12.75">
      <c r="A152" s="171" t="s">
        <v>17</v>
      </c>
      <c r="B152" s="130"/>
      <c r="C152" s="112"/>
      <c r="D152" s="119" t="s">
        <v>189</v>
      </c>
      <c r="E152" s="302">
        <f>C67</f>
        <v>174041606</v>
      </c>
      <c r="F152" s="37"/>
      <c r="G152" s="201"/>
      <c r="H152" s="164"/>
    </row>
    <row r="153" spans="1:8" ht="12.75">
      <c r="A153" s="171" t="s">
        <v>354</v>
      </c>
      <c r="B153" s="130"/>
      <c r="C153" s="112"/>
      <c r="D153" s="118" t="s">
        <v>188</v>
      </c>
      <c r="E153" s="305">
        <f>IF(E152&gt;0,'Tax Rates 2002'!C39,0)</f>
        <v>5000000</v>
      </c>
      <c r="F153" s="37"/>
      <c r="G153" s="201"/>
      <c r="H153" s="164"/>
    </row>
    <row r="154" spans="1:8" ht="12.75">
      <c r="A154" s="171" t="s">
        <v>233</v>
      </c>
      <c r="B154" s="130"/>
      <c r="C154" s="112"/>
      <c r="D154" s="118" t="s">
        <v>189</v>
      </c>
      <c r="E154" s="302">
        <f>E152-E153</f>
        <v>169041606</v>
      </c>
      <c r="F154" s="37"/>
      <c r="G154" s="201"/>
      <c r="H154" s="164"/>
    </row>
    <row r="155" spans="1:8" ht="12.75">
      <c r="A155" s="171"/>
      <c r="B155" s="130"/>
      <c r="C155" s="112"/>
      <c r="D155" s="119"/>
      <c r="E155" s="144"/>
      <c r="F155" s="37"/>
      <c r="G155" s="201"/>
      <c r="H155" s="164"/>
    </row>
    <row r="156" spans="1:8" ht="12.75">
      <c r="A156" s="171" t="s">
        <v>355</v>
      </c>
      <c r="B156" s="130"/>
      <c r="C156" s="112"/>
      <c r="D156" s="119" t="s">
        <v>231</v>
      </c>
      <c r="E156" s="306">
        <f>'Tax Rates 2002'!C54</f>
        <v>0.003</v>
      </c>
      <c r="F156" s="37"/>
      <c r="G156" s="201"/>
      <c r="H156" s="164"/>
    </row>
    <row r="157" spans="1:8" ht="12.75">
      <c r="A157" s="171"/>
      <c r="B157" s="130"/>
      <c r="C157" s="112"/>
      <c r="D157" s="119"/>
      <c r="E157" s="144"/>
      <c r="F157" s="37"/>
      <c r="G157" s="201"/>
      <c r="H157" s="164"/>
    </row>
    <row r="158" spans="1:8" ht="12.75">
      <c r="A158" s="171" t="s">
        <v>234</v>
      </c>
      <c r="B158" s="130"/>
      <c r="C158" s="112"/>
      <c r="D158" s="119" t="s">
        <v>189</v>
      </c>
      <c r="E158" s="302">
        <f>IF(E154&gt;0,E154*E156*B9/B10,0)</f>
        <v>127823.24179726029</v>
      </c>
      <c r="F158" s="37"/>
      <c r="G158" s="201"/>
      <c r="H158" s="164"/>
    </row>
    <row r="159" spans="1:8" ht="25.5">
      <c r="A159" s="171" t="s">
        <v>487</v>
      </c>
      <c r="B159" s="130"/>
      <c r="C159" s="112"/>
      <c r="D159" s="118" t="s">
        <v>188</v>
      </c>
      <c r="E159" s="305">
        <f>C73</f>
        <v>127823.24179726029</v>
      </c>
      <c r="F159" s="37"/>
      <c r="G159" s="201"/>
      <c r="H159" s="164"/>
    </row>
    <row r="160" spans="1:8" ht="12.75" customHeight="1">
      <c r="A160" s="172" t="s">
        <v>243</v>
      </c>
      <c r="B160" s="130"/>
      <c r="C160" s="112"/>
      <c r="D160" s="118" t="s">
        <v>189</v>
      </c>
      <c r="E160" s="472">
        <f>E158-E159</f>
        <v>0</v>
      </c>
      <c r="F160" s="37"/>
      <c r="G160" s="201"/>
      <c r="H160" s="164"/>
    </row>
    <row r="161" spans="1:8" ht="12.75">
      <c r="A161" s="171"/>
      <c r="B161" s="130"/>
      <c r="C161" s="112"/>
      <c r="D161" s="119"/>
      <c r="E161" s="144"/>
      <c r="F161" s="37"/>
      <c r="G161" s="201"/>
      <c r="H161" s="164"/>
    </row>
    <row r="162" spans="1:8" ht="12.75">
      <c r="A162" s="387" t="s">
        <v>236</v>
      </c>
      <c r="B162" s="130"/>
      <c r="C162" s="112"/>
      <c r="D162" s="119"/>
      <c r="E162" s="304"/>
      <c r="F162" s="37"/>
      <c r="G162" s="201"/>
      <c r="H162" s="164"/>
    </row>
    <row r="163" spans="1:8" ht="12.75">
      <c r="A163" s="171" t="s">
        <v>17</v>
      </c>
      <c r="B163" s="130"/>
      <c r="C163" s="112"/>
      <c r="D163" s="119"/>
      <c r="E163" s="302">
        <f>C76</f>
        <v>174041606</v>
      </c>
      <c r="F163" s="37"/>
      <c r="G163" s="201"/>
      <c r="H163" s="164"/>
    </row>
    <row r="164" spans="1:8" ht="12.75">
      <c r="A164" s="171" t="s">
        <v>353</v>
      </c>
      <c r="B164" s="130"/>
      <c r="C164" s="112"/>
      <c r="D164" s="118" t="s">
        <v>188</v>
      </c>
      <c r="E164" s="305">
        <f>IF(E163&gt;0,'Tax Rates 2002'!C40,0)</f>
        <v>10000000</v>
      </c>
      <c r="F164" s="37"/>
      <c r="G164" s="201"/>
      <c r="H164" s="164"/>
    </row>
    <row r="165" spans="1:8" ht="12.75">
      <c r="A165" s="171" t="s">
        <v>239</v>
      </c>
      <c r="B165" s="130"/>
      <c r="C165" s="112"/>
      <c r="D165" s="119" t="s">
        <v>189</v>
      </c>
      <c r="E165" s="302">
        <f>E163-E164</f>
        <v>164041606</v>
      </c>
      <c r="F165" s="37"/>
      <c r="G165" s="201"/>
      <c r="H165" s="164"/>
    </row>
    <row r="166" spans="1:8" ht="12.75">
      <c r="A166" s="171"/>
      <c r="B166" s="130"/>
      <c r="C166" s="112"/>
      <c r="D166" s="119"/>
      <c r="E166" s="144"/>
      <c r="F166" s="37"/>
      <c r="G166" s="201"/>
      <c r="H166" s="164"/>
    </row>
    <row r="167" spans="1:8" ht="12.75">
      <c r="A167" s="171" t="s">
        <v>304</v>
      </c>
      <c r="B167" s="130"/>
      <c r="C167" s="112"/>
      <c r="D167" s="119"/>
      <c r="E167" s="306">
        <f>'Tax Rates 2002'!C55</f>
        <v>0.00225</v>
      </c>
      <c r="F167" s="37"/>
      <c r="G167" s="201"/>
      <c r="H167" s="164"/>
    </row>
    <row r="168" spans="1:8" ht="12.75">
      <c r="A168" s="171"/>
      <c r="B168" s="130"/>
      <c r="C168" s="112"/>
      <c r="D168" s="119"/>
      <c r="E168" s="144"/>
      <c r="F168" s="37"/>
      <c r="G168" s="201"/>
      <c r="H168" s="164"/>
    </row>
    <row r="169" spans="1:8" ht="12.75">
      <c r="A169" s="171" t="s">
        <v>240</v>
      </c>
      <c r="B169" s="130"/>
      <c r="C169" s="112"/>
      <c r="D169" s="119"/>
      <c r="E169" s="302">
        <f>IF(E165&gt;0,E165*E167*B9/B10,0)</f>
        <v>93031.81490958904</v>
      </c>
      <c r="F169" s="37"/>
      <c r="G169" s="201"/>
      <c r="H169" s="164"/>
    </row>
    <row r="170" spans="1:8" ht="12.75">
      <c r="A170" s="171" t="s">
        <v>314</v>
      </c>
      <c r="B170" s="130"/>
      <c r="C170" s="112"/>
      <c r="D170" s="118" t="s">
        <v>188</v>
      </c>
      <c r="E170" s="302">
        <f>IF(E165&gt;0,IF(E145&gt;0,E137*'Tax Rates 2001'!C56,0),0)</f>
        <v>31060.439924041766</v>
      </c>
      <c r="F170" s="37"/>
      <c r="G170" s="201"/>
      <c r="H170" s="164"/>
    </row>
    <row r="171" spans="1:8" ht="12.75">
      <c r="A171" s="171" t="s">
        <v>241</v>
      </c>
      <c r="B171" s="130"/>
      <c r="C171" s="112"/>
      <c r="D171" s="119" t="s">
        <v>189</v>
      </c>
      <c r="E171" s="302">
        <f>E169-E170</f>
        <v>61971.37498554727</v>
      </c>
      <c r="F171" s="37"/>
      <c r="G171" s="201"/>
      <c r="H171" s="164"/>
    </row>
    <row r="172" spans="1:8" ht="12.75">
      <c r="A172" s="171"/>
      <c r="B172" s="130"/>
      <c r="C172" s="112"/>
      <c r="D172" s="119"/>
      <c r="E172" s="241"/>
      <c r="F172" s="37"/>
      <c r="G172" s="201"/>
      <c r="H172" s="164"/>
    </row>
    <row r="173" spans="1:8" ht="12.75">
      <c r="A173" s="415" t="s">
        <v>488</v>
      </c>
      <c r="B173" s="130"/>
      <c r="C173" s="112"/>
      <c r="D173" s="118" t="s">
        <v>188</v>
      </c>
      <c r="E173" s="305">
        <f>C85</f>
        <v>61971.37498554727</v>
      </c>
      <c r="F173" s="37"/>
      <c r="G173" s="201"/>
      <c r="H173" s="164"/>
    </row>
    <row r="174" spans="1:8" ht="12.75">
      <c r="A174" s="155" t="s">
        <v>244</v>
      </c>
      <c r="B174" s="130"/>
      <c r="C174" s="112"/>
      <c r="D174" s="119" t="s">
        <v>189</v>
      </c>
      <c r="E174" s="472">
        <f>E171-E173</f>
        <v>0</v>
      </c>
      <c r="F174" s="37"/>
      <c r="G174" s="201"/>
      <c r="H174" s="164"/>
    </row>
    <row r="175" spans="1:8" ht="12.75">
      <c r="A175" s="155"/>
      <c r="B175" s="130"/>
      <c r="C175" s="112"/>
      <c r="D175" s="119"/>
      <c r="E175" s="144"/>
      <c r="F175" s="37"/>
      <c r="G175" s="201"/>
      <c r="H175" s="164"/>
    </row>
    <row r="176" spans="1:8" ht="12.75">
      <c r="A176" s="155" t="s">
        <v>342</v>
      </c>
      <c r="B176" s="130"/>
      <c r="C176" s="112"/>
      <c r="D176" s="119"/>
      <c r="E176" s="467">
        <f>IF((E121+G51)&gt;'Tax Rates 2001'!E47,'Tax Rates 2001'!F52-1.12%,IF((E121+G51)&gt;'Tax Rates 2001'!D47,'Tax Rates 2001'!E52-1.12%,IF((E121+G51)&gt;'Tax Rates 2001'!C47,'Tax Rates 2001'!D52,'Tax Rates 2001'!C52-1.12%)))</f>
        <v>0.18</v>
      </c>
      <c r="F176" s="468"/>
      <c r="G176" s="201"/>
      <c r="H176" s="164"/>
    </row>
    <row r="177" spans="1:8" ht="12.75">
      <c r="A177" s="155"/>
      <c r="B177" s="130"/>
      <c r="C177" s="112"/>
      <c r="D177" s="119"/>
      <c r="E177" s="144"/>
      <c r="F177" s="37"/>
      <c r="G177" s="201"/>
      <c r="H177" s="164"/>
    </row>
    <row r="178" spans="1:8" ht="12.75">
      <c r="A178" s="168" t="s">
        <v>242</v>
      </c>
      <c r="B178" s="130"/>
      <c r="C178" s="112"/>
      <c r="D178" s="119" t="s">
        <v>187</v>
      </c>
      <c r="E178" s="302">
        <f>E149/(1-E176)</f>
        <v>0</v>
      </c>
      <c r="F178" s="37"/>
      <c r="G178" s="201"/>
      <c r="H178" s="164"/>
    </row>
    <row r="179" spans="1:8" ht="12.75">
      <c r="A179" s="168" t="s">
        <v>33</v>
      </c>
      <c r="B179" s="130"/>
      <c r="C179" s="112"/>
      <c r="D179" s="119" t="s">
        <v>187</v>
      </c>
      <c r="E179" s="302">
        <f>E174/(1-E176)</f>
        <v>0</v>
      </c>
      <c r="F179" s="37"/>
      <c r="G179" s="201"/>
      <c r="H179" s="164"/>
    </row>
    <row r="180" spans="1:8" ht="12.75">
      <c r="A180" s="168" t="s">
        <v>20</v>
      </c>
      <c r="B180" s="130"/>
      <c r="C180" s="112"/>
      <c r="D180" s="119" t="s">
        <v>187</v>
      </c>
      <c r="E180" s="302">
        <f>E160</f>
        <v>0</v>
      </c>
      <c r="F180" s="37"/>
      <c r="G180" s="201"/>
      <c r="H180" s="164"/>
    </row>
    <row r="181" spans="1:8" ht="12.75">
      <c r="A181" s="155"/>
      <c r="B181" s="130"/>
      <c r="C181" s="112"/>
      <c r="D181" s="119"/>
      <c r="E181" s="144"/>
      <c r="F181" s="37"/>
      <c r="G181" s="201"/>
      <c r="H181" s="164"/>
    </row>
    <row r="182" spans="1:8" ht="12.75">
      <c r="A182" s="168" t="s">
        <v>349</v>
      </c>
      <c r="B182" s="130"/>
      <c r="C182" s="112"/>
      <c r="D182" s="119" t="s">
        <v>189</v>
      </c>
      <c r="E182" s="302">
        <f>SUM(E178:E180)</f>
        <v>0</v>
      </c>
      <c r="F182" s="37"/>
      <c r="G182" s="201"/>
      <c r="H182" s="164"/>
    </row>
    <row r="183" spans="1:8" ht="12.75">
      <c r="A183" s="155"/>
      <c r="B183" s="130"/>
      <c r="C183" s="112"/>
      <c r="D183" s="119"/>
      <c r="E183" s="144"/>
      <c r="F183" s="37"/>
      <c r="G183" s="201"/>
      <c r="H183" s="164"/>
    </row>
    <row r="184" spans="1:8" ht="12.75">
      <c r="A184" s="168" t="s">
        <v>489</v>
      </c>
      <c r="B184" s="130"/>
      <c r="C184" s="112"/>
      <c r="D184" s="119" t="s">
        <v>187</v>
      </c>
      <c r="E184" s="302">
        <f>E133</f>
        <v>15545.454545454546</v>
      </c>
      <c r="F184" s="37" t="s">
        <v>102</v>
      </c>
      <c r="G184" s="201"/>
      <c r="H184" s="164"/>
    </row>
    <row r="185" spans="1:8" ht="12.75">
      <c r="A185" s="168"/>
      <c r="B185" s="130"/>
      <c r="C185" s="112"/>
      <c r="D185" s="119"/>
      <c r="E185" s="144"/>
      <c r="F185" s="37"/>
      <c r="G185" s="201"/>
      <c r="H185" s="164"/>
    </row>
    <row r="186" spans="1:8" ht="15">
      <c r="A186" s="173" t="s">
        <v>350</v>
      </c>
      <c r="B186" s="130"/>
      <c r="C186" s="112"/>
      <c r="D186" s="119" t="s">
        <v>189</v>
      </c>
      <c r="E186" s="302">
        <f>E182+E184</f>
        <v>15545.454545454546</v>
      </c>
      <c r="F186" s="37"/>
      <c r="G186" s="201"/>
      <c r="H186" s="164"/>
    </row>
    <row r="187" spans="1:8" ht="12.75">
      <c r="A187" s="162" t="s">
        <v>247</v>
      </c>
      <c r="B187" s="127"/>
      <c r="C187" s="112"/>
      <c r="D187" s="119"/>
      <c r="E187" s="146"/>
      <c r="F187" s="37"/>
      <c r="G187" s="201"/>
      <c r="H187" s="164"/>
    </row>
    <row r="188" spans="1:8" ht="12.75">
      <c r="A188" s="162"/>
      <c r="B188" s="127"/>
      <c r="C188" s="112"/>
      <c r="D188" s="119"/>
      <c r="E188" s="147"/>
      <c r="F188" s="37"/>
      <c r="G188" s="201"/>
      <c r="H188" s="164"/>
    </row>
    <row r="189" spans="1:8" ht="13.5" thickBot="1">
      <c r="A189" s="150"/>
      <c r="B189" s="127"/>
      <c r="C189" s="112"/>
      <c r="D189" s="119"/>
      <c r="E189" s="147"/>
      <c r="F189" s="37"/>
      <c r="G189" s="201"/>
      <c r="H189" s="164"/>
    </row>
    <row r="190" spans="1:8" ht="13.5" thickTop="1">
      <c r="A190" s="174"/>
      <c r="B190" s="131"/>
      <c r="C190" s="113"/>
      <c r="D190" s="99"/>
      <c r="E190" s="148"/>
      <c r="F190" s="7"/>
      <c r="G190" s="124"/>
      <c r="H190" s="175"/>
    </row>
    <row r="191" spans="1:8" ht="12.75">
      <c r="A191" s="168" t="s">
        <v>58</v>
      </c>
      <c r="B191" s="127"/>
      <c r="C191" s="114"/>
      <c r="D191" s="119"/>
      <c r="E191" s="146"/>
      <c r="F191" s="3"/>
      <c r="G191" s="123"/>
      <c r="H191" s="164"/>
    </row>
    <row r="192" spans="1:8" ht="12.75">
      <c r="A192" s="154" t="s">
        <v>83</v>
      </c>
      <c r="B192" s="123"/>
      <c r="C192" s="115"/>
      <c r="D192" s="119"/>
      <c r="E192" s="147"/>
      <c r="F192" s="3"/>
      <c r="G192" s="123"/>
      <c r="H192" s="164"/>
    </row>
    <row r="193" spans="1:8" ht="12.75">
      <c r="A193" s="154"/>
      <c r="B193" s="123"/>
      <c r="C193" s="115"/>
      <c r="D193" s="119"/>
      <c r="E193" s="147"/>
      <c r="F193" s="3"/>
      <c r="G193" s="123"/>
      <c r="H193" s="164"/>
    </row>
    <row r="194" spans="1:8" ht="12.75">
      <c r="A194" s="155" t="s">
        <v>224</v>
      </c>
      <c r="B194" s="127"/>
      <c r="C194" s="112"/>
      <c r="D194" s="120"/>
      <c r="E194" s="308">
        <f>REGINFO!D62</f>
        <v>6700601.831000001</v>
      </c>
      <c r="F194" s="3"/>
      <c r="G194" s="123"/>
      <c r="H194" s="164"/>
    </row>
    <row r="195" spans="1:8" ht="12.75">
      <c r="A195" s="155" t="s">
        <v>490</v>
      </c>
      <c r="B195" s="127"/>
      <c r="C195" s="112"/>
      <c r="D195" s="120"/>
      <c r="E195" s="308">
        <f>REGINFO!D64</f>
        <v>4067610.9526669886</v>
      </c>
      <c r="F195" s="476" t="s">
        <v>493</v>
      </c>
      <c r="G195" s="123"/>
      <c r="H195" s="164"/>
    </row>
    <row r="196" spans="1:8" ht="12.75">
      <c r="A196" s="155"/>
      <c r="B196" s="127"/>
      <c r="C196" s="112"/>
      <c r="D196" s="120"/>
      <c r="E196" s="149"/>
      <c r="F196" s="3"/>
      <c r="G196" s="123"/>
      <c r="H196" s="164"/>
    </row>
    <row r="197" spans="1:8" ht="12.75">
      <c r="A197" s="155" t="s">
        <v>339</v>
      </c>
      <c r="B197" s="127"/>
      <c r="C197" s="112"/>
      <c r="D197" s="120"/>
      <c r="E197" s="308">
        <f>E194-E195</f>
        <v>2632990.8783330126</v>
      </c>
      <c r="F197" s="3"/>
      <c r="G197" s="123"/>
      <c r="H197" s="164"/>
    </row>
    <row r="198" spans="1:8" ht="12.75">
      <c r="A198" s="155" t="s">
        <v>340</v>
      </c>
      <c r="B198" s="127"/>
      <c r="C198" s="112"/>
      <c r="D198" s="120"/>
      <c r="E198" s="147"/>
      <c r="F198" s="3"/>
      <c r="G198" s="123"/>
      <c r="H198" s="164"/>
    </row>
    <row r="199" spans="1:8" ht="12.75">
      <c r="A199" s="155"/>
      <c r="B199" s="127"/>
      <c r="C199" s="112"/>
      <c r="D199" s="120"/>
      <c r="E199" s="147"/>
      <c r="F199" s="3"/>
      <c r="G199" s="123"/>
      <c r="H199" s="164"/>
    </row>
    <row r="200" spans="1:8" ht="12.75">
      <c r="A200" s="168" t="s">
        <v>253</v>
      </c>
      <c r="B200" s="127"/>
      <c r="C200" s="112"/>
      <c r="D200" s="120"/>
      <c r="E200" s="147"/>
      <c r="F200" s="3"/>
      <c r="G200" s="123"/>
      <c r="H200" s="164"/>
    </row>
    <row r="201" spans="1:8" ht="12.75">
      <c r="A201" s="176" t="s">
        <v>85</v>
      </c>
      <c r="B201" s="127"/>
      <c r="C201" s="112"/>
      <c r="D201" s="120"/>
      <c r="E201" s="147"/>
      <c r="F201" s="3"/>
      <c r="G201" s="123"/>
      <c r="H201" s="164"/>
    </row>
    <row r="202" spans="1:8" ht="12.75">
      <c r="A202" s="155" t="s">
        <v>492</v>
      </c>
      <c r="B202" s="127"/>
      <c r="C202" s="112"/>
      <c r="D202" s="120"/>
      <c r="E202" s="308">
        <f>G38+G43</f>
        <v>39000</v>
      </c>
      <c r="F202" s="3"/>
      <c r="G202" s="123"/>
      <c r="H202" s="164"/>
    </row>
    <row r="203" spans="1:8" ht="12.75">
      <c r="A203" s="155" t="s">
        <v>341</v>
      </c>
      <c r="B203" s="127"/>
      <c r="C203" s="112"/>
      <c r="D203" s="120"/>
      <c r="E203" s="308">
        <f>REGINFO!D62</f>
        <v>6700601.831000001</v>
      </c>
      <c r="F203" s="3"/>
      <c r="G203" s="123"/>
      <c r="H203" s="164"/>
    </row>
    <row r="204" spans="1:8" ht="12.75">
      <c r="A204" s="155"/>
      <c r="B204" s="127"/>
      <c r="C204" s="112"/>
      <c r="D204" s="120"/>
      <c r="E204" s="149"/>
      <c r="F204" s="3"/>
      <c r="G204" s="123"/>
      <c r="H204" s="164"/>
    </row>
    <row r="205" spans="1:8" ht="12.75">
      <c r="A205" s="155" t="s">
        <v>84</v>
      </c>
      <c r="B205" s="127"/>
      <c r="C205" s="112"/>
      <c r="D205" s="120"/>
      <c r="E205" s="303">
        <f>IF((E202-E203)&gt;0,E202-E203,0)</f>
        <v>0</v>
      </c>
      <c r="F205" s="3"/>
      <c r="G205" s="123"/>
      <c r="H205" s="164"/>
    </row>
    <row r="206" spans="1:8" ht="12.75">
      <c r="A206" s="155"/>
      <c r="B206" s="127"/>
      <c r="C206" s="112"/>
      <c r="D206" s="120"/>
      <c r="E206" s="149"/>
      <c r="F206" s="3"/>
      <c r="G206" s="123"/>
      <c r="H206" s="164"/>
    </row>
    <row r="207" spans="1:8" ht="12.75">
      <c r="A207" s="168" t="s">
        <v>485</v>
      </c>
      <c r="B207" s="127"/>
      <c r="C207" s="112"/>
      <c r="D207" s="120"/>
      <c r="E207" s="469">
        <f>IF((E202-E203)&gt;0,E202-E203,0)</f>
        <v>0</v>
      </c>
      <c r="F207" s="3"/>
      <c r="G207" s="123"/>
      <c r="H207" s="164"/>
    </row>
    <row r="208" spans="1:8" ht="12.75">
      <c r="A208" s="155"/>
      <c r="B208" s="127"/>
      <c r="C208" s="112"/>
      <c r="D208" s="120"/>
      <c r="E208" s="149"/>
      <c r="F208" s="3"/>
      <c r="G208" s="123"/>
      <c r="H208" s="164"/>
    </row>
    <row r="209" spans="1:8" ht="13.5" thickBot="1">
      <c r="A209" s="177" t="s">
        <v>225</v>
      </c>
      <c r="B209" s="178"/>
      <c r="C209" s="179"/>
      <c r="D209" s="180"/>
      <c r="E209" s="309">
        <f>+E197-E205</f>
        <v>2632990.8783330126</v>
      </c>
      <c r="F209" s="74"/>
      <c r="G209" s="202"/>
      <c r="H209" s="181"/>
    </row>
    <row r="210" spans="1:5" ht="12.75">
      <c r="A210" s="35"/>
      <c r="B210" s="8"/>
      <c r="C210" s="22"/>
      <c r="D210" s="100"/>
      <c r="E210" s="96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5"/>
    </row>
    <row r="213" spans="2:5" ht="12.75">
      <c r="B213" s="8"/>
      <c r="C213" s="22"/>
      <c r="D213" s="100"/>
      <c r="E213" s="95"/>
    </row>
    <row r="217" spans="1:6" ht="15.75">
      <c r="A217" s="502" t="s">
        <v>506</v>
      </c>
      <c r="B217" s="502"/>
      <c r="C217" s="502"/>
      <c r="D217" s="502"/>
      <c r="E217" s="502"/>
      <c r="F217" s="502"/>
    </row>
    <row r="218" ht="13.5" thickBot="1"/>
    <row r="219" spans="1:6" ht="12.75">
      <c r="A219" s="203" t="s">
        <v>495</v>
      </c>
      <c r="B219" s="204" t="s">
        <v>128</v>
      </c>
      <c r="C219" s="205" t="s">
        <v>34</v>
      </c>
      <c r="D219" s="206"/>
      <c r="E219" s="490" t="s">
        <v>503</v>
      </c>
      <c r="F219" s="490" t="s">
        <v>503</v>
      </c>
    </row>
    <row r="220" spans="1:6" ht="12.75">
      <c r="A220" s="211" t="s">
        <v>456</v>
      </c>
      <c r="B220" s="212"/>
      <c r="C220" s="489" t="s">
        <v>502</v>
      </c>
      <c r="D220" s="214"/>
      <c r="E220" s="489" t="s">
        <v>502</v>
      </c>
      <c r="F220" s="489" t="s">
        <v>502</v>
      </c>
    </row>
    <row r="221" spans="1:6" ht="12.75">
      <c r="A221" s="211" t="s">
        <v>49</v>
      </c>
      <c r="B221" s="218"/>
      <c r="C221" s="489" t="s">
        <v>35</v>
      </c>
      <c r="D221" s="214"/>
      <c r="E221" s="489" t="s">
        <v>35</v>
      </c>
      <c r="F221" s="489" t="s">
        <v>35</v>
      </c>
    </row>
    <row r="222" spans="1:6" ht="12.75">
      <c r="A222" s="221" t="s">
        <v>41</v>
      </c>
      <c r="B222" s="222"/>
      <c r="C222" s="219"/>
      <c r="D222" s="214"/>
      <c r="E222" s="219"/>
      <c r="F222" s="219"/>
    </row>
    <row r="223" spans="1:6" ht="12.75">
      <c r="A223" s="211">
        <v>0</v>
      </c>
      <c r="B223" s="222"/>
      <c r="C223" s="219"/>
      <c r="D223" s="214"/>
      <c r="E223" s="137"/>
      <c r="F223" s="137"/>
    </row>
    <row r="224" spans="1:6" ht="12.75">
      <c r="A224" s="211" t="s">
        <v>496</v>
      </c>
      <c r="B224" s="115"/>
      <c r="D224" s="137"/>
      <c r="E224" s="115"/>
      <c r="F224" s="115"/>
    </row>
    <row r="225" spans="1:6" ht="12.75">
      <c r="A225" s="211" t="s">
        <v>465</v>
      </c>
      <c r="B225" s="115"/>
      <c r="D225" s="137"/>
      <c r="E225" s="115"/>
      <c r="F225" s="115"/>
    </row>
    <row r="226" spans="2:6" ht="12.75">
      <c r="B226" s="222"/>
      <c r="C226" s="230"/>
      <c r="D226" s="214"/>
      <c r="E226" s="137"/>
      <c r="F226" s="137"/>
    </row>
    <row r="227" spans="1:6" ht="12.75">
      <c r="A227" s="491" t="s">
        <v>504</v>
      </c>
      <c r="B227" s="428">
        <v>92</v>
      </c>
      <c r="C227" s="492" t="s">
        <v>102</v>
      </c>
      <c r="D227" s="214"/>
      <c r="E227" s="137"/>
      <c r="F227" s="137"/>
    </row>
    <row r="228" spans="1:6" ht="12.75">
      <c r="A228" s="491" t="s">
        <v>505</v>
      </c>
      <c r="B228" s="428">
        <v>365</v>
      </c>
      <c r="C228" s="494">
        <v>0.25</v>
      </c>
      <c r="D228" s="214"/>
      <c r="E228" s="493">
        <f>+B227/B228</f>
        <v>0.25205479452054796</v>
      </c>
      <c r="F228" s="494" t="s">
        <v>507</v>
      </c>
    </row>
    <row r="229" spans="1:6" ht="12.75">
      <c r="A229" s="153"/>
      <c r="B229" s="123"/>
      <c r="C229" s="104"/>
      <c r="D229" s="17"/>
      <c r="E229" s="138"/>
      <c r="F229" s="500" t="s">
        <v>508</v>
      </c>
    </row>
    <row r="230" spans="1:6" ht="13.5" thickBot="1">
      <c r="A230" s="153"/>
      <c r="B230" s="222"/>
      <c r="C230" s="219" t="s">
        <v>25</v>
      </c>
      <c r="D230" s="214"/>
      <c r="E230" s="219" t="s">
        <v>25</v>
      </c>
      <c r="F230" s="499" t="s">
        <v>25</v>
      </c>
    </row>
    <row r="231" spans="1:6" ht="13.5" thickTop="1">
      <c r="A231" s="150"/>
      <c r="B231" s="223"/>
      <c r="C231" s="224"/>
      <c r="D231" s="225"/>
      <c r="E231" s="226"/>
      <c r="F231" s="226"/>
    </row>
    <row r="232" spans="1:6" ht="12.75">
      <c r="A232" s="154" t="s">
        <v>30</v>
      </c>
      <c r="B232" s="121" t="s">
        <v>102</v>
      </c>
      <c r="C232" s="105"/>
      <c r="D232" s="17"/>
      <c r="E232" s="138"/>
      <c r="F232" s="138"/>
    </row>
    <row r="233" spans="2:6" ht="12.75">
      <c r="B233" s="122"/>
      <c r="C233" s="105"/>
      <c r="D233" s="17"/>
      <c r="E233" s="105"/>
      <c r="F233" s="105"/>
    </row>
    <row r="234" spans="1:6" ht="12.75">
      <c r="A234" s="155" t="s">
        <v>337</v>
      </c>
      <c r="B234" s="125">
        <v>1</v>
      </c>
      <c r="C234" s="259">
        <f>+C16</f>
        <v>2191227.3028133335</v>
      </c>
      <c r="D234" s="17"/>
      <c r="E234" s="259">
        <v>2191227.3028133335</v>
      </c>
      <c r="F234" s="259">
        <f>+E234-C234</f>
        <v>0</v>
      </c>
    </row>
    <row r="235" spans="1:6" ht="12.75">
      <c r="A235" s="152"/>
      <c r="B235" s="125"/>
      <c r="C235" s="106"/>
      <c r="D235" s="17"/>
      <c r="E235" s="106"/>
      <c r="F235" s="106"/>
    </row>
    <row r="236" spans="1:6" ht="12.75">
      <c r="A236" s="152" t="s">
        <v>26</v>
      </c>
      <c r="B236" s="125"/>
      <c r="C236" s="106"/>
      <c r="D236" s="17"/>
      <c r="E236" s="106"/>
      <c r="F236" s="106"/>
    </row>
    <row r="237" spans="1:6" ht="12.75">
      <c r="A237" s="156" t="s">
        <v>208</v>
      </c>
      <c r="B237" s="126"/>
      <c r="C237" s="105"/>
      <c r="D237" s="18"/>
      <c r="E237" s="105"/>
      <c r="F237" s="105"/>
    </row>
    <row r="238" spans="1:6" ht="12.75">
      <c r="A238" s="157" t="s">
        <v>4</v>
      </c>
      <c r="B238" s="127">
        <v>2</v>
      </c>
      <c r="C238" s="261">
        <f>+C20</f>
        <v>2671869</v>
      </c>
      <c r="D238" s="18"/>
      <c r="E238" s="261">
        <v>2671869</v>
      </c>
      <c r="F238" s="261">
        <f>+E238-C238</f>
        <v>0</v>
      </c>
    </row>
    <row r="239" spans="1:6" ht="12.75">
      <c r="A239" s="485" t="s">
        <v>499</v>
      </c>
      <c r="B239" s="127">
        <v>4</v>
      </c>
      <c r="C239" s="261">
        <v>-52250</v>
      </c>
      <c r="D239" s="18"/>
      <c r="E239" s="261">
        <v>-52250</v>
      </c>
      <c r="F239" s="261">
        <f>+E239-C239</f>
        <v>0</v>
      </c>
    </row>
    <row r="240" spans="1:6" ht="12.75">
      <c r="A240" s="158"/>
      <c r="B240" s="127"/>
      <c r="C240" s="105"/>
      <c r="D240" s="18"/>
      <c r="E240" s="105"/>
      <c r="F240" s="105"/>
    </row>
    <row r="241" spans="1:6" ht="12.75">
      <c r="A241" s="156" t="s">
        <v>500</v>
      </c>
      <c r="B241" s="126"/>
      <c r="C241" s="105"/>
      <c r="D241" s="132"/>
      <c r="E241" s="105"/>
      <c r="F241" s="105"/>
    </row>
    <row r="242" spans="1:6" ht="12.75">
      <c r="A242" s="155" t="s">
        <v>103</v>
      </c>
      <c r="B242" s="127">
        <v>7</v>
      </c>
      <c r="C242" s="261">
        <f>+C34</f>
        <v>1020690</v>
      </c>
      <c r="D242" s="132"/>
      <c r="E242" s="261">
        <v>1020690</v>
      </c>
      <c r="F242" s="261">
        <f>+E242-C242</f>
        <v>0</v>
      </c>
    </row>
    <row r="243" spans="1:6" ht="12.75">
      <c r="A243" s="155" t="s">
        <v>86</v>
      </c>
      <c r="B243" s="125">
        <v>11</v>
      </c>
      <c r="C243" s="260">
        <f>+C38</f>
        <v>1016902.7381667471</v>
      </c>
      <c r="D243" s="132"/>
      <c r="E243" s="260">
        <v>1016902.7381667471</v>
      </c>
      <c r="F243" s="259">
        <f>+E243-C243</f>
        <v>0</v>
      </c>
    </row>
    <row r="244" spans="1:6" ht="12.75">
      <c r="A244" s="158" t="s">
        <v>154</v>
      </c>
      <c r="B244" s="127">
        <v>12</v>
      </c>
      <c r="C244" s="261">
        <f>+C48</f>
        <v>0</v>
      </c>
      <c r="D244" s="132"/>
      <c r="E244" s="261">
        <v>0</v>
      </c>
      <c r="F244" s="261">
        <f>+E244-C244</f>
        <v>0</v>
      </c>
    </row>
    <row r="245" spans="1:6" ht="12.75">
      <c r="A245" s="404" t="s">
        <v>389</v>
      </c>
      <c r="B245" s="127"/>
      <c r="C245" s="259">
        <f>+C49</f>
        <v>0</v>
      </c>
      <c r="D245" s="132"/>
      <c r="E245" s="259"/>
      <c r="F245" s="259">
        <f>+E245-C245</f>
        <v>0</v>
      </c>
    </row>
    <row r="246" spans="1:6" ht="12.75">
      <c r="A246" s="158"/>
      <c r="B246" s="127"/>
      <c r="C246" s="105"/>
      <c r="D246" s="132"/>
      <c r="E246" s="105"/>
      <c r="F246" s="105"/>
    </row>
    <row r="247" spans="1:6" ht="12.75">
      <c r="A247" s="152" t="s">
        <v>323</v>
      </c>
      <c r="B247" s="125"/>
      <c r="C247" s="263">
        <f>+C234+C238+C239-C242-C243</f>
        <v>2773253.5646465863</v>
      </c>
      <c r="D247" s="102"/>
      <c r="E247" s="263">
        <f>+E234+E238+E239-E242-E243</f>
        <v>2773253.5646465863</v>
      </c>
      <c r="F247" s="263">
        <f>+F234+F238+F239-F242-F243</f>
        <v>0</v>
      </c>
    </row>
    <row r="248" spans="1:10" ht="12.75">
      <c r="A248" s="159"/>
      <c r="B248" s="125"/>
      <c r="C248" s="107"/>
      <c r="D248" s="132"/>
      <c r="E248" s="107"/>
      <c r="F248" s="107"/>
      <c r="J248">
        <f>1256-1139</f>
        <v>117</v>
      </c>
    </row>
    <row r="249" spans="1:6" ht="12.75">
      <c r="A249" s="158" t="s">
        <v>332</v>
      </c>
      <c r="B249" s="127"/>
      <c r="C249" s="108"/>
      <c r="D249" s="132"/>
      <c r="E249" s="108"/>
      <c r="F249" s="108"/>
    </row>
    <row r="250" spans="1:6" ht="12.75">
      <c r="A250" s="158" t="s">
        <v>336</v>
      </c>
      <c r="B250" s="127">
        <v>13</v>
      </c>
      <c r="C250" s="262">
        <f>+C54</f>
        <v>0.4062</v>
      </c>
      <c r="D250" s="102"/>
      <c r="E250" s="262">
        <v>0.4062</v>
      </c>
      <c r="F250" s="259">
        <f>+E250-C250</f>
        <v>0</v>
      </c>
    </row>
    <row r="251" spans="1:6" ht="12.75">
      <c r="A251" s="158"/>
      <c r="B251" s="127"/>
      <c r="C251" s="105"/>
      <c r="D251" s="132"/>
      <c r="E251" s="105"/>
      <c r="F251" s="105"/>
    </row>
    <row r="252" spans="1:6" ht="12.75">
      <c r="A252" s="158" t="s">
        <v>28</v>
      </c>
      <c r="B252" s="127"/>
      <c r="C252" s="264">
        <f>+C250*C247</f>
        <v>1126495.5979594435</v>
      </c>
      <c r="D252" s="102"/>
      <c r="E252" s="264">
        <f>+E250*E247</f>
        <v>1126495.5979594435</v>
      </c>
      <c r="F252" s="259">
        <f>+E252-C252</f>
        <v>0</v>
      </c>
    </row>
    <row r="253" spans="1:6" ht="12.75">
      <c r="A253" s="158"/>
      <c r="B253" s="127"/>
      <c r="C253" s="105"/>
      <c r="D253" s="132"/>
      <c r="E253" s="105"/>
      <c r="F253" s="105"/>
    </row>
    <row r="254" spans="1:6" ht="12.75">
      <c r="A254" s="158"/>
      <c r="B254" s="127"/>
      <c r="C254" s="105"/>
      <c r="D254" s="132"/>
      <c r="E254" s="105"/>
      <c r="F254" s="105"/>
    </row>
    <row r="255" spans="1:6" ht="12.75">
      <c r="A255" s="158" t="s">
        <v>36</v>
      </c>
      <c r="B255" s="127">
        <v>14</v>
      </c>
      <c r="C255" s="261">
        <v>0</v>
      </c>
      <c r="D255" s="132"/>
      <c r="E255" s="261">
        <v>0</v>
      </c>
      <c r="F255" s="261">
        <f>+E255-C255</f>
        <v>0</v>
      </c>
    </row>
    <row r="256" spans="1:6" ht="13.5" thickBot="1">
      <c r="A256" s="158"/>
      <c r="B256" s="127"/>
      <c r="C256" s="105"/>
      <c r="D256" s="18"/>
      <c r="E256" s="105"/>
      <c r="F256" s="105"/>
    </row>
    <row r="257" spans="1:6" ht="13.5" thickBot="1">
      <c r="A257" s="150" t="s">
        <v>37</v>
      </c>
      <c r="B257" s="134"/>
      <c r="C257" s="266">
        <f>SUM(C252:C255)</f>
        <v>1126495.5979594435</v>
      </c>
      <c r="D257" s="133"/>
      <c r="E257" s="266">
        <f>SUM(E252:E255)</f>
        <v>1126495.5979594435</v>
      </c>
      <c r="F257" s="259">
        <f>+E257-C257</f>
        <v>0</v>
      </c>
    </row>
    <row r="258" spans="1:6" ht="12.75">
      <c r="A258" s="158"/>
      <c r="B258" s="127"/>
      <c r="C258" s="105"/>
      <c r="D258" s="18"/>
      <c r="E258" s="105"/>
      <c r="F258" s="105"/>
    </row>
    <row r="259" spans="1:6" ht="12.75">
      <c r="A259" s="158"/>
      <c r="B259" s="123"/>
      <c r="C259" s="105"/>
      <c r="D259" s="18"/>
      <c r="E259" s="105"/>
      <c r="F259" s="105"/>
    </row>
    <row r="260" spans="1:6" ht="12.75">
      <c r="A260" s="154" t="s">
        <v>31</v>
      </c>
      <c r="B260" s="128"/>
      <c r="C260" s="105"/>
      <c r="D260" s="18"/>
      <c r="E260" s="105"/>
      <c r="F260" s="105"/>
    </row>
    <row r="261" spans="1:6" ht="12.75">
      <c r="A261" s="158"/>
      <c r="B261" s="127"/>
      <c r="C261" s="105"/>
      <c r="D261" s="18"/>
      <c r="E261" s="105"/>
      <c r="F261" s="105"/>
    </row>
    <row r="262" spans="1:6" ht="12.75">
      <c r="A262" s="156" t="s">
        <v>29</v>
      </c>
      <c r="B262" s="126"/>
      <c r="C262" s="105"/>
      <c r="D262" s="18"/>
      <c r="E262" s="105"/>
      <c r="F262" s="105"/>
    </row>
    <row r="263" spans="1:6" ht="12.75">
      <c r="A263" s="152" t="s">
        <v>17</v>
      </c>
      <c r="B263" s="125">
        <v>15</v>
      </c>
      <c r="C263" s="264">
        <f>+C67</f>
        <v>174041606</v>
      </c>
      <c r="D263" s="102"/>
      <c r="E263" s="264">
        <v>174041606</v>
      </c>
      <c r="F263" s="259">
        <f>+E263-C263</f>
        <v>0</v>
      </c>
    </row>
    <row r="264" spans="1:6" ht="12.75">
      <c r="A264" s="152" t="s">
        <v>356</v>
      </c>
      <c r="B264" s="125">
        <v>16</v>
      </c>
      <c r="C264" s="264">
        <f>+C68</f>
        <v>5000000</v>
      </c>
      <c r="D264" s="102"/>
      <c r="E264" s="260">
        <v>5000000</v>
      </c>
      <c r="F264" s="259">
        <f>+E264-C264</f>
        <v>0</v>
      </c>
    </row>
    <row r="265" spans="1:6" ht="12.75">
      <c r="A265" s="152" t="s">
        <v>42</v>
      </c>
      <c r="B265" s="125"/>
      <c r="C265" s="264">
        <f>+C263-C264</f>
        <v>169041606</v>
      </c>
      <c r="D265" s="102"/>
      <c r="E265" s="264">
        <f>+E263-E264</f>
        <v>169041606</v>
      </c>
      <c r="F265" s="259">
        <f>+E265-C265</f>
        <v>0</v>
      </c>
    </row>
    <row r="266" spans="1:6" ht="12.75">
      <c r="A266" s="152"/>
      <c r="B266" s="125"/>
      <c r="C266" s="110"/>
      <c r="D266" s="18"/>
      <c r="E266" s="110"/>
      <c r="F266" s="110"/>
    </row>
    <row r="267" spans="1:6" ht="12.75">
      <c r="A267" s="152" t="s">
        <v>357</v>
      </c>
      <c r="B267" s="125">
        <v>17</v>
      </c>
      <c r="C267" s="301">
        <f>+C71</f>
        <v>0.003</v>
      </c>
      <c r="D267" s="102"/>
      <c r="E267" s="301">
        <v>0.003</v>
      </c>
      <c r="F267" s="259">
        <f>+E267-C267</f>
        <v>0</v>
      </c>
    </row>
    <row r="268" spans="1:6" ht="12.75">
      <c r="A268" s="152"/>
      <c r="B268" s="125"/>
      <c r="C268" s="185"/>
      <c r="D268" s="18"/>
      <c r="E268" s="185"/>
      <c r="F268" s="185"/>
    </row>
    <row r="269" spans="1:7" ht="12.75">
      <c r="A269" s="152" t="s">
        <v>311</v>
      </c>
      <c r="B269" s="125"/>
      <c r="C269" s="264">
        <f>+C267*C265*C228</f>
        <v>126781.2045</v>
      </c>
      <c r="D269" s="101"/>
      <c r="E269" s="264">
        <f>+E267*E265*E228</f>
        <v>127823.24179726029</v>
      </c>
      <c r="F269" s="259">
        <f>+E269-C269</f>
        <v>1042.0372972602781</v>
      </c>
      <c r="G269" s="522" t="s">
        <v>545</v>
      </c>
    </row>
    <row r="270" spans="1:7" ht="12.75">
      <c r="A270" s="150"/>
      <c r="B270" s="129"/>
      <c r="C270" s="110"/>
      <c r="D270" s="136"/>
      <c r="E270" s="110"/>
      <c r="F270" s="110"/>
      <c r="G270" s="523" t="s">
        <v>546</v>
      </c>
    </row>
    <row r="271" spans="1:6" ht="12.75">
      <c r="A271" s="156" t="s">
        <v>218</v>
      </c>
      <c r="B271" s="126"/>
      <c r="C271" s="110"/>
      <c r="D271" s="18"/>
      <c r="E271" s="110"/>
      <c r="F271" s="110"/>
    </row>
    <row r="272" spans="1:6" ht="12.75">
      <c r="A272" s="152" t="s">
        <v>17</v>
      </c>
      <c r="B272" s="125">
        <v>18</v>
      </c>
      <c r="C272" s="264">
        <f>+C76</f>
        <v>174041606</v>
      </c>
      <c r="D272" s="102"/>
      <c r="E272" s="264">
        <v>174041606</v>
      </c>
      <c r="F272" s="259">
        <f>+E272-C272</f>
        <v>0</v>
      </c>
    </row>
    <row r="273" spans="1:6" ht="12.75">
      <c r="A273" s="152" t="s">
        <v>356</v>
      </c>
      <c r="B273" s="125">
        <v>19</v>
      </c>
      <c r="C273" s="264">
        <f>+C77</f>
        <v>10000000</v>
      </c>
      <c r="D273" s="18"/>
      <c r="E273" s="260">
        <v>10000000</v>
      </c>
      <c r="F273" s="259">
        <f>+E273-C273</f>
        <v>0</v>
      </c>
    </row>
    <row r="274" spans="1:6" ht="12.75">
      <c r="A274" s="152" t="s">
        <v>42</v>
      </c>
      <c r="B274" s="125"/>
      <c r="C274" s="264">
        <f>+C272-C273</f>
        <v>164041606</v>
      </c>
      <c r="D274" s="19"/>
      <c r="E274" s="264">
        <f>+E272-E273</f>
        <v>164041606</v>
      </c>
      <c r="F274" s="259">
        <f>+E274-C274</f>
        <v>0</v>
      </c>
    </row>
    <row r="275" spans="1:6" ht="12.75">
      <c r="A275" s="152"/>
      <c r="B275" s="125"/>
      <c r="C275" s="110"/>
      <c r="D275" s="18"/>
      <c r="E275" s="110"/>
      <c r="F275" s="110"/>
    </row>
    <row r="276" spans="1:6" ht="12.75">
      <c r="A276" s="152" t="s">
        <v>357</v>
      </c>
      <c r="B276" s="125">
        <v>20</v>
      </c>
      <c r="C276" s="301">
        <f>+C80</f>
        <v>0.00225</v>
      </c>
      <c r="D276" s="102"/>
      <c r="E276" s="301">
        <v>0.00225</v>
      </c>
      <c r="F276" s="259">
        <f>+E276-C276</f>
        <v>0</v>
      </c>
    </row>
    <row r="277" spans="1:6" ht="12.75">
      <c r="A277" s="152"/>
      <c r="B277" s="125"/>
      <c r="C277" s="110"/>
      <c r="D277" s="18"/>
      <c r="E277" s="110"/>
      <c r="F277" s="110"/>
    </row>
    <row r="278" spans="1:7" ht="12.75">
      <c r="A278" s="152" t="s">
        <v>312</v>
      </c>
      <c r="B278" s="125"/>
      <c r="C278" s="264">
        <f>+C276*C274</f>
        <v>369093.6135</v>
      </c>
      <c r="D278" s="102"/>
      <c r="E278" s="264">
        <f>+E276*E274*E228</f>
        <v>93031.81490958904</v>
      </c>
      <c r="F278" s="259">
        <f>+E278-C278</f>
        <v>-276061.79859041097</v>
      </c>
      <c r="G278" s="522" t="s">
        <v>547</v>
      </c>
    </row>
    <row r="279" spans="1:7" ht="12.75">
      <c r="A279" s="152" t="s">
        <v>313</v>
      </c>
      <c r="B279" s="125">
        <v>21</v>
      </c>
      <c r="C279" s="300">
        <f>-0.0112*C247</f>
        <v>-31060.439924041766</v>
      </c>
      <c r="D279" s="102"/>
      <c r="E279" s="300">
        <f>-0.0112*E247</f>
        <v>-31060.439924041766</v>
      </c>
      <c r="F279" s="259">
        <f>+E279-C279</f>
        <v>0</v>
      </c>
      <c r="G279" s="522" t="s">
        <v>548</v>
      </c>
    </row>
    <row r="280" spans="1:6" ht="12.75">
      <c r="A280" s="152"/>
      <c r="B280" s="125"/>
      <c r="C280" s="110"/>
      <c r="D280" s="18"/>
      <c r="E280" s="110"/>
      <c r="F280" s="110"/>
    </row>
    <row r="281" spans="1:6" ht="12.75">
      <c r="A281" s="152" t="s">
        <v>32</v>
      </c>
      <c r="B281" s="125"/>
      <c r="C281" s="264">
        <f>+C278+C279</f>
        <v>338033.17357595824</v>
      </c>
      <c r="D281" s="16"/>
      <c r="E281" s="264">
        <f>+E278+E279</f>
        <v>61971.37498554727</v>
      </c>
      <c r="F281" s="259">
        <f>+E281-C281</f>
        <v>-276061.79859041097</v>
      </c>
    </row>
    <row r="282" spans="1:6" ht="12.75">
      <c r="A282" s="152"/>
      <c r="B282" s="125"/>
      <c r="C282" s="105"/>
      <c r="D282" s="11"/>
      <c r="E282" s="105"/>
      <c r="F282" s="105"/>
    </row>
    <row r="283" spans="1:6" ht="12.75">
      <c r="A283" s="154" t="s">
        <v>118</v>
      </c>
      <c r="B283" s="128"/>
      <c r="C283" s="105"/>
      <c r="D283" s="11"/>
      <c r="E283" s="105"/>
      <c r="F283" s="105"/>
    </row>
    <row r="284" spans="1:6" ht="12.75">
      <c r="A284" s="154"/>
      <c r="B284" s="128"/>
      <c r="C284" s="105"/>
      <c r="D284" s="11"/>
      <c r="E284" s="105"/>
      <c r="F284" s="105"/>
    </row>
    <row r="285" spans="1:6" ht="12.75">
      <c r="A285" s="152" t="s">
        <v>227</v>
      </c>
      <c r="B285" s="125"/>
      <c r="C285" s="262">
        <f>+C89</f>
        <v>0.395</v>
      </c>
      <c r="D285" s="11"/>
      <c r="E285" s="262">
        <v>0.395</v>
      </c>
      <c r="F285" s="259">
        <f>+E285-C285</f>
        <v>0</v>
      </c>
    </row>
    <row r="286" spans="1:6" ht="12.75">
      <c r="A286" s="150"/>
      <c r="B286" s="129"/>
      <c r="C286" s="110"/>
      <c r="D286" s="11"/>
      <c r="E286" s="110"/>
      <c r="F286" s="110"/>
    </row>
    <row r="287" spans="1:6" ht="12.75">
      <c r="A287" s="158" t="s">
        <v>365</v>
      </c>
      <c r="B287" s="127">
        <v>22</v>
      </c>
      <c r="C287" s="264">
        <f>C257/(1-C285)</f>
        <v>1861976.1949742867</v>
      </c>
      <c r="D287" s="20"/>
      <c r="E287" s="264">
        <f>E257/(1-E285)</f>
        <v>1861976.1949742867</v>
      </c>
      <c r="F287" s="259">
        <f>+E287-C287</f>
        <v>0</v>
      </c>
    </row>
    <row r="288" spans="1:7" ht="12.75">
      <c r="A288" s="158" t="s">
        <v>366</v>
      </c>
      <c r="B288" s="127">
        <v>23</v>
      </c>
      <c r="C288" s="264">
        <f>C281/(1-C285)*C228</f>
        <v>139683.12957684224</v>
      </c>
      <c r="D288" s="20"/>
      <c r="E288" s="264">
        <f>E281/(1-E285)</f>
        <v>102432.02476949962</v>
      </c>
      <c r="F288" s="259">
        <f>+E288-C288</f>
        <v>-37251.10480734262</v>
      </c>
      <c r="G288" s="522" t="s">
        <v>549</v>
      </c>
    </row>
    <row r="289" spans="1:7" ht="12.75">
      <c r="A289" s="158" t="s">
        <v>344</v>
      </c>
      <c r="B289" s="127">
        <v>24</v>
      </c>
      <c r="C289" s="264">
        <f>C269</f>
        <v>126781.2045</v>
      </c>
      <c r="D289" s="20"/>
      <c r="E289" s="264">
        <f>E269</f>
        <v>127823.24179726029</v>
      </c>
      <c r="F289" s="259">
        <f>+E289-C289</f>
        <v>1042.0372972602781</v>
      </c>
      <c r="G289" s="522" t="s">
        <v>549</v>
      </c>
    </row>
    <row r="290" spans="1:6" ht="12.75">
      <c r="A290" s="158"/>
      <c r="B290" s="127"/>
      <c r="C290" s="110"/>
      <c r="D290" s="11"/>
      <c r="E290" s="110"/>
      <c r="F290" s="110"/>
    </row>
    <row r="291" spans="1:6" ht="13.5" thickBot="1">
      <c r="A291" s="158"/>
      <c r="B291" s="127"/>
      <c r="C291" s="110"/>
      <c r="D291" s="11"/>
      <c r="E291" s="110"/>
      <c r="F291" s="110"/>
    </row>
    <row r="292" spans="1:6" ht="13.5" thickBot="1">
      <c r="A292" s="156" t="s">
        <v>501</v>
      </c>
      <c r="B292" s="125">
        <v>25</v>
      </c>
      <c r="C292" s="269">
        <f>SUM(C287:C289)</f>
        <v>2128440.5290511292</v>
      </c>
      <c r="D292" s="6"/>
      <c r="E292" s="269">
        <f>SUM(E287:E289)</f>
        <v>2092231.4615410466</v>
      </c>
      <c r="F292" s="259">
        <f>+E292-C292</f>
        <v>-36209.06751008262</v>
      </c>
    </row>
    <row r="293" spans="1:6" ht="12.75">
      <c r="A293" s="404" t="s">
        <v>303</v>
      </c>
      <c r="B293" s="125"/>
      <c r="C293" s="105"/>
      <c r="D293" s="6"/>
      <c r="E293" s="105"/>
      <c r="F293" s="105"/>
    </row>
    <row r="294" spans="1:6" ht="13.5" thickBot="1">
      <c r="A294" s="495"/>
      <c r="B294" s="496"/>
      <c r="C294" s="497"/>
      <c r="D294" s="498"/>
      <c r="E294" s="497"/>
      <c r="F294" s="497"/>
    </row>
    <row r="295" ht="13.5" thickTop="1"/>
    <row r="298" ht="12.75">
      <c r="E298" s="481" t="s">
        <v>102</v>
      </c>
    </row>
    <row r="299" ht="12.75">
      <c r="E299" s="486" t="s">
        <v>102</v>
      </c>
    </row>
    <row r="300" ht="12.75">
      <c r="E300" s="481" t="s">
        <v>102</v>
      </c>
    </row>
  </sheetData>
  <sheetProtection/>
  <printOptions gridLines="1" headings="1"/>
  <pageMargins left="0.35433070866141736" right="0.03937007874015748" top="0.46020833333333333" bottom="0.2362204724409449" header="0.17" footer="0"/>
  <pageSetup fitToHeight="2" fitToWidth="1" horizontalDpi="600" verticalDpi="600" orientation="portrait" scale="34" r:id="rId1"/>
  <headerFooter alignWithMargins="0">
    <oddHeader>&amp;RLondon Hydro Inc
EB-2011-0181
Deferred PILs 1562 Disposition
Appendix C</oddHeader>
    <oddFooter>&amp;R&amp;A</oddFooter>
  </headerFooter>
  <rowBreaks count="2" manualBreakCount="2">
    <brk id="86" max="7" man="1"/>
    <brk id="150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98"/>
  <sheetViews>
    <sheetView view="pageLayout" workbookViewId="0" topLeftCell="A1">
      <selection activeCell="M12" sqref="M12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8515625" style="8" customWidth="1"/>
    <col min="4" max="4" width="5.7109375" style="8" customWidth="1"/>
    <col min="5" max="5" width="9.7109375" style="8" customWidth="1"/>
    <col min="6" max="6" width="10.421875" style="8" customWidth="1"/>
    <col min="7" max="7" width="2.421875" style="0" customWidth="1"/>
    <col min="8" max="8" width="10.28125" style="0" customWidth="1"/>
    <col min="9" max="9" width="1.1484375" style="0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302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London Hydro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2001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333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32" t="s">
        <v>475</v>
      </c>
      <c r="B8" s="533"/>
      <c r="C8" s="533"/>
      <c r="D8" s="533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50000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461</v>
      </c>
      <c r="B10" s="327"/>
      <c r="C10" s="376" t="s">
        <v>111</v>
      </c>
      <c r="D10" s="376"/>
      <c r="E10" s="376" t="s">
        <v>111</v>
      </c>
      <c r="F10" s="377" t="s">
        <v>470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50000</v>
      </c>
      <c r="D11" s="378"/>
      <c r="E11" s="378">
        <v>175000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295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294</v>
      </c>
      <c r="B14" s="245"/>
      <c r="C14" s="328">
        <v>0.1312</v>
      </c>
      <c r="D14" s="328"/>
      <c r="E14" s="329">
        <v>0.2812</v>
      </c>
      <c r="F14" s="329">
        <v>0.2812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299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256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0.4062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327</v>
      </c>
      <c r="B21" s="407" t="s">
        <v>471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328</v>
      </c>
      <c r="B22" s="408" t="s">
        <v>472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26" t="s">
        <v>469</v>
      </c>
      <c r="B23" s="527"/>
      <c r="C23" s="527"/>
      <c r="D23" s="527"/>
      <c r="E23" s="527"/>
      <c r="F23" s="527"/>
      <c r="G23" s="437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334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34" t="s">
        <v>494</v>
      </c>
      <c r="B26" s="535"/>
      <c r="C26" s="535"/>
      <c r="D26" s="535"/>
      <c r="E26" s="535"/>
      <c r="F26" s="535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50000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434</v>
      </c>
      <c r="B28" s="327"/>
      <c r="C28" s="370" t="s">
        <v>111</v>
      </c>
      <c r="D28" s="370"/>
      <c r="E28" s="370" t="s">
        <v>111</v>
      </c>
      <c r="F28" s="371" t="s">
        <v>470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50000</v>
      </c>
      <c r="D29" s="372"/>
      <c r="E29" s="372">
        <v>175000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294</v>
      </c>
      <c r="B32" s="410">
        <v>2002</v>
      </c>
      <c r="C32" s="328">
        <v>0.1312</v>
      </c>
      <c r="D32" s="328"/>
      <c r="E32" s="329">
        <v>0.2812</v>
      </c>
      <c r="F32" s="329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2002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256</v>
      </c>
      <c r="B34" s="410">
        <v>2002</v>
      </c>
      <c r="C34" s="332">
        <f>SUM(C32:C33)</f>
        <v>0.1912</v>
      </c>
      <c r="D34" s="332"/>
      <c r="E34" s="333">
        <f>SUM(E32:E33)</f>
        <v>0.3412</v>
      </c>
      <c r="F34" s="333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2002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2002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2002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476</v>
      </c>
      <c r="B39" s="407" t="s">
        <v>471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477</v>
      </c>
      <c r="B40" s="408" t="s">
        <v>472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28" t="s">
        <v>331</v>
      </c>
      <c r="B41" s="527"/>
      <c r="C41" s="527"/>
      <c r="D41" s="527"/>
      <c r="E41" s="527"/>
      <c r="F41" s="527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29"/>
      <c r="B42" s="529"/>
      <c r="C42" s="529"/>
      <c r="D42" s="529"/>
      <c r="E42" s="529"/>
      <c r="F42" s="529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335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474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50000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470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50000</v>
      </c>
      <c r="D47" s="372"/>
      <c r="E47" s="372">
        <v>175000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2001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294</v>
      </c>
      <c r="B50" s="245"/>
      <c r="C50" s="352">
        <v>0.1312</v>
      </c>
      <c r="D50" s="352"/>
      <c r="E50" s="353">
        <v>0.2212</v>
      </c>
      <c r="F50" s="353">
        <v>0.2812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256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0.4062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345</v>
      </c>
      <c r="B57" s="407" t="s">
        <v>471</v>
      </c>
      <c r="C57" s="362">
        <v>0</v>
      </c>
      <c r="D57" s="360"/>
      <c r="E57" s="361"/>
      <c r="F57" s="361"/>
      <c r="G57" s="194"/>
      <c r="H57" s="194">
        <v>29611572</v>
      </c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346</v>
      </c>
      <c r="B58" s="408" t="s">
        <v>472</v>
      </c>
      <c r="C58" s="363">
        <v>10000000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26" t="s">
        <v>347</v>
      </c>
      <c r="B59" s="530"/>
      <c r="C59" s="530"/>
      <c r="D59" s="530"/>
      <c r="E59" s="530"/>
      <c r="F59" s="530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31"/>
      <c r="B60" s="531"/>
      <c r="C60" s="531"/>
      <c r="D60" s="531"/>
      <c r="E60" s="531"/>
      <c r="F60" s="531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82125" bottom="0.2362204724409449" header="0.27" footer="0"/>
  <pageSetup fitToHeight="1" fitToWidth="1" horizontalDpi="600" verticalDpi="600" orientation="portrait" scale="48" r:id="rId1"/>
  <headerFooter alignWithMargins="0">
    <oddHeader>&amp;RLondon Hydro Inc.
EB-2011-0181
Deferred PILs 1562 Disposition
Appendix C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williamd</cp:lastModifiedBy>
  <cp:lastPrinted>2011-08-18T17:20:52Z</cp:lastPrinted>
  <dcterms:created xsi:type="dcterms:W3CDTF">2001-11-07T16:15:53Z</dcterms:created>
  <dcterms:modified xsi:type="dcterms:W3CDTF">2011-11-04T17:28:29Z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