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JGott</author>
  </authors>
  <commentList>
    <comment ref="C5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Tax preparer added back capital taxes as income taxes in error</t>
        </r>
      </text>
    </comment>
  </commentList>
</comments>
</file>

<file path=xl/sharedStrings.xml><?xml version="1.0" encoding="utf-8"?>
<sst xmlns="http://schemas.openxmlformats.org/spreadsheetml/2006/main" count="873" uniqueCount="501">
  <si>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</si>
  <si>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</si>
  <si>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</si>
  <si>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</si>
  <si>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</si>
  <si>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</si>
  <si>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</si>
  <si>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</si>
  <si>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</si>
  <si>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</si>
  <si>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</si>
  <si>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</si>
  <si>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</si>
  <si>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</si>
  <si>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</si>
  <si>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</si>
  <si>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</si>
  <si>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</si>
  <si>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</si>
  <si>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</si>
  <si>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</si>
  <si>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</si>
  <si>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</si>
  <si>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</si>
  <si>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</si>
  <si>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</si>
  <si>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</si>
  <si>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</si>
  <si>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</si>
  <si>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</si>
  <si>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</si>
  <si>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</si>
  <si>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</si>
  <si>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</si>
  <si>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</si>
  <si>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</si>
  <si>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</si>
  <si>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</si>
  <si>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</si>
  <si>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</si>
  <si>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</si>
  <si>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</si>
  <si>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</si>
  <si>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</si>
  <si>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</si>
  <si>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</si>
  <si>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</si>
  <si>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</si>
  <si>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</si>
  <si>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</si>
  <si>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</si>
  <si>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</si>
  <si>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</si>
  <si>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</si>
  <si>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</si>
  <si>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</si>
  <si>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</si>
  <si>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</si>
  <si>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</si>
  <si>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</si>
  <si>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</si>
  <si>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</si>
  <si>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</si>
  <si>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</si>
  <si>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</si>
  <si>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</si>
  <si>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</si>
  <si>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</si>
  <si>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</si>
  <si>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</si>
  <si>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</si>
  <si>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</si>
  <si>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</si>
  <si>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</si>
  <si>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</si>
  <si>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</si>
  <si>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</si>
  <si>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</si>
  <si>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</si>
  <si>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</si>
  <si>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</si>
  <si>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</si>
  <si>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</si>
  <si>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</si>
  <si>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</si>
  <si>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</si>
  <si>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</si>
  <si>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</si>
  <si>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</si>
  <si>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</si>
  <si>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</si>
  <si>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</si>
  <si>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</si>
  <si>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</si>
  <si>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</si>
  <si>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</si>
  <si>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</si>
  <si>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</si>
  <si>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</si>
  <si>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</si>
  <si>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</si>
  <si>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</si>
  <si>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</si>
  <si>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</si>
  <si>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</si>
  <si>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</si>
  <si>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</si>
  <si>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</si>
  <si>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</si>
  <si>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</si>
  <si>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</si>
  <si>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</si>
  <si>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</si>
  <si>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</si>
  <si>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</si>
  <si>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</si>
  <si>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</si>
  <si>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</si>
  <si>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</si>
  <si>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</si>
  <si>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</si>
  <si>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</si>
  <si>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</si>
  <si>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</si>
  <si>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</si>
  <si>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</si>
  <si>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</si>
  <si>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</si>
  <si>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</si>
  <si>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</si>
  <si>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</si>
  <si>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</si>
  <si>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</si>
  <si>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</si>
  <si>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</si>
  <si>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</si>
  <si>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</si>
  <si>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</si>
  <si>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</si>
  <si>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</si>
  <si>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</si>
  <si>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</si>
  <si>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</si>
  <si>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</si>
  <si>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</si>
  <si>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</si>
  <si>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</si>
  <si>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</si>
  <si>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</si>
  <si>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</si>
  <si>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</si>
  <si>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</si>
  <si>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</si>
  <si>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</si>
  <si>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</si>
  <si>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</si>
  <si>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</si>
  <si>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</si>
  <si>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</si>
  <si>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</si>
  <si>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</si>
  <si>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</si>
  <si>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</si>
  <si>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</si>
  <si>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</si>
  <si>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</si>
  <si>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</si>
  <si>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</si>
  <si>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</si>
  <si>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</si>
  <si>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</si>
  <si>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</si>
  <si>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</si>
  <si>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</si>
  <si>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</si>
  <si>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</si>
  <si>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</si>
  <si>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</si>
  <si>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</si>
  <si>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</si>
  <si>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</si>
  <si>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</si>
  <si>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</si>
  <si>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</si>
  <si>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</si>
  <si>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</si>
  <si>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</si>
  <si>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</si>
  <si>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</si>
  <si>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</si>
  <si>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</si>
  <si>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</si>
  <si>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</si>
  <si>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</si>
  <si>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</si>
  <si>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</si>
  <si>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</si>
  <si>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</si>
  <si>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</si>
  <si>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</si>
  <si>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</si>
  <si>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</si>
  <si>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</si>
  <si>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</si>
  <si>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</si>
  <si>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</si>
  <si>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</si>
  <si>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</si>
  <si>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</si>
  <si>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</si>
  <si>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</si>
  <si>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</si>
  <si>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</si>
  <si>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</si>
  <si>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</si>
  <si>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</si>
  <si>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</si>
  <si>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</si>
  <si>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</si>
  <si>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</si>
  <si>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</si>
  <si>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</si>
  <si>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</si>
  <si>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</si>
  <si>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</si>
  <si>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</si>
  <si>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</si>
  <si>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</si>
  <si>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</si>
  <si>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</si>
  <si>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</si>
  <si>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</si>
  <si>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</si>
  <si>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</si>
  <si>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</si>
  <si>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</si>
  <si>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</si>
  <si>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</si>
  <si>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</si>
  <si>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</si>
  <si>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</si>
  <si>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</si>
  <si>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</si>
  <si>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</si>
  <si>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</si>
  <si>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</si>
  <si>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</si>
  <si>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</si>
  <si>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</si>
  <si>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</si>
  <si>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</si>
  <si>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</si>
  <si>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</si>
  <si>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</si>
  <si>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</si>
  <si>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</si>
  <si>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</si>
  <si>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</si>
  <si>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</si>
  <si>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</si>
  <si>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</si>
  <si>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</si>
  <si>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</si>
  <si>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</si>
  <si>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</si>
  <si>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</si>
  <si>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</si>
  <si>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</si>
  <si>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</si>
  <si>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</si>
  <si>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</si>
  <si>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</si>
  <si>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</si>
  <si>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</si>
  <si>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</si>
  <si>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</si>
  <si>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</si>
  <si>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</si>
  <si>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</si>
  <si>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</si>
  <si>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</si>
  <si>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</si>
  <si>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</si>
  <si>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</si>
  <si>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</si>
  <si>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</si>
  <si>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</si>
  <si>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</si>
  <si>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</si>
  <si>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</si>
  <si>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</si>
  <si>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</si>
  <si>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</si>
  <si>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</si>
  <si>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</si>
  <si>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</si>
  <si>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</si>
  <si>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</si>
  <si>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</si>
  <si>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</si>
  <si>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</si>
  <si>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</si>
  <si>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</si>
  <si>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</si>
  <si>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</si>
  <si>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</si>
  <si>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</si>
  <si>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</si>
  <si>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</si>
  <si>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</si>
  <si>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</si>
  <si>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</si>
  <si>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</si>
  <si>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</si>
  <si>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</si>
  <si>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</si>
  <si>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</si>
  <si>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</si>
  <si>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</si>
  <si>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</si>
  <si>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</si>
  <si>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</si>
  <si>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</si>
  <si>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</si>
  <si>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</si>
  <si>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</si>
  <si>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</si>
  <si>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</si>
  <si>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</si>
  <si>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</si>
  <si>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</si>
  <si>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</si>
  <si>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</si>
  <si>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</si>
  <si>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</si>
  <si>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</si>
  <si>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</si>
  <si>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</si>
  <si>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</si>
  <si>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</si>
  <si>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</si>
  <si>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</si>
  <si>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</si>
  <si>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</si>
  <si>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</si>
  <si>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</si>
  <si>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</si>
  <si>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</si>
  <si>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</si>
  <si>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</si>
  <si>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</si>
  <si>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</si>
  <si>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</si>
  <si>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</si>
  <si>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</si>
  <si>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</si>
  <si>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</si>
  <si>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</si>
  <si>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</si>
  <si>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</si>
  <si>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</si>
  <si>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</si>
  <si>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</si>
  <si>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</si>
  <si>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</si>
  <si>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</si>
  <si>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</si>
  <si>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</si>
  <si>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</si>
  <si>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</si>
  <si>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</si>
  <si>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</si>
  <si>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</si>
  <si>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</si>
  <si>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</si>
  <si>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</si>
  <si>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</si>
  <si>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</si>
  <si>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</si>
  <si>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</si>
  <si>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</si>
  <si>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</si>
  <si>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</si>
  <si>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</si>
  <si>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</si>
  <si>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</si>
  <si>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</si>
  <si>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</si>
  <si>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</si>
  <si>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</si>
  <si>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</si>
  <si>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</si>
  <si>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</si>
  <si>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</si>
  <si>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</si>
  <si>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</si>
  <si>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</si>
  <si>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</si>
  <si>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</si>
  <si>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</si>
  <si>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</si>
  <si>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</si>
  <si>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</si>
  <si>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</si>
  <si>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</si>
  <si>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</si>
  <si>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</si>
  <si>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</si>
  <si>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</si>
  <si>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</si>
  <si>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</si>
  <si>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</si>
  <si>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</si>
  <si>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</si>
  <si>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</si>
  <si>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</si>
  <si>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</si>
  <si>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</si>
  <si>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</si>
  <si>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</si>
  <si>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</si>
  <si>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</si>
  <si>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</si>
  <si>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</si>
  <si>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</si>
  <si>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</si>
  <si>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</si>
  <si>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</si>
  <si>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</si>
  <si>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</si>
  <si>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</si>
  <si>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</si>
  <si>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</si>
  <si>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</si>
  <si>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</si>
  <si>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</si>
  <si>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</si>
  <si>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</si>
  <si>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</si>
  <si>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</si>
  <si>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</si>
  <si>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</si>
  <si>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</si>
  <si>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</si>
  <si>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</si>
  <si>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</si>
  <si>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</si>
  <si>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</si>
  <si>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</si>
  <si>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</si>
  <si>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</si>
  <si>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</si>
  <si>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</si>
  <si>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</si>
  <si>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</si>
  <si>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</si>
  <si>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</si>
  <si>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</si>
  <si>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</si>
  <si>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</si>
  <si>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</si>
  <si>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</si>
  <si>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</si>
  <si>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</si>
  <si>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</si>
  <si>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</si>
  <si>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</si>
  <si>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</si>
  <si>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</si>
  <si>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</si>
  <si>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</si>
  <si>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</si>
  <si>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</si>
  <si>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</si>
  <si>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</si>
  <si>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</si>
  <si>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</si>
  <si>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</si>
  <si>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</si>
  <si>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</si>
  <si>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</si>
  <si>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</si>
  <si>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</si>
  <si>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</si>
  <si>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</si>
  <si>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</si>
  <si>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</si>
  <si>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</si>
  <si>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</si>
  <si>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</si>
  <si>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</si>
  <si>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</si>
  <si>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Total Deemed Interest (REGINFO Cell D62)</t>
  </si>
  <si>
    <t>Vested Sick Leave</t>
  </si>
  <si>
    <t>Post Employment Benefits</t>
  </si>
  <si>
    <t>Less: Federal LCT reported in the initial estimate column  (Cell C84)</t>
  </si>
  <si>
    <t xml:space="preserve">Depreciation &amp; Amortization </t>
  </si>
  <si>
    <t>Utility Name: Tillsonburg Hydro Inc.</t>
  </si>
  <si>
    <t>PILs TAXES - EB-2011-0198</t>
  </si>
  <si>
    <t>Y</t>
  </si>
  <si>
    <t>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</si>
</sst>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4" borderId="22" xfId="0" applyFill="1" applyBorder="1" applyAlignment="1">
      <alignment vertical="top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3" fontId="29" fillId="41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top"/>
    </xf>
    <xf numFmtId="0" fontId="0" fillId="37" borderId="0" xfId="0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10" fontId="0" fillId="0" borderId="0" xfId="0" applyNumberFormat="1" applyFill="1" applyBorder="1" applyAlignment="1">
      <alignment horizontal="left"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202"/>
  <sheetViews>
    <sheetView workbookViewId="0" topLeftCell="A4">
      <selection activeCell="D71" sqref="D7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498</v>
      </c>
      <c r="C1" s="8"/>
      <c r="E1" s="2" t="s">
        <v>459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88" t="s">
        <v>497</v>
      </c>
      <c r="C3" s="8"/>
      <c r="D3" s="455" t="s">
        <v>445</v>
      </c>
      <c r="E3" s="8"/>
      <c r="F3" s="8"/>
      <c r="G3" s="8"/>
      <c r="H3" s="8"/>
    </row>
    <row r="4" spans="1:8" ht="13.5" thickBot="1">
      <c r="A4" s="505" t="s">
        <v>477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517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517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517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1" t="s">
        <v>316</v>
      </c>
      <c r="B19" s="8" t="s">
        <v>313</v>
      </c>
      <c r="C19" s="8" t="s">
        <v>64</v>
      </c>
      <c r="D19" s="518" t="s">
        <v>500</v>
      </c>
    </row>
    <row r="20" spans="1:4" ht="13.5" thickBot="1">
      <c r="A20" s="522"/>
      <c r="B20" s="8" t="s">
        <v>314</v>
      </c>
      <c r="C20" s="8" t="s">
        <v>64</v>
      </c>
      <c r="D20" s="517" t="s">
        <v>500</v>
      </c>
    </row>
    <row r="21" spans="1:4" ht="12.75">
      <c r="A21" s="521" t="s">
        <v>312</v>
      </c>
      <c r="B21" s="8" t="s">
        <v>313</v>
      </c>
      <c r="C21" s="8"/>
      <c r="D21" s="423">
        <v>1</v>
      </c>
    </row>
    <row r="22" spans="1:4" ht="12.75">
      <c r="A22" s="521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478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297</v>
      </c>
    </row>
    <row r="27" spans="1:5" ht="12.75">
      <c r="A27" s="255" t="s">
        <v>68</v>
      </c>
      <c r="C27" s="8"/>
      <c r="E27" s="444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1">
        <v>8683112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743708.5428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247903</v>
      </c>
      <c r="E47" s="387">
        <f aca="true" t="shared" si="0" ref="E47:E53">D47</f>
        <v>247903</v>
      </c>
      <c r="H47" s="40"/>
      <c r="J47" s="5"/>
      <c r="K47" s="5"/>
    </row>
    <row r="48" spans="1:11" ht="12.75">
      <c r="A48" t="s">
        <v>290</v>
      </c>
      <c r="D48" s="426">
        <v>247903</v>
      </c>
      <c r="E48" s="387">
        <f>D48</f>
        <v>247903</v>
      </c>
      <c r="F48" s="22"/>
      <c r="H48" s="40"/>
      <c r="J48" s="5"/>
      <c r="K48" s="5"/>
    </row>
    <row r="49" spans="1:11" ht="12.75">
      <c r="A49" t="s">
        <v>291</v>
      </c>
      <c r="D49" s="427">
        <v>247903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460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495806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209842.0023350846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  <row r="175" ht="12.75">
      <c r="F175" s="34"/>
    </row>
    <row r="202" ht="12.75">
      <c r="E202" s="498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57">
      <selection activeCell="D71" sqref="D7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463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3.5" thickBot="1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3.5" thickBot="1">
      <c r="A6" s="490" t="str">
        <f>REGINFO!A3</f>
        <v>Utility Name: Tillsonburg Hydro Inc.</v>
      </c>
      <c r="B6" s="489"/>
      <c r="D6" s="137"/>
      <c r="E6" s="115"/>
      <c r="G6" s="115"/>
      <c r="H6" s="465"/>
    </row>
    <row r="7" spans="1:8" ht="13.5" thickBot="1">
      <c r="A7" s="506" t="str">
        <f>REGINFO!A4</f>
        <v>Reporting period:  2003</v>
      </c>
      <c r="B7" s="489"/>
      <c r="D7" s="137"/>
      <c r="E7" s="115"/>
      <c r="G7" s="115"/>
      <c r="H7" s="465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9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29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495806</v>
      </c>
      <c r="D16" s="17"/>
      <c r="E16" s="266">
        <f>G16-C16</f>
        <v>-516286</v>
      </c>
      <c r="F16" s="3"/>
      <c r="G16" s="266">
        <f>TAXREC!E50</f>
        <v>-20480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415594</v>
      </c>
      <c r="D20" s="18"/>
      <c r="E20" s="266">
        <f>G20-C20</f>
        <v>-113209</v>
      </c>
      <c r="F20" s="6"/>
      <c r="G20" s="266">
        <f>TAXREC!E61</f>
        <v>302385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80" t="s">
        <v>393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424488</v>
      </c>
      <c r="D33" s="132"/>
      <c r="E33" s="266">
        <f aca="true" t="shared" si="0" ref="E33:E42">G33-C33</f>
        <v>-169650</v>
      </c>
      <c r="F33" s="6"/>
      <c r="G33" s="266">
        <f>TAXREC!E97+TAXREC!E98</f>
        <v>254838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209842.0023350846</v>
      </c>
      <c r="D37" s="132"/>
      <c r="E37" s="266">
        <f t="shared" si="0"/>
        <v>-184492.0023350846</v>
      </c>
      <c r="F37" s="6"/>
      <c r="G37" s="266">
        <f>TAXREC!E51</f>
        <v>25350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80" t="s">
        <v>393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277069.9976649154</v>
      </c>
      <c r="D50" s="102"/>
      <c r="E50" s="262">
        <f>E16+SUM(E20:E30)-SUM(E33:E48)</f>
        <v>-275352.9976649154</v>
      </c>
      <c r="F50" s="431"/>
      <c r="G50" s="262">
        <f>G16+SUM(G20:G30)-SUM(G33:G48)</f>
        <v>1717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-0.15541083284799068</v>
      </c>
      <c r="F53" s="114"/>
      <c r="G53" s="473">
        <f>TAXREC!E151</f>
        <v>0.18578916715200933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94536.28320326914</v>
      </c>
      <c r="D55" s="102"/>
      <c r="E55" s="266">
        <f>G55-C55</f>
        <v>-94217.28320326914</v>
      </c>
      <c r="F55" s="431" t="s">
        <v>366</v>
      </c>
      <c r="G55" s="263">
        <f>TAXREC!E144</f>
        <v>319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94536.28320326914</v>
      </c>
      <c r="D60" s="133"/>
      <c r="E60" s="268">
        <f>+E55-E58</f>
        <v>-94217.28320326914</v>
      </c>
      <c r="F60" s="431" t="s">
        <v>366</v>
      </c>
      <c r="G60" s="268">
        <f>+G55-G58</f>
        <v>319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8683112</v>
      </c>
      <c r="D66" s="102"/>
      <c r="E66" s="266">
        <f>G66-C66</f>
        <v>-1803359</v>
      </c>
      <c r="F66" s="6"/>
      <c r="G66" s="266">
        <v>6879753</v>
      </c>
      <c r="H66" s="151"/>
      <c r="I66" s="476" t="s">
        <v>473</v>
      </c>
    </row>
    <row r="67" spans="1:10" ht="12.75">
      <c r="A67" s="152" t="s">
        <v>359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f>'Tax Rates'!C57</f>
        <v>5000000</v>
      </c>
      <c r="H67" s="151"/>
      <c r="I67" s="476" t="s">
        <v>473</v>
      </c>
      <c r="J67" s="512"/>
    </row>
    <row r="68" spans="1:8" ht="12.75">
      <c r="A68" s="152" t="s">
        <v>42</v>
      </c>
      <c r="B68" s="125"/>
      <c r="C68" s="263">
        <f>IF((C66-C67)&gt;0,C66-C67,0)</f>
        <v>3683112</v>
      </c>
      <c r="D68" s="102"/>
      <c r="E68" s="266">
        <f>SUM(E66:E67)</f>
        <v>-1803359</v>
      </c>
      <c r="F68" s="114"/>
      <c r="G68" s="263">
        <f>IF((G66-G67)&gt;0,G66-G67,0)</f>
        <v>1879753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11049.336</v>
      </c>
      <c r="D72" s="101"/>
      <c r="E72" s="266">
        <f>+G72-C72</f>
        <v>-5410.076999999999</v>
      </c>
      <c r="F72" s="477"/>
      <c r="G72" s="263">
        <f>IF(G68&gt;0,G68*G70,0)*REGINFO!$B$6/REGINFO!$B$7</f>
        <v>5639.259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8683112</v>
      </c>
      <c r="D75" s="102"/>
      <c r="E75" s="266">
        <f>+G75-C75</f>
        <v>-1803359</v>
      </c>
      <c r="F75" s="6"/>
      <c r="G75" s="475">
        <v>6879753</v>
      </c>
      <c r="H75" s="151"/>
      <c r="I75" s="476" t="s">
        <v>473</v>
      </c>
    </row>
    <row r="76" spans="1:9" ht="12.75">
      <c r="A76" s="152" t="s">
        <v>359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6" t="s">
        <v>473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+G77-C77</f>
        <v>0</v>
      </c>
      <c r="F77" s="114"/>
      <c r="G77" s="263">
        <f>IF((G75-G76)&gt;0,G75-G76,0)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367</v>
      </c>
      <c r="B90" s="127">
        <v>22</v>
      </c>
      <c r="C90" s="263">
        <f>C60/(1-C88)</f>
        <v>141098.93015413306</v>
      </c>
      <c r="D90" s="20"/>
      <c r="E90" s="139"/>
      <c r="F90" s="430" t="s">
        <v>479</v>
      </c>
      <c r="G90" s="269">
        <f>TAXREC!E156</f>
        <v>319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30" t="s">
        <v>479</v>
      </c>
      <c r="G91" s="269">
        <f>TAXREC!E158</f>
        <v>0</v>
      </c>
      <c r="H91" s="151"/>
    </row>
    <row r="92" spans="1:8" ht="12.75">
      <c r="A92" s="158" t="s">
        <v>347</v>
      </c>
      <c r="B92" s="127">
        <v>24</v>
      </c>
      <c r="C92" s="263">
        <f>C72</f>
        <v>11049.336</v>
      </c>
      <c r="D92" s="20"/>
      <c r="E92" s="139"/>
      <c r="F92" s="430" t="s">
        <v>479</v>
      </c>
      <c r="G92" s="269">
        <f>TAXREC!E157</f>
        <v>5639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480</v>
      </c>
      <c r="B95" s="125">
        <v>25</v>
      </c>
      <c r="C95" s="268">
        <f>SUM(C90:C93)</f>
        <v>152148.26615413307</v>
      </c>
      <c r="D95" s="6"/>
      <c r="E95" s="139"/>
      <c r="F95" s="430" t="s">
        <v>479</v>
      </c>
      <c r="G95" s="413">
        <f>SUM(G90:G94)</f>
        <v>5958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362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363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489</v>
      </c>
      <c r="B112" s="127">
        <v>11</v>
      </c>
      <c r="C112" s="112"/>
      <c r="D112" s="3"/>
      <c r="E112" s="472">
        <f>E206</f>
        <v>0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0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9">
        <f>+TAXREC!C151</f>
        <v>0.18578916715200933</v>
      </c>
      <c r="F122" s="470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0.3075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351</v>
      </c>
      <c r="B132" s="130"/>
      <c r="C132" s="112"/>
      <c r="D132" s="3"/>
      <c r="E132" s="484">
        <f>E128/(1-E130)</f>
        <v>0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277069.9976649154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0.3187</v>
      </c>
      <c r="F138" s="513" t="s">
        <v>102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83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88302.20825580854</v>
      </c>
      <c r="F140" s="83"/>
      <c r="G140" s="200"/>
      <c r="H140" s="164"/>
    </row>
    <row r="141" spans="1:8" ht="12.75">
      <c r="A141" s="171"/>
      <c r="B141" s="130"/>
      <c r="C141" s="112"/>
      <c r="D141" s="119"/>
      <c r="E141" s="144"/>
      <c r="F141" s="83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83"/>
      <c r="G142" s="200"/>
      <c r="H142" s="164"/>
    </row>
    <row r="143" spans="1:8" ht="12.75">
      <c r="A143" s="171"/>
      <c r="B143" s="130"/>
      <c r="C143" s="112"/>
      <c r="D143" s="119"/>
      <c r="E143" s="144"/>
      <c r="F143" s="83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88302.20825580854</v>
      </c>
      <c r="F144" s="83"/>
      <c r="G144" s="200"/>
      <c r="H144" s="164"/>
    </row>
    <row r="145" spans="1:8" ht="12.75">
      <c r="A145" s="171"/>
      <c r="B145" s="130"/>
      <c r="C145" s="112"/>
      <c r="D145" s="119"/>
      <c r="E145" s="144"/>
      <c r="F145" s="83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94536.28320326914</v>
      </c>
      <c r="F146" s="83"/>
      <c r="G146" s="200"/>
      <c r="H146" s="164"/>
    </row>
    <row r="147" spans="1:8" ht="12.75">
      <c r="A147" s="171"/>
      <c r="B147" s="130"/>
      <c r="C147" s="112"/>
      <c r="D147" s="119"/>
      <c r="E147" s="144"/>
      <c r="F147" s="83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-6234.074947460598</v>
      </c>
      <c r="F148" s="83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6" t="s">
        <v>20</v>
      </c>
      <c r="B150" s="130"/>
      <c r="C150" s="112"/>
      <c r="D150" s="119"/>
      <c r="E150" s="479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8683112</v>
      </c>
      <c r="F151" s="37"/>
      <c r="G151" s="200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3683112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5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11049.336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11049.336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8683112</v>
      </c>
      <c r="F162" s="37"/>
      <c r="G162" s="200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-1316888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4" t="s">
        <v>495</v>
      </c>
      <c r="B172" s="130"/>
      <c r="C172" s="112"/>
      <c r="D172" s="118" t="s">
        <v>188</v>
      </c>
      <c r="E172" s="304">
        <f>C84</f>
        <v>0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0.3075</v>
      </c>
      <c r="F175" s="496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-9002.274292361875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3">
        <f>SUM(E177:E179)</f>
        <v>-9002.274292361875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483">
        <f>E132</f>
        <v>0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3">
        <f>E181+E183</f>
        <v>-9002.274292361875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314762.81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209842.0023350846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104920.8076649154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5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25350</v>
      </c>
      <c r="F201" s="3"/>
      <c r="G201" s="485"/>
      <c r="H201" s="164"/>
    </row>
    <row r="202" spans="1:8" ht="12.75">
      <c r="A202" s="499" t="s">
        <v>492</v>
      </c>
      <c r="B202" s="127"/>
      <c r="C202" s="112"/>
      <c r="D202" s="120"/>
      <c r="E202" s="307">
        <f>+E193</f>
        <v>314762.81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104920.8076649154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0" fitToWidth="1" horizontalDpi="600" verticalDpi="600" orientation="portrait" scale="50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02"/>
  <sheetViews>
    <sheetView workbookViewId="0" topLeftCell="A49">
      <selection activeCell="D71" sqref="D7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88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505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4">
        <v>15420414</v>
      </c>
      <c r="D31" s="285"/>
      <c r="E31" s="283">
        <f>C31-D31</f>
        <v>15420414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1511814</v>
      </c>
      <c r="D32" s="285"/>
      <c r="E32" s="283">
        <f>C32-D32</f>
        <v>1511814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11574</v>
      </c>
      <c r="D33" s="285"/>
      <c r="E33" s="283">
        <f>C33-D33</f>
        <v>11574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59137</v>
      </c>
      <c r="D34" s="285"/>
      <c r="E34" s="283">
        <f>C34-D34</f>
        <v>59137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15420414</v>
      </c>
      <c r="D39" s="285"/>
      <c r="E39" s="283">
        <f>C39-D39</f>
        <v>15420414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393710</v>
      </c>
      <c r="D40" s="285"/>
      <c r="E40" s="283">
        <f aca="true" t="shared" si="0" ref="E40:E48">C40-D40</f>
        <v>393710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320394</v>
      </c>
      <c r="D41" s="285"/>
      <c r="E41" s="283">
        <f t="shared" si="0"/>
        <v>320394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586516</v>
      </c>
      <c r="D42" s="285"/>
      <c r="E42" s="283">
        <f t="shared" si="0"/>
        <v>586516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302385</v>
      </c>
      <c r="D43" s="285"/>
      <c r="E43" s="283">
        <f t="shared" si="0"/>
        <v>302385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15"/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-20480</v>
      </c>
      <c r="D50" s="280">
        <f>SUM(D31:D36)-SUM(D39:D49)</f>
        <v>0</v>
      </c>
      <c r="E50" s="280">
        <f>SUM(E31:E35)-SUM(E39:E48)</f>
        <v>-20480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25350</v>
      </c>
      <c r="D51" s="284"/>
      <c r="E51" s="281">
        <f>+C51-D51</f>
        <v>25350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3824</v>
      </c>
      <c r="D52" s="284"/>
      <c r="E52" s="282">
        <f>+C52-D52</f>
        <v>3824</v>
      </c>
      <c r="F52" s="8"/>
      <c r="G52" s="415"/>
    </row>
    <row r="53" spans="1:6" ht="12.75">
      <c r="A53" s="2" t="s">
        <v>131</v>
      </c>
      <c r="B53" s="8" t="s">
        <v>189</v>
      </c>
      <c r="C53" s="280">
        <f>C50-C51-C52</f>
        <v>-49654</v>
      </c>
      <c r="D53" s="280">
        <f>D50-D51-D52</f>
        <v>0</v>
      </c>
      <c r="E53" s="280">
        <f>E50-E51-E52</f>
        <v>-49654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3824</v>
      </c>
      <c r="D59" s="286">
        <f>D52</f>
        <v>0</v>
      </c>
      <c r="E59" s="271">
        <f>+C59-D59</f>
        <v>3824</v>
      </c>
      <c r="F59" s="8"/>
      <c r="G59" s="415"/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s="34" t="s">
        <v>496</v>
      </c>
      <c r="B61" s="8" t="s">
        <v>187</v>
      </c>
      <c r="C61" s="317">
        <f>+C43</f>
        <v>302385</v>
      </c>
      <c r="D61" s="286">
        <f>D43</f>
        <v>0</v>
      </c>
      <c r="E61" s="271">
        <f>+C61-D61</f>
        <v>302385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0</v>
      </c>
      <c r="D66" s="44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306209</v>
      </c>
      <c r="D70" s="271">
        <f>SUM(D59:D68)</f>
        <v>0</v>
      </c>
      <c r="E70" s="271">
        <f>SUM(E59:E68)</f>
        <v>306209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1">
        <v>0</v>
      </c>
      <c r="D76" s="293"/>
      <c r="E76" s="51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306209</v>
      </c>
      <c r="D82" s="250">
        <f>D70+D80</f>
        <v>0</v>
      </c>
      <c r="E82" s="250">
        <f>E70+E80</f>
        <v>306209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254838</v>
      </c>
      <c r="D97" s="293"/>
      <c r="E97" s="271">
        <f>+C97-D97</f>
        <v>254838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50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254838</v>
      </c>
      <c r="D113" s="250">
        <f>SUM(D97:D111)</f>
        <v>0</v>
      </c>
      <c r="E113" s="250">
        <f>SUM(E97:E111)</f>
        <v>254838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254838</v>
      </c>
      <c r="D122" s="250">
        <f>D113+D120</f>
        <v>0</v>
      </c>
      <c r="E122" s="250">
        <f>+E113+E120</f>
        <v>254838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1717</v>
      </c>
      <c r="D134" s="250">
        <f>D53+D82-D122</f>
        <v>0</v>
      </c>
      <c r="E134" s="250">
        <f>E53+E82-E122</f>
        <v>1717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1717</v>
      </c>
      <c r="D139" s="251">
        <f>D134-D136-D137-D138</f>
        <v>0</v>
      </c>
      <c r="E139" s="251">
        <f>E134-E136-E137-E138</f>
        <v>1717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224</v>
      </c>
      <c r="D142" s="297"/>
      <c r="E142" s="251">
        <f>C142-D142</f>
        <v>224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95</v>
      </c>
      <c r="D143" s="297"/>
      <c r="E143" s="291">
        <f>C143-D143</f>
        <v>95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319</v>
      </c>
      <c r="D144" s="251">
        <f>D142+D143</f>
        <v>0</v>
      </c>
      <c r="E144" s="251">
        <f>E142+E143</f>
        <v>319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319</v>
      </c>
      <c r="D146" s="251">
        <f>D144-D145</f>
        <v>0</v>
      </c>
      <c r="E146" s="251">
        <f>E144-E145</f>
        <v>319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0.13046010483401282</v>
      </c>
      <c r="D149" s="501"/>
      <c r="E149" s="405">
        <f>C149</f>
        <v>0.13046010483401282</v>
      </c>
      <c r="F149" s="8"/>
      <c r="G149" s="482" t="s">
        <v>467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+C143/C139</f>
        <v>0.0553290623179965</v>
      </c>
      <c r="D150" s="501"/>
      <c r="E150" s="405">
        <f>C150</f>
        <v>0.0553290623179965</v>
      </c>
      <c r="F150" s="8"/>
      <c r="G150" s="482" t="s">
        <v>468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0.18578916715200933</v>
      </c>
      <c r="D151" s="5"/>
      <c r="E151" s="405">
        <f>SUM(E149:E150)</f>
        <v>0.18578916715200933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0">
        <f>C146</f>
        <v>319</v>
      </c>
      <c r="D156" s="250">
        <f>D146</f>
        <v>0</v>
      </c>
      <c r="E156" s="250">
        <f>E146</f>
        <v>319</v>
      </c>
    </row>
    <row r="157" spans="1:5" ht="12.75">
      <c r="A157" t="s">
        <v>20</v>
      </c>
      <c r="B157" s="86" t="s">
        <v>187</v>
      </c>
      <c r="C157" s="478">
        <v>5639</v>
      </c>
      <c r="D157" s="250"/>
      <c r="E157" s="250">
        <f>C157+D157</f>
        <v>5639</v>
      </c>
    </row>
    <row r="158" spans="1:5" ht="12.75">
      <c r="A158" t="s">
        <v>218</v>
      </c>
      <c r="B158" s="86" t="s">
        <v>187</v>
      </c>
      <c r="C158" s="478"/>
      <c r="D158" s="250"/>
      <c r="E158" s="250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5958</v>
      </c>
      <c r="D160" s="250">
        <f>D156+D157+D158</f>
        <v>0</v>
      </c>
      <c r="E160" s="250">
        <f>E156+E157+E158</f>
        <v>5958</v>
      </c>
    </row>
    <row r="161" ht="12.75">
      <c r="C161" s="85"/>
    </row>
    <row r="162" ht="12.75">
      <c r="C162" s="8"/>
    </row>
    <row r="163" ht="12.75">
      <c r="E163" s="22"/>
    </row>
    <row r="175" ht="12.75">
      <c r="F175" s="34"/>
    </row>
    <row r="202" ht="12.75">
      <c r="E202" s="498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3" fitToWidth="1" horizontalDpi="600" verticalDpi="600" orientation="portrait" scale="83" r:id="rId3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02"/>
  <sheetViews>
    <sheetView workbookViewId="0" topLeftCell="A1">
      <selection activeCell="D71" sqref="D7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88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505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281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0">
        <f t="shared" si="0"/>
        <v>0</v>
      </c>
    </row>
    <row r="16" spans="1:5" ht="12.75">
      <c r="A16" s="61" t="s">
        <v>283</v>
      </c>
      <c r="B16" s="61"/>
      <c r="C16" s="293"/>
      <c r="D16" s="293"/>
      <c r="E16" s="250">
        <f t="shared" si="0"/>
        <v>0</v>
      </c>
    </row>
    <row r="17" spans="1:5" ht="12.75">
      <c r="A17" s="61" t="s">
        <v>284</v>
      </c>
      <c r="B17" s="61"/>
      <c r="C17" s="293"/>
      <c r="D17" s="293"/>
      <c r="E17" s="250">
        <f t="shared" si="0"/>
        <v>0</v>
      </c>
    </row>
    <row r="18" spans="1:5" ht="12.75">
      <c r="A18" s="61" t="s">
        <v>447</v>
      </c>
      <c r="B18" s="61"/>
      <c r="C18" s="293"/>
      <c r="D18" s="293"/>
      <c r="E18" s="250">
        <f t="shared" si="0"/>
        <v>0</v>
      </c>
    </row>
    <row r="19" spans="1:5" ht="12.75">
      <c r="A19" s="61" t="s">
        <v>447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281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0">
        <f t="shared" si="1"/>
        <v>0</v>
      </c>
    </row>
    <row r="28" spans="1:5" ht="12.75">
      <c r="A28" s="61" t="s">
        <v>283</v>
      </c>
      <c r="B28" s="61"/>
      <c r="C28" s="293"/>
      <c r="D28" s="293"/>
      <c r="E28" s="250">
        <f t="shared" si="1"/>
        <v>0</v>
      </c>
    </row>
    <row r="29" spans="1:5" ht="12.75">
      <c r="A29" s="61" t="s">
        <v>284</v>
      </c>
      <c r="B29" s="61"/>
      <c r="C29" s="293"/>
      <c r="D29" s="293"/>
      <c r="E29" s="250">
        <f t="shared" si="1"/>
        <v>0</v>
      </c>
    </row>
    <row r="30" spans="1:5" ht="12.75">
      <c r="A30" s="61" t="s">
        <v>447</v>
      </c>
      <c r="B30" s="61"/>
      <c r="C30" s="293"/>
      <c r="D30" s="293"/>
      <c r="E30" s="250">
        <f t="shared" si="1"/>
        <v>0</v>
      </c>
    </row>
    <row r="31" spans="1:5" ht="12.75">
      <c r="A31" s="61" t="s">
        <v>447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0">
        <f t="shared" si="2"/>
        <v>0</v>
      </c>
    </row>
    <row r="44" spans="1:5" ht="12.75">
      <c r="A44" s="61" t="s">
        <v>268</v>
      </c>
      <c r="B44" s="61"/>
      <c r="C44" s="293"/>
      <c r="D44" s="293"/>
      <c r="E44" s="250">
        <f t="shared" si="2"/>
        <v>0</v>
      </c>
    </row>
    <row r="45" spans="1:5" ht="12.75">
      <c r="A45" s="61" t="s">
        <v>269</v>
      </c>
      <c r="B45" s="61"/>
      <c r="C45" s="293"/>
      <c r="D45" s="293"/>
      <c r="E45" s="250">
        <f t="shared" si="2"/>
        <v>0</v>
      </c>
    </row>
    <row r="46" spans="1:5" ht="12.75">
      <c r="A46" s="61" t="s">
        <v>270</v>
      </c>
      <c r="B46" s="61"/>
      <c r="C46" s="293"/>
      <c r="D46" s="293"/>
      <c r="E46" s="250">
        <f t="shared" si="2"/>
        <v>0</v>
      </c>
    </row>
    <row r="47" spans="1:5" ht="12.75">
      <c r="A47" s="503" t="s">
        <v>494</v>
      </c>
      <c r="B47" s="61"/>
      <c r="C47" s="293"/>
      <c r="D47" s="293"/>
      <c r="E47" s="250">
        <f t="shared" si="2"/>
        <v>0</v>
      </c>
    </row>
    <row r="48" spans="1:5" ht="12.75">
      <c r="A48" s="61" t="s">
        <v>447</v>
      </c>
      <c r="B48" s="61"/>
      <c r="C48" s="293"/>
      <c r="D48" s="293"/>
      <c r="E48" s="250">
        <f t="shared" si="2"/>
        <v>0</v>
      </c>
    </row>
    <row r="49" spans="1:5" ht="12.75">
      <c r="A49" s="502" t="s">
        <v>493</v>
      </c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3"/>
      <c r="D55" s="293"/>
      <c r="E55" s="250">
        <f t="shared" si="3"/>
        <v>0</v>
      </c>
    </row>
    <row r="56" spans="1:5" ht="12.75">
      <c r="A56" s="245" t="s">
        <v>268</v>
      </c>
      <c r="B56" s="61"/>
      <c r="C56" s="293"/>
      <c r="D56" s="293"/>
      <c r="E56" s="250">
        <f t="shared" si="3"/>
        <v>0</v>
      </c>
    </row>
    <row r="57" spans="1:5" ht="12.75">
      <c r="A57" s="245" t="s">
        <v>269</v>
      </c>
      <c r="B57" s="61"/>
      <c r="C57" s="293"/>
      <c r="D57" s="293"/>
      <c r="E57" s="250">
        <f t="shared" si="3"/>
        <v>0</v>
      </c>
    </row>
    <row r="58" spans="1:5" ht="12.75">
      <c r="A58" s="245" t="s">
        <v>270</v>
      </c>
      <c r="B58" s="61"/>
      <c r="C58" s="293"/>
      <c r="D58" s="293"/>
      <c r="E58" s="250">
        <f t="shared" si="3"/>
        <v>0</v>
      </c>
    </row>
    <row r="59" spans="1:5" ht="12.75">
      <c r="A59" s="503" t="s">
        <v>494</v>
      </c>
      <c r="B59" s="61"/>
      <c r="C59" s="293"/>
      <c r="D59" s="293"/>
      <c r="E59" s="250">
        <f t="shared" si="3"/>
        <v>0</v>
      </c>
    </row>
    <row r="60" spans="1:5" ht="12.75">
      <c r="A60" s="61" t="s">
        <v>447</v>
      </c>
      <c r="B60" s="61"/>
      <c r="C60" s="293"/>
      <c r="D60" s="293"/>
      <c r="E60" s="250">
        <f t="shared" si="3"/>
        <v>0</v>
      </c>
    </row>
    <row r="61" spans="1:5" ht="13.5" thickBot="1">
      <c r="A61" s="502" t="s">
        <v>493</v>
      </c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202"/>
  <sheetViews>
    <sheetView workbookViewId="0" topLeftCell="A1">
      <selection activeCell="D71" sqref="D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88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50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67"/>
      <c r="B41" t="s">
        <v>187</v>
      </c>
      <c r="C41" s="293"/>
      <c r="D41" s="293"/>
      <c r="E41" s="250">
        <f t="shared" si="0"/>
        <v>0</v>
      </c>
    </row>
    <row r="42" spans="1:5" ht="12.75">
      <c r="A42" s="67"/>
      <c r="B42" t="s">
        <v>187</v>
      </c>
      <c r="C42" s="293"/>
      <c r="D42" s="293"/>
      <c r="E42" s="250">
        <f t="shared" si="0"/>
        <v>0</v>
      </c>
    </row>
    <row r="43" spans="1:5" ht="12.75">
      <c r="A43" s="67"/>
      <c r="B43" t="s">
        <v>187</v>
      </c>
      <c r="C43" s="293"/>
      <c r="D43" s="293"/>
      <c r="E43" s="250">
        <f t="shared" si="0"/>
        <v>0</v>
      </c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188</v>
      </c>
      <c r="C97" s="293"/>
      <c r="D97" s="293"/>
      <c r="E97" s="250">
        <f t="shared" si="5"/>
        <v>0</v>
      </c>
    </row>
    <row r="98" spans="1:5" ht="12.75">
      <c r="A98" s="67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202"/>
  <sheetViews>
    <sheetView workbookViewId="0" topLeftCell="A1">
      <selection activeCell="D71" sqref="D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383</v>
      </c>
      <c r="E3" s="92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88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50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390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453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436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388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450</v>
      </c>
      <c r="C35" s="294"/>
      <c r="D35" s="294"/>
      <c r="E35" s="312">
        <f t="shared" si="0"/>
        <v>0</v>
      </c>
    </row>
    <row r="36" spans="1:5" ht="12.75">
      <c r="A36" s="67" t="s">
        <v>433</v>
      </c>
      <c r="C36" s="294"/>
      <c r="D36" s="294"/>
      <c r="E36" s="312">
        <f t="shared" si="0"/>
        <v>0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67" t="s">
        <v>456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391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81" t="s">
        <v>385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504"/>
      <c r="B44" t="s">
        <v>187</v>
      </c>
      <c r="C44" s="293"/>
      <c r="D44" s="293"/>
      <c r="E44" s="250">
        <f t="shared" si="0"/>
        <v>0</v>
      </c>
    </row>
    <row r="45" spans="2:5" ht="12.75">
      <c r="B45" t="s">
        <v>187</v>
      </c>
      <c r="C45" s="293"/>
      <c r="D45" s="293"/>
      <c r="E45" s="250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395</v>
      </c>
      <c r="B47" t="s">
        <v>189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387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435</v>
      </c>
      <c r="B54" s="8" t="s">
        <v>188</v>
      </c>
      <c r="C54" s="293"/>
      <c r="D54" s="293"/>
      <c r="E54" s="250">
        <f t="shared" si="1"/>
        <v>0</v>
      </c>
    </row>
    <row r="55" spans="1:5" ht="12.75">
      <c r="A55" s="67" t="s">
        <v>443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7" t="s">
        <v>455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451</v>
      </c>
      <c r="B57" s="8" t="s">
        <v>188</v>
      </c>
      <c r="C57" s="293"/>
      <c r="D57" s="293"/>
      <c r="E57" s="250">
        <f t="shared" si="1"/>
        <v>0</v>
      </c>
    </row>
    <row r="58" spans="1:5" ht="12.75">
      <c r="A58" s="67" t="s">
        <v>454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/>
      <c r="B59" s="8" t="s">
        <v>188</v>
      </c>
      <c r="C59" s="293"/>
      <c r="D59" s="293"/>
      <c r="E59" s="250">
        <f t="shared" si="1"/>
        <v>0</v>
      </c>
    </row>
    <row r="60" spans="2:5" ht="12.75">
      <c r="B60" s="8" t="s">
        <v>188</v>
      </c>
      <c r="C60" s="293"/>
      <c r="D60" s="293"/>
      <c r="E60" s="250">
        <f t="shared" si="1"/>
        <v>0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2:5" ht="12.75">
      <c r="B62" s="8" t="s">
        <v>188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0">
        <f t="shared" si="2"/>
        <v>0</v>
      </c>
    </row>
    <row r="64" spans="1:5" ht="12.75">
      <c r="A64" s="468" t="s">
        <v>392</v>
      </c>
      <c r="B64" s="8" t="s">
        <v>188</v>
      </c>
      <c r="C64" s="293"/>
      <c r="D64" s="293"/>
      <c r="E64" s="250">
        <f t="shared" si="2"/>
        <v>0</v>
      </c>
    </row>
    <row r="65" spans="2:5" ht="12.75">
      <c r="B65" s="8" t="s">
        <v>188</v>
      </c>
      <c r="C65" s="293"/>
      <c r="D65" s="293"/>
      <c r="E65" s="250">
        <f t="shared" si="2"/>
        <v>0</v>
      </c>
    </row>
    <row r="66" spans="1:5" ht="12.75">
      <c r="A66" s="468" t="s">
        <v>385</v>
      </c>
      <c r="B66" s="8" t="s">
        <v>188</v>
      </c>
      <c r="C66" s="293"/>
      <c r="D66" s="293"/>
      <c r="E66" s="250">
        <f t="shared" si="2"/>
        <v>0</v>
      </c>
    </row>
    <row r="67" spans="1:5" ht="12.75">
      <c r="A67" s="67"/>
      <c r="B67" s="8" t="s">
        <v>188</v>
      </c>
      <c r="C67" s="293"/>
      <c r="D67" s="293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67"/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7"/>
      <c r="B71" s="8" t="s">
        <v>188</v>
      </c>
      <c r="C71" s="293"/>
      <c r="D71" s="293"/>
      <c r="E71" s="250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189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02"/>
  <sheetViews>
    <sheetView workbookViewId="0" topLeftCell="A31">
      <selection activeCell="D71" sqref="D7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EB-2011-0198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3.5" thickBot="1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3.5" thickBot="1">
      <c r="A4" s="491" t="str">
        <f>REGINFO!A3</f>
        <v>Utility Name: Tillsonburg Hydro Inc.</v>
      </c>
      <c r="B4" s="492"/>
      <c r="C4" s="493"/>
      <c r="D4" s="342"/>
      <c r="E4" s="342"/>
      <c r="F4" s="342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3.5" thickBot="1">
      <c r="A5" s="507" t="str">
        <f>REGINFO!A4</f>
        <v>Reporting period:  2003</v>
      </c>
      <c r="B5" s="508"/>
      <c r="C5" s="509"/>
      <c r="D5" s="342"/>
      <c r="E5" s="342"/>
      <c r="F5" s="342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29" t="s">
        <v>482</v>
      </c>
      <c r="B8" s="530"/>
      <c r="C8" s="530"/>
      <c r="D8" s="530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466</v>
      </c>
      <c r="B10" s="326"/>
      <c r="C10" s="375" t="s">
        <v>111</v>
      </c>
      <c r="D10" s="375"/>
      <c r="E10" s="375" t="s">
        <v>111</v>
      </c>
      <c r="F10" s="376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4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4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4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471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472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3" t="s">
        <v>491</v>
      </c>
      <c r="B23" s="524"/>
      <c r="C23" s="524"/>
      <c r="D23" s="524"/>
      <c r="E23" s="524"/>
      <c r="F23" s="524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1" t="s">
        <v>483</v>
      </c>
      <c r="B26" s="532"/>
      <c r="C26" s="532"/>
      <c r="D26" s="532"/>
      <c r="E26" s="532"/>
      <c r="F26" s="53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111</v>
      </c>
      <c r="D28" s="369"/>
      <c r="E28" s="369" t="s">
        <v>111</v>
      </c>
      <c r="F28" s="370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2003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2003</v>
      </c>
      <c r="C32" s="327">
        <v>0.1312</v>
      </c>
      <c r="D32" s="327"/>
      <c r="E32" s="328"/>
      <c r="F32" s="328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4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471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472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5" t="s">
        <v>335</v>
      </c>
      <c r="B41" s="524"/>
      <c r="C41" s="524"/>
      <c r="D41" s="524"/>
      <c r="E41" s="524"/>
      <c r="F41" s="52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6"/>
      <c r="B42" s="526"/>
      <c r="C42" s="526"/>
      <c r="D42" s="526"/>
      <c r="E42" s="526"/>
      <c r="F42" s="52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2003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4"/>
      <c r="C50" s="351">
        <v>0.1312</v>
      </c>
      <c r="D50" s="351"/>
      <c r="E50" s="352">
        <v>0.2212</v>
      </c>
      <c r="F50" s="352">
        <v>0.2412</v>
      </c>
      <c r="G50" s="194"/>
      <c r="H50" s="486"/>
      <c r="I50" s="486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4"/>
      <c r="C51" s="353">
        <v>0.06</v>
      </c>
      <c r="D51" s="353"/>
      <c r="E51" s="354">
        <v>0.0975</v>
      </c>
      <c r="F51" s="354">
        <v>0.125</v>
      </c>
      <c r="G51" s="194"/>
      <c r="H51" s="486"/>
      <c r="I51" s="486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4"/>
      <c r="C52" s="331">
        <f>SUM(C50:C51)</f>
        <v>0.1912</v>
      </c>
      <c r="D52" s="331"/>
      <c r="E52" s="332">
        <f>SUM(E50:E51)</f>
        <v>0.3187</v>
      </c>
      <c r="F52" s="332">
        <f>SUM(F50:F51)</f>
        <v>0.36619999999999997</v>
      </c>
      <c r="G52" s="194"/>
      <c r="H52" s="486"/>
      <c r="I52" s="486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4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348</v>
      </c>
      <c r="B57" s="406" t="s">
        <v>471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349</v>
      </c>
      <c r="B58" s="407" t="s">
        <v>472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3" t="s">
        <v>350</v>
      </c>
      <c r="B59" s="527"/>
      <c r="C59" s="527"/>
      <c r="D59" s="527"/>
      <c r="E59" s="527"/>
      <c r="F59" s="52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8"/>
      <c r="B60" s="528"/>
      <c r="C60" s="528"/>
      <c r="D60" s="528"/>
      <c r="E60" s="528"/>
      <c r="F60" s="52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  <row r="175" ht="12.75">
      <c r="F175" s="86"/>
    </row>
    <row r="202" ht="12.75">
      <c r="E202" s="49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1">
      <selection activeCell="G12" sqref="G12:M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457</v>
      </c>
      <c r="B2" s="2"/>
    </row>
    <row r="3" spans="1:15" ht="13.5" thickBot="1">
      <c r="A3" s="491" t="str">
        <f>REGINFO!A3</f>
        <v>Utility Name: Tillsonburg Hydro Inc.</v>
      </c>
      <c r="B3" s="494"/>
      <c r="C3" s="487"/>
      <c r="O3" s="416" t="str">
        <f>REGINFO!E1</f>
        <v>Version 2009.1</v>
      </c>
    </row>
    <row r="4" spans="1:15" ht="13.5" thickBot="1">
      <c r="A4" s="507" t="str">
        <f>REGINFO!A4</f>
        <v>Reporting period:  2003</v>
      </c>
      <c r="B4" s="510"/>
      <c r="C4" s="511"/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47373</v>
      </c>
      <c r="F11" s="419"/>
      <c r="G11" s="396">
        <f>E22</f>
        <v>31276</v>
      </c>
      <c r="H11" s="419"/>
      <c r="I11" s="396">
        <f>G22</f>
        <v>22483</v>
      </c>
      <c r="J11" s="390"/>
      <c r="K11" s="396">
        <f>I22</f>
        <v>12869.5</v>
      </c>
      <c r="L11" s="390"/>
      <c r="M11" s="396">
        <f>K22</f>
        <v>-14999.25</v>
      </c>
      <c r="N11" s="390"/>
      <c r="O11" s="396">
        <f>C11</f>
        <v>0</v>
      </c>
    </row>
    <row r="12" spans="1:15" ht="27" customHeight="1">
      <c r="A12" s="81" t="s">
        <v>396</v>
      </c>
      <c r="B12" s="66" t="s">
        <v>190</v>
      </c>
      <c r="C12" s="395">
        <v>47086</v>
      </c>
      <c r="D12" s="391"/>
      <c r="E12" s="395">
        <v>154547</v>
      </c>
      <c r="F12" s="95"/>
      <c r="G12" s="519">
        <f>C12+E12</f>
        <v>201633</v>
      </c>
      <c r="H12" s="516"/>
      <c r="I12" s="519">
        <f>+(G12*(3/12))+(E12*(9/12))</f>
        <v>166318.5</v>
      </c>
      <c r="J12" s="520"/>
      <c r="K12" s="418">
        <f>+(E12*(3/12))</f>
        <v>38636.75</v>
      </c>
      <c r="L12" s="391"/>
      <c r="M12" s="418">
        <f>+(94642*(4/12))</f>
        <v>31547.333333333332</v>
      </c>
      <c r="N12" s="391"/>
      <c r="O12" s="396">
        <f aca="true" t="shared" si="0" ref="O12:O20">SUM(C12:N12)</f>
        <v>639768.5833333334</v>
      </c>
    </row>
    <row r="13" spans="1:15" ht="27" customHeight="1">
      <c r="A13" s="81" t="s">
        <v>438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>
        <f>+(94642*(9/12))</f>
        <v>70981.5</v>
      </c>
      <c r="L13" s="391"/>
      <c r="M13" s="418"/>
      <c r="N13" s="391"/>
      <c r="O13" s="396">
        <f t="shared" si="0"/>
        <v>70981.5</v>
      </c>
    </row>
    <row r="14" spans="1:15" ht="25.5">
      <c r="A14" s="81" t="s">
        <v>397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190</v>
      </c>
      <c r="C15" s="495"/>
      <c r="D15" s="391"/>
      <c r="E15" s="515">
        <v>-2326</v>
      </c>
      <c r="F15" s="516"/>
      <c r="G15" s="515"/>
      <c r="H15" s="95"/>
      <c r="I15" s="395">
        <f>ROUND(TAXCALC!E132,0)</f>
        <v>0</v>
      </c>
      <c r="J15" s="391"/>
      <c r="K15" s="395"/>
      <c r="L15" s="391"/>
      <c r="M15" s="418"/>
      <c r="N15" s="391"/>
      <c r="O15" s="396">
        <f t="shared" si="0"/>
        <v>-2326</v>
      </c>
    </row>
    <row r="16" spans="1:15" ht="27" customHeight="1">
      <c r="A16" s="81" t="s">
        <v>399</v>
      </c>
      <c r="B16" s="66"/>
      <c r="C16" s="395"/>
      <c r="D16" s="391"/>
      <c r="E16" s="515"/>
      <c r="F16" s="516"/>
      <c r="G16" s="51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400</v>
      </c>
      <c r="B17" s="66" t="s">
        <v>190</v>
      </c>
      <c r="C17" s="395"/>
      <c r="D17" s="391"/>
      <c r="E17" s="515"/>
      <c r="F17" s="516"/>
      <c r="G17" s="515">
        <v>-9002</v>
      </c>
      <c r="H17" s="95"/>
      <c r="I17" s="395">
        <f>ROUND(TAXCALC!E181,0)</f>
        <v>-9002</v>
      </c>
      <c r="J17" s="391"/>
      <c r="K17" s="395">
        <v>-21830</v>
      </c>
      <c r="L17" s="391"/>
      <c r="M17" s="418">
        <v>40718</v>
      </c>
      <c r="N17" s="391"/>
      <c r="O17" s="396">
        <f t="shared" si="0"/>
        <v>884</v>
      </c>
    </row>
    <row r="18" spans="1:15" ht="25.5">
      <c r="A18" s="81" t="s">
        <v>401</v>
      </c>
      <c r="B18" s="66" t="s">
        <v>190</v>
      </c>
      <c r="C18" s="395"/>
      <c r="D18" s="391"/>
      <c r="E18" s="515"/>
      <c r="F18" s="516"/>
      <c r="G18" s="51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6" t="s">
        <v>190</v>
      </c>
      <c r="C19" s="395">
        <v>287</v>
      </c>
      <c r="D19" s="391"/>
      <c r="E19" s="515">
        <v>4660</v>
      </c>
      <c r="F19" s="516"/>
      <c r="G19" s="515">
        <v>1120</v>
      </c>
      <c r="H19" s="516"/>
      <c r="I19" s="515">
        <v>601</v>
      </c>
      <c r="J19" s="520"/>
      <c r="K19" s="515">
        <v>-845</v>
      </c>
      <c r="L19" s="520"/>
      <c r="M19" s="515">
        <v>-524</v>
      </c>
      <c r="N19" s="391"/>
      <c r="O19" s="396">
        <f t="shared" si="0"/>
        <v>5299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1"/>
      <c r="E20" s="515">
        <v>-172978</v>
      </c>
      <c r="F20" s="95"/>
      <c r="G20" s="395">
        <v>-202544</v>
      </c>
      <c r="H20" s="95"/>
      <c r="I20" s="395">
        <v>-167531</v>
      </c>
      <c r="J20" s="391"/>
      <c r="K20" s="395">
        <v>-114812</v>
      </c>
      <c r="L20" s="391"/>
      <c r="M20" s="395">
        <v>-30790</v>
      </c>
      <c r="N20" s="391"/>
      <c r="O20" s="396">
        <f t="shared" si="0"/>
        <v>-688655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372</v>
      </c>
      <c r="B22" s="34"/>
      <c r="C22" s="397">
        <f>SUM(C11:C20)</f>
        <v>47373</v>
      </c>
      <c r="D22" s="419"/>
      <c r="E22" s="397">
        <f>SUM(E11:E20)</f>
        <v>31276</v>
      </c>
      <c r="F22" s="419"/>
      <c r="G22" s="397">
        <f>SUM(G11:G20)</f>
        <v>22483</v>
      </c>
      <c r="H22" s="419"/>
      <c r="I22" s="397">
        <f>SUM(I11:I20)</f>
        <v>12869.5</v>
      </c>
      <c r="J22" s="390"/>
      <c r="K22" s="397">
        <f>SUM(K11:K20)</f>
        <v>-14999.25</v>
      </c>
      <c r="L22" s="390"/>
      <c r="M22" s="397">
        <f>SUM(M11:M21)</f>
        <v>25952.08333333333</v>
      </c>
      <c r="N22" s="390"/>
      <c r="O22" s="450">
        <f>SUM(O11:O20)</f>
        <v>25952.083333333372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34" t="s">
        <v>407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20"/>
      <c r="Q33" s="420"/>
      <c r="R33" s="420"/>
      <c r="S33" s="420"/>
    </row>
    <row r="34" spans="1:19" ht="12.75">
      <c r="A34" s="533" t="s">
        <v>408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20"/>
      <c r="Q34" s="420"/>
      <c r="R34" s="420"/>
      <c r="S34" s="420"/>
    </row>
    <row r="35" spans="1:19" ht="12.75">
      <c r="A35" s="533" t="s">
        <v>429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420"/>
      <c r="Q35" s="420"/>
      <c r="R35" s="420"/>
      <c r="S35" s="420"/>
    </row>
    <row r="36" spans="1:19" ht="12.75">
      <c r="A36" s="533" t="s">
        <v>409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33" t="s">
        <v>458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9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2011-12-08T05:04:55Z</cp:lastPrinted>
  <dcterms:created xsi:type="dcterms:W3CDTF">2001-11-07T16:15:53Z</dcterms:created>
  <dcterms:modified xsi:type="dcterms:W3CDTF">2011-12-08T16:49:18Z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