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1700" activeTab="0"/>
  </bookViews>
  <sheets>
    <sheet name="2002-2003" sheetId="1" r:id="rId1"/>
    <sheet name="2004" sheetId="2" r:id="rId2"/>
    <sheet name="2005" sheetId="3" r:id="rId3"/>
    <sheet name="2006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JHoward</author>
  </authors>
  <commentList>
    <comment ref="C5" authorId="0">
      <text>
        <r>
          <rPr>
            <b/>
            <sz val="8"/>
            <rFont val="Tahoma"/>
            <family val="2"/>
          </rPr>
          <t>JHoward:</t>
        </r>
        <r>
          <rPr>
            <sz val="8"/>
            <rFont val="Tahoma"/>
            <family val="2"/>
          </rPr>
          <t xml:space="preserve">
Rates effective Mar 1/02</t>
        </r>
      </text>
    </comment>
  </commentList>
</comments>
</file>

<file path=xl/sharedStrings.xml><?xml version="1.0" encoding="utf-8"?>
<sst xmlns="http://schemas.openxmlformats.org/spreadsheetml/2006/main" count="81" uniqueCount="38">
  <si>
    <t>Service Charge</t>
  </si>
  <si>
    <t>Residential</t>
  </si>
  <si>
    <t>GS&lt;50</t>
  </si>
  <si>
    <t>GS&gt;50</t>
  </si>
  <si>
    <t>GS&gt;50 TOU</t>
  </si>
  <si>
    <t>Sentinel Lighting</t>
  </si>
  <si>
    <t>Street Lights</t>
  </si>
  <si>
    <t>Variable</t>
  </si>
  <si>
    <t xml:space="preserve"> ORANGEVILLE</t>
  </si>
  <si>
    <t>PILS 2002 and 2003</t>
  </si>
  <si>
    <t xml:space="preserve">Total PIL Proxy Adder 2001-2003 </t>
  </si>
  <si>
    <t>Total 2002 Collected</t>
  </si>
  <si>
    <t>Total 2003 Collected</t>
  </si>
  <si>
    <t>2001-2002-2003 PIL Proxy Adder</t>
  </si>
  <si>
    <t>Jan-Mar 2004 Volumes</t>
  </si>
  <si>
    <t>2004 PIL Proxy Adder</t>
  </si>
  <si>
    <t>Apr-Dec 2004 Volumes</t>
  </si>
  <si>
    <t>Total 2004 Volumes</t>
  </si>
  <si>
    <t>Total 2004 Collected</t>
  </si>
  <si>
    <t>Jan-Mar 2005 Volumes</t>
  </si>
  <si>
    <t>2005 PIL Proxy Adder</t>
  </si>
  <si>
    <t>Apr-Dec 2005 Volumes</t>
  </si>
  <si>
    <t>Total 2005 Volumes</t>
  </si>
  <si>
    <t>Total 2005 Collected</t>
  </si>
  <si>
    <t>Jan-Apr 2005 Volumes</t>
  </si>
  <si>
    <t>OEB IR # 13 b)</t>
  </si>
  <si>
    <t>OHL PIL Submission</t>
  </si>
  <si>
    <t>Difference</t>
  </si>
  <si>
    <t>Summary</t>
  </si>
  <si>
    <t>Per GL &amp; Continuity Schedule</t>
  </si>
  <si>
    <t>Total</t>
  </si>
  <si>
    <t>2002 Volumes-10 Months</t>
  </si>
  <si>
    <t>2003 Volumes-12 Months</t>
  </si>
  <si>
    <t>Total 2003 PIL Collected-3 Months</t>
  </si>
  <si>
    <t>2004 PIL Collected-9 Months</t>
  </si>
  <si>
    <t>2004 PIL Collected-3 Months</t>
  </si>
  <si>
    <t>2005 PIL Collected-9 Months</t>
  </si>
  <si>
    <t>Total 2006 Collected-4 Months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</si>
</sst>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2" borderId="0" xfId="0" applyFont="1" applyFill="1" applyAlignment="1">
      <alignment horizontal="center" wrapText="1"/>
    </xf>
    <xf numFmtId="0" fontId="37" fillId="0" borderId="0" xfId="0" applyFont="1" applyAlignment="1">
      <alignment horizontal="center"/>
    </xf>
    <xf numFmtId="0" fontId="37" fillId="2" borderId="0" xfId="0" applyFont="1" applyFill="1" applyAlignment="1">
      <alignment horizontal="center"/>
    </xf>
    <xf numFmtId="0" fontId="37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0" borderId="0" xfId="42" applyNumberFormat="1" applyFont="1" applyAlignment="1">
      <alignment/>
    </xf>
    <xf numFmtId="44" fontId="0" fillId="2" borderId="0" xfId="44" applyFont="1" applyFill="1" applyAlignment="1">
      <alignment/>
    </xf>
    <xf numFmtId="164" fontId="0" fillId="0" borderId="0" xfId="0" applyNumberFormat="1" applyAlignment="1">
      <alignment/>
    </xf>
    <xf numFmtId="43" fontId="0" fillId="2" borderId="0" xfId="0" applyNumberFormat="1" applyFill="1" applyAlignment="1">
      <alignment/>
    </xf>
    <xf numFmtId="44" fontId="0" fillId="2" borderId="10" xfId="0" applyNumberFormat="1" applyFill="1" applyBorder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44" fontId="0" fillId="0" borderId="0" xfId="0" applyNumberFormat="1" applyAlignment="1">
      <alignment/>
    </xf>
    <xf numFmtId="0" fontId="37" fillId="0" borderId="0" xfId="0" applyFont="1" applyAlignment="1">
      <alignment wrapText="1"/>
    </xf>
    <xf numFmtId="0" fontId="37" fillId="2" borderId="0" xfId="0" applyFont="1" applyFill="1" applyAlignment="1">
      <alignment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39" fillId="2" borderId="0" xfId="0" applyFont="1" applyFill="1" applyAlignment="1">
      <alignment/>
    </xf>
    <xf numFmtId="166" fontId="0" fillId="0" borderId="0" xfId="0" applyNumberFormat="1" applyAlignment="1">
      <alignment/>
    </xf>
    <xf numFmtId="0" fontId="37" fillId="5" borderId="0" xfId="0" applyFont="1" applyFill="1" applyAlignment="1">
      <alignment horizontal="center" wrapText="1"/>
    </xf>
    <xf numFmtId="0" fontId="0" fillId="5" borderId="0" xfId="0" applyFill="1" applyAlignment="1">
      <alignment/>
    </xf>
    <xf numFmtId="44" fontId="0" fillId="5" borderId="0" xfId="0" applyNumberFormat="1" applyFill="1" applyAlignment="1">
      <alignment/>
    </xf>
    <xf numFmtId="44" fontId="0" fillId="5" borderId="10" xfId="0" applyNumberFormat="1" applyFill="1" applyBorder="1" applyAlignment="1">
      <alignment/>
    </xf>
    <xf numFmtId="0" fontId="37" fillId="5" borderId="0" xfId="0" applyFont="1" applyFill="1" applyAlignment="1">
      <alignment horizontal="center"/>
    </xf>
    <xf numFmtId="44" fontId="0" fillId="5" borderId="0" xfId="44" applyFont="1" applyFill="1" applyAlignment="1">
      <alignment/>
    </xf>
    <xf numFmtId="43" fontId="0" fillId="5" borderId="0" xfId="0" applyNumberFormat="1" applyFill="1" applyAlignment="1">
      <alignment/>
    </xf>
    <xf numFmtId="165" fontId="0" fillId="0" borderId="0" xfId="0" applyNumberFormat="1" applyAlignment="1">
      <alignment horizontal="right"/>
    </xf>
    <xf numFmtId="44" fontId="22" fillId="2" borderId="0" xfId="44" applyFont="1" applyFill="1" applyAlignment="1">
      <alignment/>
    </xf>
    <xf numFmtId="164" fontId="39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5" fontId="0" fillId="0" borderId="0" xfId="0" applyNumberFormat="1" applyAlignment="1">
      <alignment/>
    </xf>
    <xf numFmtId="37" fontId="0" fillId="0" borderId="0" xfId="0" applyNumberFormat="1" applyAlignment="1">
      <alignment/>
    </xf>
    <xf numFmtId="43" fontId="0" fillId="2" borderId="10" xfId="0" applyNumberFormat="1" applyFill="1" applyBorder="1" applyAlignment="1">
      <alignment/>
    </xf>
    <xf numFmtId="0" fontId="0" fillId="0" borderId="0" xfId="0" applyAlignment="1">
      <alignment wrapText="1"/>
    </xf>
    <xf numFmtId="44" fontId="0" fillId="0" borderId="0" xfId="44" applyFont="1" applyAlignment="1">
      <alignment/>
    </xf>
    <xf numFmtId="44" fontId="0" fillId="0" borderId="0" xfId="0" applyNumberFormat="1" applyBorder="1" applyAlignment="1">
      <alignment/>
    </xf>
    <xf numFmtId="44" fontId="37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te%20Submission\2012%20Filing\PILS%201562\Orangeville%20PILs%20Rate%20Slivers%20Data\Billing%20Data\02%20PILs%20Varian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te%20Submission\2012%20Filing\PILS%201562\Orangeville%20PILs%20Rate%20Slivers%20Data\Billing%20Data\03%20PILs%20Varian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rangeville%20Schedule%20B-PILs%20Rate%20Slivers%20recalculated%20Q%2013B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te%20Submission\2012%20Filing\PILS%201562\Orangeville%20PILs%20Rate%20Slivers%20Data\Billing%20Data\Recap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te%20Submission\2012%20Filing\PILS%201562\Orangeville%20PILs%20Rate%20Slivers%20Data\Billing%20Data\Recap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te%20Submission\2012%20Filing\PILS%201562\Orangeville%20PILs%20Rate%20Slivers%20Data\Billing%20Data\Re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02"/>
      <sheetName val="Apr 02"/>
      <sheetName val="May 02"/>
      <sheetName val="Jun 02"/>
      <sheetName val="Jul 02"/>
      <sheetName val="Aug 02"/>
      <sheetName val="Sep 02"/>
      <sheetName val="Oct 02"/>
      <sheetName val="Nov 02"/>
      <sheetName val="Dec 02"/>
      <sheetName val="Total"/>
    </sheetNames>
    <sheetDataSet>
      <sheetData sheetId="10">
        <row r="6">
          <cell r="H6">
            <v>56967228</v>
          </cell>
        </row>
        <row r="15">
          <cell r="H15">
            <v>20460990.789473686</v>
          </cell>
        </row>
        <row r="24">
          <cell r="H24">
            <v>188030.19294421573</v>
          </cell>
        </row>
        <row r="33">
          <cell r="H33">
            <v>38828.02372941384</v>
          </cell>
        </row>
        <row r="42">
          <cell r="H42">
            <v>274.40489350725915</v>
          </cell>
        </row>
        <row r="51">
          <cell r="H51">
            <v>3542.9890109890107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Jan 03"/>
      <sheetName val="Feb 03"/>
      <sheetName val="Mar 03"/>
      <sheetName val="Apr 03"/>
      <sheetName val="May 03"/>
      <sheetName val="Jun 03"/>
      <sheetName val="Jul 03"/>
      <sheetName val="Aug 03"/>
      <sheetName val="Sep 03"/>
      <sheetName val="Oct 03"/>
      <sheetName val="Nov 03"/>
      <sheetName val="Dec 03"/>
      <sheetName val="Total"/>
    </sheetNames>
    <sheetDataSet>
      <sheetData sheetId="13">
        <row r="6">
          <cell r="I6">
            <v>77009311</v>
          </cell>
        </row>
        <row r="15">
          <cell r="I15">
            <v>28999346.052631576</v>
          </cell>
        </row>
        <row r="24">
          <cell r="I24">
            <v>256088.6332445306</v>
          </cell>
        </row>
        <row r="33">
          <cell r="I33">
            <v>46338.36550380733</v>
          </cell>
        </row>
        <row r="42">
          <cell r="I42">
            <v>361.19831969931465</v>
          </cell>
        </row>
        <row r="51">
          <cell r="I51">
            <v>4309.274725274726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LS 2002-2003"/>
      <sheetName val="PILS 2004"/>
      <sheetName val="PILS 2005"/>
      <sheetName val="PILS 2006"/>
      <sheetName val="Volumes"/>
      <sheetName val="Sheet1"/>
      <sheetName val="Sheet2"/>
    </sheetNames>
    <sheetDataSet>
      <sheetData sheetId="0">
        <row r="8">
          <cell r="D8">
            <v>2.1842</v>
          </cell>
        </row>
        <row r="9">
          <cell r="D9">
            <v>4.3953</v>
          </cell>
        </row>
        <row r="10">
          <cell r="D10">
            <v>40.6961</v>
          </cell>
        </row>
        <row r="11">
          <cell r="D11">
            <v>309.7336</v>
          </cell>
        </row>
        <row r="12">
          <cell r="D12">
            <v>0.051199999999999996</v>
          </cell>
        </row>
        <row r="13">
          <cell r="D13">
            <v>0.006</v>
          </cell>
        </row>
      </sheetData>
      <sheetData sheetId="1">
        <row r="13">
          <cell r="E13">
            <v>0.003332</v>
          </cell>
        </row>
        <row r="14">
          <cell r="E14">
            <v>0.002046</v>
          </cell>
        </row>
        <row r="15">
          <cell r="E15">
            <v>0.230524</v>
          </cell>
        </row>
        <row r="16">
          <cell r="E16">
            <v>0.229336</v>
          </cell>
        </row>
        <row r="17">
          <cell r="E17">
            <v>0.37582</v>
          </cell>
        </row>
        <row r="18">
          <cell r="E18">
            <v>0.057432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MasterRC"/>
      <sheetName val="Jan04"/>
      <sheetName val="Feb04"/>
      <sheetName val="Mar04"/>
      <sheetName val="Apr04"/>
      <sheetName val="Apr04RC"/>
      <sheetName val="Tot Apr"/>
      <sheetName val="May04"/>
      <sheetName val="May04RC"/>
      <sheetName val="Tot May"/>
      <sheetName val="Jun04"/>
      <sheetName val="Jun04RC"/>
      <sheetName val="Tot Jun"/>
      <sheetName val="Total 2004 PILs Volumes"/>
      <sheetName val="Jul04"/>
      <sheetName val="Jul04RC"/>
      <sheetName val="Tot Jul"/>
      <sheetName val="Aug04"/>
      <sheetName val="Aug04RC"/>
      <sheetName val="Tot Aug"/>
      <sheetName val="Sep04"/>
      <sheetName val="Sep04RC"/>
      <sheetName val="Tot Sep"/>
      <sheetName val="Oct04RC"/>
      <sheetName val="Nov04"/>
      <sheetName val="Nov04RC"/>
      <sheetName val="Tot Nov"/>
      <sheetName val="Dec04"/>
      <sheetName val="Dec04RC"/>
      <sheetName val="Tot Dec"/>
      <sheetName val="Total Old"/>
      <sheetName val="Total New"/>
      <sheetName val="Grand Total"/>
      <sheetName val="Sheet1"/>
    </sheetNames>
    <sheetDataSet>
      <sheetData sheetId="31">
        <row r="106">
          <cell r="J106">
            <v>28202938.740000002</v>
          </cell>
        </row>
        <row r="107">
          <cell r="J107">
            <v>10222206.370000001</v>
          </cell>
        </row>
        <row r="108">
          <cell r="J108">
            <v>79872.6</v>
          </cell>
        </row>
        <row r="109">
          <cell r="J109">
            <v>11091.68</v>
          </cell>
        </row>
        <row r="110">
          <cell r="J110">
            <v>110.30000000000001</v>
          </cell>
        </row>
        <row r="111">
          <cell r="J111">
            <v>1295.3000000000002</v>
          </cell>
        </row>
      </sheetData>
      <sheetData sheetId="32">
        <row r="106">
          <cell r="J106">
            <v>48131007.279999994</v>
          </cell>
        </row>
        <row r="107">
          <cell r="J107">
            <v>18560674.63</v>
          </cell>
        </row>
        <row r="108">
          <cell r="J108">
            <v>171688.55000000002</v>
          </cell>
        </row>
        <row r="109">
          <cell r="J109">
            <v>30292.81</v>
          </cell>
        </row>
        <row r="110">
          <cell r="J110">
            <v>257.05</v>
          </cell>
        </row>
        <row r="111">
          <cell r="J111">
            <v>3095.02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2004 Rates"/>
      <sheetName val="Master 2005 rates"/>
      <sheetName val="Jan 05"/>
      <sheetName val="Feb 05"/>
      <sheetName val="Mar 05"/>
      <sheetName val="Apr 05-OLD"/>
      <sheetName val="Apr 05-NEW"/>
      <sheetName val="APR-TOTAL"/>
      <sheetName val="May-OLD"/>
      <sheetName val="May-NEW"/>
      <sheetName val="MAY-TOTAL"/>
      <sheetName val="Jun-NEW"/>
      <sheetName val="Jun-OLD"/>
      <sheetName val="JUN-TOTAL"/>
      <sheetName val="JUL-NEW"/>
      <sheetName val="AUG-NEW"/>
      <sheetName val="SEP-NEW"/>
      <sheetName val="OCT-NEW"/>
      <sheetName val="Nov- New"/>
      <sheetName val="DEC - New"/>
      <sheetName val="Total"/>
      <sheetName val="Total 2004 for PILS"/>
      <sheetName val="Total 2005 PILS"/>
    </sheetNames>
    <sheetDataSet>
      <sheetData sheetId="21">
        <row r="110">
          <cell r="J110">
            <v>29107957.73</v>
          </cell>
        </row>
        <row r="111">
          <cell r="J111">
            <v>11499203.549999999</v>
          </cell>
        </row>
        <row r="112">
          <cell r="J112">
            <v>76508.16</v>
          </cell>
        </row>
        <row r="113">
          <cell r="J113">
            <v>11246.380000000001</v>
          </cell>
        </row>
        <row r="114">
          <cell r="J114">
            <v>109.25999999999999</v>
          </cell>
        </row>
        <row r="115">
          <cell r="J115">
            <v>1308.69</v>
          </cell>
        </row>
      </sheetData>
      <sheetData sheetId="22">
        <row r="110">
          <cell r="J110">
            <v>52236771.42</v>
          </cell>
        </row>
        <row r="111">
          <cell r="J111">
            <v>21372774.73</v>
          </cell>
        </row>
        <row r="112">
          <cell r="J112">
            <v>172882.21</v>
          </cell>
        </row>
        <row r="113">
          <cell r="J113">
            <v>31768.41</v>
          </cell>
        </row>
        <row r="114">
          <cell r="J114">
            <v>258.78000000000003</v>
          </cell>
        </row>
        <row r="115">
          <cell r="J115">
            <v>3121.52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ster Old Rates"/>
      <sheetName val="Master New Rates"/>
      <sheetName val="Jan 06"/>
      <sheetName val="Feb 06"/>
      <sheetName val="Mar 06"/>
      <sheetName val="Apr 06"/>
      <sheetName val="May 06 OLD"/>
      <sheetName val="May 06 NEW"/>
      <sheetName val="May 06 Total"/>
      <sheetName val="Jun 06 Old"/>
      <sheetName val="Jun 06 New"/>
      <sheetName val="Jun 06 Total"/>
      <sheetName val="Jan-Jun PILs Calc"/>
      <sheetName val="Jul 06 Old"/>
      <sheetName val="Jul 06 New"/>
      <sheetName val="Jul 06 Total"/>
      <sheetName val="Aug 06 Old"/>
      <sheetName val="Aug 06 New"/>
      <sheetName val="Aug 06 Total"/>
      <sheetName val="Sep 06 old"/>
      <sheetName val="Sep 06 New"/>
      <sheetName val="Sep 06 Total"/>
      <sheetName val="Oct 06 Old"/>
      <sheetName val="Oct 06 New"/>
      <sheetName val="Oct 06 Total"/>
      <sheetName val="Nov 06 Old"/>
      <sheetName val="Nov 06 New"/>
      <sheetName val="Nov 06 Total"/>
      <sheetName val="Dec 06 Old"/>
      <sheetName val="Dec 06 New"/>
      <sheetName val="Dec 06 Total"/>
      <sheetName val="2006 Total"/>
    </sheetNames>
    <sheetDataSet>
      <sheetData sheetId="12">
        <row r="140">
          <cell r="I140">
            <v>34811429.480000004</v>
          </cell>
        </row>
        <row r="141">
          <cell r="I141">
            <v>13467007.479999999</v>
          </cell>
        </row>
        <row r="142">
          <cell r="I142">
            <v>97994.33000000002</v>
          </cell>
        </row>
        <row r="143">
          <cell r="I143">
            <v>15003.92</v>
          </cell>
        </row>
        <row r="144">
          <cell r="I144">
            <v>141.45</v>
          </cell>
        </row>
        <row r="145">
          <cell r="I145">
            <v>1668.37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16.00390625" style="0" bestFit="1" customWidth="1"/>
    <col min="2" max="3" width="9.28125" style="0" bestFit="1" customWidth="1"/>
    <col min="4" max="4" width="16.57421875" style="0" customWidth="1"/>
    <col min="5" max="5" width="13.421875" style="0" bestFit="1" customWidth="1"/>
    <col min="6" max="6" width="15.28125" style="0" customWidth="1"/>
    <col min="7" max="7" width="13.421875" style="0" bestFit="1" customWidth="1"/>
    <col min="8" max="8" width="15.8515625" style="0" customWidth="1"/>
  </cols>
  <sheetData>
    <row r="1" ht="21">
      <c r="D1" s="2" t="s">
        <v>8</v>
      </c>
    </row>
    <row r="3" ht="15">
      <c r="D3" s="3" t="s">
        <v>9</v>
      </c>
    </row>
    <row r="5" spans="2:8" ht="45">
      <c r="B5" s="4">
        <v>2001</v>
      </c>
      <c r="C5" s="4">
        <v>2002</v>
      </c>
      <c r="D5" s="5" t="s">
        <v>10</v>
      </c>
      <c r="E5" s="4" t="s">
        <v>31</v>
      </c>
      <c r="F5" s="26" t="s">
        <v>11</v>
      </c>
      <c r="G5" s="4" t="s">
        <v>32</v>
      </c>
      <c r="H5" s="26" t="s">
        <v>12</v>
      </c>
    </row>
    <row r="6" spans="2:8" ht="15">
      <c r="B6" s="6"/>
      <c r="C6" s="6"/>
      <c r="D6" s="7"/>
      <c r="E6" s="6"/>
      <c r="F6" s="30"/>
      <c r="G6" s="6"/>
      <c r="H6" s="30"/>
    </row>
    <row r="7" spans="1:8" ht="15">
      <c r="A7" s="1" t="s">
        <v>0</v>
      </c>
      <c r="D7" s="8"/>
      <c r="F7" s="27"/>
      <c r="H7" s="27"/>
    </row>
    <row r="8" spans="1:8" ht="15">
      <c r="A8" t="s">
        <v>1</v>
      </c>
      <c r="B8">
        <v>0.5853</v>
      </c>
      <c r="C8">
        <v>1.5989</v>
      </c>
      <c r="D8" s="8">
        <f aca="true" t="shared" si="0" ref="D8:D13">SUM(B8:C8)</f>
        <v>2.1842</v>
      </c>
      <c r="E8" s="10">
        <f>(8267+8398)/2</f>
        <v>8332.5</v>
      </c>
      <c r="F8" s="31">
        <f aca="true" t="shared" si="1" ref="F8:F13">E8*D8*10</f>
        <v>181998.465</v>
      </c>
      <c r="G8" s="10">
        <f>(8398+8581)/2</f>
        <v>8489.5</v>
      </c>
      <c r="H8" s="31">
        <f aca="true" t="shared" si="2" ref="H8:H13">G8*D8*12</f>
        <v>222513.19080000004</v>
      </c>
    </row>
    <row r="9" spans="1:8" ht="15">
      <c r="A9" t="s">
        <v>2</v>
      </c>
      <c r="B9">
        <v>1.1777</v>
      </c>
      <c r="C9">
        <v>3.2176</v>
      </c>
      <c r="D9" s="8">
        <f t="shared" si="0"/>
        <v>4.3953</v>
      </c>
      <c r="E9" s="12">
        <f>(879+882)/2</f>
        <v>880.5</v>
      </c>
      <c r="F9" s="31">
        <f t="shared" si="1"/>
        <v>38700.6165</v>
      </c>
      <c r="G9" s="10">
        <f>(882+896)/2</f>
        <v>889</v>
      </c>
      <c r="H9" s="31">
        <f t="shared" si="2"/>
        <v>46889.0604</v>
      </c>
    </row>
    <row r="10" spans="1:8" ht="15">
      <c r="A10" t="s">
        <v>3</v>
      </c>
      <c r="B10">
        <v>10.9061</v>
      </c>
      <c r="C10">
        <v>29.79</v>
      </c>
      <c r="D10" s="8">
        <f t="shared" si="0"/>
        <v>40.6961</v>
      </c>
      <c r="E10" s="10">
        <v>130</v>
      </c>
      <c r="F10" s="31">
        <f t="shared" si="1"/>
        <v>52904.93000000001</v>
      </c>
      <c r="G10" s="10">
        <f>(130+132)/2</f>
        <v>131</v>
      </c>
      <c r="H10" s="31">
        <f t="shared" si="2"/>
        <v>63974.26920000001</v>
      </c>
    </row>
    <row r="11" spans="1:8" ht="15">
      <c r="A11" t="s">
        <v>4</v>
      </c>
      <c r="B11">
        <v>82.9929</v>
      </c>
      <c r="C11">
        <v>226.7407</v>
      </c>
      <c r="D11" s="8">
        <f t="shared" si="0"/>
        <v>309.7336</v>
      </c>
      <c r="E11" s="10">
        <v>3</v>
      </c>
      <c r="F11" s="31">
        <f t="shared" si="1"/>
        <v>9292.008000000002</v>
      </c>
      <c r="G11" s="10">
        <v>3</v>
      </c>
      <c r="H11" s="31">
        <f t="shared" si="2"/>
        <v>11150.4096</v>
      </c>
    </row>
    <row r="12" spans="1:8" ht="15">
      <c r="A12" t="s">
        <v>5</v>
      </c>
      <c r="B12">
        <v>0.0137</v>
      </c>
      <c r="C12">
        <v>0.0375</v>
      </c>
      <c r="D12" s="8">
        <f t="shared" si="0"/>
        <v>0.051199999999999996</v>
      </c>
      <c r="E12" s="10">
        <v>162</v>
      </c>
      <c r="F12" s="31">
        <f t="shared" si="1"/>
        <v>82.94399999999999</v>
      </c>
      <c r="G12" s="10">
        <v>162</v>
      </c>
      <c r="H12" s="31">
        <f t="shared" si="2"/>
        <v>99.5328</v>
      </c>
    </row>
    <row r="13" spans="1:8" ht="15">
      <c r="A13" t="s">
        <v>6</v>
      </c>
      <c r="B13">
        <v>0.0016</v>
      </c>
      <c r="C13">
        <v>0.0044</v>
      </c>
      <c r="D13" s="8">
        <f t="shared" si="0"/>
        <v>0.006</v>
      </c>
      <c r="E13" s="10">
        <v>2234</v>
      </c>
      <c r="F13" s="31">
        <f t="shared" si="1"/>
        <v>134.04</v>
      </c>
      <c r="G13" s="10">
        <v>2330</v>
      </c>
      <c r="H13" s="31">
        <f t="shared" si="2"/>
        <v>167.76</v>
      </c>
    </row>
    <row r="14" spans="4:8" ht="15">
      <c r="D14" s="8"/>
      <c r="F14" s="31"/>
      <c r="H14" s="27"/>
    </row>
    <row r="15" spans="1:8" ht="15">
      <c r="A15" s="1" t="s">
        <v>7</v>
      </c>
      <c r="D15" s="8"/>
      <c r="F15" s="31"/>
      <c r="H15" s="27"/>
    </row>
    <row r="16" spans="1:8" ht="15">
      <c r="A16" t="s">
        <v>1</v>
      </c>
      <c r="B16">
        <v>0.000342</v>
      </c>
      <c r="C16">
        <v>0.000933</v>
      </c>
      <c r="D16" s="8">
        <f aca="true" t="shared" si="3" ref="D16:D21">SUM(B16:C16)</f>
        <v>0.001275</v>
      </c>
      <c r="E16" s="10">
        <f>'[1]Total'!$H$6</f>
        <v>56967228</v>
      </c>
      <c r="F16" s="31">
        <f aca="true" t="shared" si="4" ref="F16:F21">E16*D16</f>
        <v>72633.2157</v>
      </c>
      <c r="G16" s="10">
        <f>'[2]Total'!$I$6</f>
        <v>77009311</v>
      </c>
      <c r="H16" s="32">
        <f aca="true" t="shared" si="5" ref="H16:H21">G16*D16</f>
        <v>98186.87152500001</v>
      </c>
    </row>
    <row r="17" spans="1:8" ht="15">
      <c r="A17" t="s">
        <v>2</v>
      </c>
      <c r="B17">
        <v>0.000251</v>
      </c>
      <c r="C17">
        <v>0.000685</v>
      </c>
      <c r="D17" s="8">
        <f t="shared" si="3"/>
        <v>0.000936</v>
      </c>
      <c r="E17" s="10">
        <f>'[1]Total'!$H$15</f>
        <v>20460990.789473686</v>
      </c>
      <c r="F17" s="31">
        <f t="shared" si="4"/>
        <v>19151.48737894737</v>
      </c>
      <c r="G17" s="10">
        <f>'[2]Total'!$I$15</f>
        <v>28999346.052631576</v>
      </c>
      <c r="H17" s="32">
        <f t="shared" si="5"/>
        <v>27143.387905263153</v>
      </c>
    </row>
    <row r="18" spans="1:8" ht="15">
      <c r="A18" t="s">
        <v>3</v>
      </c>
      <c r="B18">
        <v>0.051377</v>
      </c>
      <c r="C18">
        <v>0.140364</v>
      </c>
      <c r="D18" s="8">
        <f t="shared" si="3"/>
        <v>0.191741</v>
      </c>
      <c r="E18" s="10">
        <f>'[1]Total'!$H$24</f>
        <v>188030.19294421573</v>
      </c>
      <c r="F18" s="31">
        <f t="shared" si="4"/>
        <v>36053.097225316866</v>
      </c>
      <c r="G18" s="10">
        <f>'[2]Total'!$I$24</f>
        <v>256088.6332445306</v>
      </c>
      <c r="H18" s="32">
        <f t="shared" si="5"/>
        <v>49102.69062693954</v>
      </c>
    </row>
    <row r="19" spans="1:8" ht="15">
      <c r="A19" t="s">
        <v>4</v>
      </c>
      <c r="B19">
        <v>0.042095</v>
      </c>
      <c r="C19">
        <v>0.115004</v>
      </c>
      <c r="D19" s="8">
        <f t="shared" si="3"/>
        <v>0.157099</v>
      </c>
      <c r="E19" s="10">
        <f>'[1]Total'!$H$33</f>
        <v>38828.02372941384</v>
      </c>
      <c r="F19" s="31">
        <f t="shared" si="4"/>
        <v>6099.843699867185</v>
      </c>
      <c r="G19" s="10">
        <f>'[2]Total'!$I$33</f>
        <v>46338.36550380733</v>
      </c>
      <c r="H19" s="32">
        <f t="shared" si="5"/>
        <v>7279.710882282627</v>
      </c>
    </row>
    <row r="20" spans="1:8" ht="15">
      <c r="A20" t="s">
        <v>5</v>
      </c>
      <c r="B20">
        <v>0.04883</v>
      </c>
      <c r="C20">
        <v>0.133405</v>
      </c>
      <c r="D20" s="8">
        <f t="shared" si="3"/>
        <v>0.18223499999999998</v>
      </c>
      <c r="E20" s="10">
        <f>'[1]Total'!$H$42</f>
        <v>274.40489350725915</v>
      </c>
      <c r="F20" s="31">
        <f t="shared" si="4"/>
        <v>50.006175768295364</v>
      </c>
      <c r="G20" s="10">
        <f>'[2]Total'!$I$42</f>
        <v>361.19831969931465</v>
      </c>
      <c r="H20" s="32">
        <f t="shared" si="5"/>
        <v>65.8229757904046</v>
      </c>
    </row>
    <row r="21" spans="1:8" ht="15">
      <c r="A21" t="s">
        <v>6</v>
      </c>
      <c r="B21">
        <v>0.006919</v>
      </c>
      <c r="C21">
        <v>0.018902</v>
      </c>
      <c r="D21" s="8">
        <f t="shared" si="3"/>
        <v>0.025820999999999997</v>
      </c>
      <c r="E21" s="10">
        <f>'[1]Total'!$H$51</f>
        <v>3542.9890109890107</v>
      </c>
      <c r="F21" s="31">
        <f t="shared" si="4"/>
        <v>91.48351925274723</v>
      </c>
      <c r="G21" s="10">
        <f>'[2]Total'!$I$51</f>
        <v>4309.274725274726</v>
      </c>
      <c r="H21" s="32">
        <f t="shared" si="5"/>
        <v>111.26978268131869</v>
      </c>
    </row>
    <row r="22" spans="4:8" ht="15.75" thickBot="1">
      <c r="D22" s="9"/>
      <c r="F22" s="29">
        <f>SUM(F8:F21)</f>
        <v>417192.1371991525</v>
      </c>
      <c r="H22" s="29">
        <f>SUM(H8:H21)</f>
        <v>526683.9764979571</v>
      </c>
    </row>
    <row r="23" spans="6:8" ht="15.75" thickTop="1">
      <c r="F23" s="15"/>
      <c r="G23" s="16"/>
      <c r="H23" s="15"/>
    </row>
  </sheetData>
  <sheetProtection/>
  <printOptions/>
  <pageMargins left="0.7" right="0.7" top="0.75" bottom="0.75" header="0.3" footer="0.3"/>
  <pageSetup horizontalDpi="600" verticalDpi="600" orientation="portrait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19"/>
    </sheetView>
  </sheetViews>
  <sheetFormatPr defaultColWidth="9.140625" defaultRowHeight="15"/>
  <cols>
    <col min="1" max="1" width="16.00390625" style="0" bestFit="1" customWidth="1"/>
    <col min="2" max="2" width="11.7109375" style="0" customWidth="1"/>
    <col min="3" max="3" width="12.00390625" style="0" customWidth="1"/>
    <col min="4" max="4" width="14.00390625" style="0" bestFit="1" customWidth="1"/>
    <col min="5" max="5" width="10.8515625" style="0" customWidth="1"/>
    <col min="6" max="6" width="13.28125" style="0" customWidth="1"/>
    <col min="7" max="7" width="12.57421875" style="0" customWidth="1"/>
    <col min="8" max="8" width="13.421875" style="0" bestFit="1" customWidth="1"/>
    <col min="9" max="9" width="15.00390625" style="0" customWidth="1"/>
  </cols>
  <sheetData>
    <row r="1" spans="2:9" ht="60">
      <c r="B1" s="18" t="s">
        <v>13</v>
      </c>
      <c r="C1" s="18" t="s">
        <v>14</v>
      </c>
      <c r="D1" s="19" t="s">
        <v>33</v>
      </c>
      <c r="E1" s="4" t="s">
        <v>15</v>
      </c>
      <c r="F1" s="4" t="s">
        <v>16</v>
      </c>
      <c r="G1" s="5" t="s">
        <v>34</v>
      </c>
      <c r="H1" s="4" t="s">
        <v>17</v>
      </c>
      <c r="I1" s="26" t="s">
        <v>18</v>
      </c>
    </row>
    <row r="2" spans="4:9" ht="15">
      <c r="D2" s="9"/>
      <c r="E2" s="20"/>
      <c r="F2" s="20"/>
      <c r="G2" s="9"/>
      <c r="H2" s="20"/>
      <c r="I2" s="27"/>
    </row>
    <row r="3" spans="3:9" ht="15">
      <c r="C3" s="3"/>
      <c r="D3" s="9"/>
      <c r="E3" s="20"/>
      <c r="F3" s="20"/>
      <c r="G3" s="9"/>
      <c r="H3" s="20"/>
      <c r="I3" s="27"/>
    </row>
    <row r="4" spans="1:9" ht="15">
      <c r="A4" s="1" t="s">
        <v>0</v>
      </c>
      <c r="B4" s="1"/>
      <c r="D4" s="9"/>
      <c r="E4" s="20"/>
      <c r="F4" s="20"/>
      <c r="G4" s="9"/>
      <c r="H4" s="20"/>
      <c r="I4" s="27"/>
    </row>
    <row r="5" spans="1:9" ht="15">
      <c r="A5" t="s">
        <v>1</v>
      </c>
      <c r="B5">
        <f>'[3]PILS 2002-2003'!D8</f>
        <v>2.1842</v>
      </c>
      <c r="C5" s="12">
        <f>(8581+8801)/2</f>
        <v>8691</v>
      </c>
      <c r="D5" s="11">
        <f aca="true" t="shared" si="0" ref="D5:D10">B5*C5*3</f>
        <v>56948.6466</v>
      </c>
      <c r="E5" s="21"/>
      <c r="F5" s="22"/>
      <c r="G5" s="13">
        <f aca="true" t="shared" si="1" ref="G5:G10">E5*F5</f>
        <v>0</v>
      </c>
      <c r="H5" s="10"/>
      <c r="I5" s="28">
        <f aca="true" t="shared" si="2" ref="I5:I10">D5+G5</f>
        <v>56948.6466</v>
      </c>
    </row>
    <row r="6" spans="1:9" ht="15">
      <c r="A6" t="s">
        <v>2</v>
      </c>
      <c r="B6">
        <f>'[3]PILS 2002-2003'!D9</f>
        <v>4.3953</v>
      </c>
      <c r="C6" s="12">
        <f>(896+903)/2</f>
        <v>899.5</v>
      </c>
      <c r="D6" s="11">
        <f t="shared" si="0"/>
        <v>11860.71705</v>
      </c>
      <c r="E6" s="21"/>
      <c r="F6" s="22"/>
      <c r="G6" s="13">
        <f t="shared" si="1"/>
        <v>0</v>
      </c>
      <c r="H6" s="10"/>
      <c r="I6" s="28">
        <f t="shared" si="2"/>
        <v>11860.71705</v>
      </c>
    </row>
    <row r="7" spans="1:9" ht="15">
      <c r="A7" t="s">
        <v>3</v>
      </c>
      <c r="B7">
        <f>'[3]PILS 2002-2003'!D10</f>
        <v>40.6961</v>
      </c>
      <c r="C7" s="12">
        <f>(132+137)/2</f>
        <v>134.5</v>
      </c>
      <c r="D7" s="11">
        <f t="shared" si="0"/>
        <v>16420.876350000002</v>
      </c>
      <c r="E7" s="21"/>
      <c r="F7" s="22"/>
      <c r="G7" s="13">
        <f t="shared" si="1"/>
        <v>0</v>
      </c>
      <c r="H7" s="10"/>
      <c r="I7" s="28">
        <f t="shared" si="2"/>
        <v>16420.876350000002</v>
      </c>
    </row>
    <row r="8" spans="1:9" ht="15">
      <c r="A8" t="s">
        <v>4</v>
      </c>
      <c r="B8">
        <f>'[3]PILS 2002-2003'!D11</f>
        <v>309.7336</v>
      </c>
      <c r="C8" s="12">
        <v>3</v>
      </c>
      <c r="D8" s="11">
        <f t="shared" si="0"/>
        <v>2787.6024</v>
      </c>
      <c r="E8" s="21"/>
      <c r="F8" s="22"/>
      <c r="G8" s="13">
        <f t="shared" si="1"/>
        <v>0</v>
      </c>
      <c r="H8" s="10"/>
      <c r="I8" s="28">
        <f t="shared" si="2"/>
        <v>2787.6024</v>
      </c>
    </row>
    <row r="9" spans="1:9" ht="15">
      <c r="A9" t="s">
        <v>5</v>
      </c>
      <c r="B9">
        <f>'[3]PILS 2002-2003'!D12</f>
        <v>0.051199999999999996</v>
      </c>
      <c r="C9" s="12">
        <v>162</v>
      </c>
      <c r="D9" s="11">
        <f t="shared" si="0"/>
        <v>24.8832</v>
      </c>
      <c r="E9" s="21"/>
      <c r="F9" s="22"/>
      <c r="G9" s="13">
        <f t="shared" si="1"/>
        <v>0</v>
      </c>
      <c r="H9" s="10"/>
      <c r="I9" s="28">
        <f t="shared" si="2"/>
        <v>24.8832</v>
      </c>
    </row>
    <row r="10" spans="1:9" ht="15">
      <c r="A10" t="s">
        <v>6</v>
      </c>
      <c r="B10">
        <f>'[3]PILS 2002-2003'!D13</f>
        <v>0.006</v>
      </c>
      <c r="C10" s="12">
        <v>2359</v>
      </c>
      <c r="D10" s="11">
        <f t="shared" si="0"/>
        <v>42.462</v>
      </c>
      <c r="E10" s="21"/>
      <c r="F10" s="23"/>
      <c r="G10" s="13">
        <f t="shared" si="1"/>
        <v>0</v>
      </c>
      <c r="H10" s="10"/>
      <c r="I10" s="28">
        <f t="shared" si="2"/>
        <v>42.462</v>
      </c>
    </row>
    <row r="11" spans="4:9" ht="15">
      <c r="D11" s="9"/>
      <c r="G11" s="9"/>
      <c r="I11" s="27"/>
    </row>
    <row r="12" spans="1:9" ht="15">
      <c r="A12" s="1" t="s">
        <v>7</v>
      </c>
      <c r="B12" s="1"/>
      <c r="C12" s="1"/>
      <c r="D12" s="24"/>
      <c r="G12" s="9"/>
      <c r="I12" s="27"/>
    </row>
    <row r="13" spans="1:9" ht="15">
      <c r="A13" t="s">
        <v>1</v>
      </c>
      <c r="B13">
        <v>0.001275</v>
      </c>
      <c r="C13" s="12">
        <f>'[4]Total Old'!J106</f>
        <v>28202938.740000002</v>
      </c>
      <c r="D13" s="11">
        <f aca="true" t="shared" si="3" ref="D13:D18">B13*C13</f>
        <v>35958.74689350001</v>
      </c>
      <c r="E13" s="25">
        <v>0.003332</v>
      </c>
      <c r="F13" s="10">
        <f>'[4]Total New'!J106</f>
        <v>48131007.279999994</v>
      </c>
      <c r="G13" s="11">
        <f>F13*E13</f>
        <v>160372.51625695996</v>
      </c>
      <c r="H13" s="10">
        <f aca="true" t="shared" si="4" ref="H13:I18">C13+F13</f>
        <v>76333946.02</v>
      </c>
      <c r="I13" s="28">
        <f t="shared" si="4"/>
        <v>196331.26315045997</v>
      </c>
    </row>
    <row r="14" spans="1:9" ht="15">
      <c r="A14" t="s">
        <v>2</v>
      </c>
      <c r="B14">
        <v>0.000936</v>
      </c>
      <c r="C14" s="12">
        <f>'[4]Total Old'!J107</f>
        <v>10222206.370000001</v>
      </c>
      <c r="D14" s="11">
        <f t="shared" si="3"/>
        <v>9567.985162320001</v>
      </c>
      <c r="E14" s="25">
        <v>0.002046</v>
      </c>
      <c r="F14" s="10">
        <f>'[4]Total New'!J107</f>
        <v>18560674.63</v>
      </c>
      <c r="G14" s="11">
        <f>F14*E14</f>
        <v>37975.14029298</v>
      </c>
      <c r="H14" s="10">
        <f t="shared" si="4"/>
        <v>28782881</v>
      </c>
      <c r="I14" s="28">
        <f t="shared" si="4"/>
        <v>47543.1254553</v>
      </c>
    </row>
    <row r="15" spans="1:9" ht="15">
      <c r="A15" t="s">
        <v>3</v>
      </c>
      <c r="B15">
        <v>0.191741</v>
      </c>
      <c r="C15" s="12">
        <f>'[4]Total Old'!J108</f>
        <v>79872.6</v>
      </c>
      <c r="D15" s="11">
        <f t="shared" si="3"/>
        <v>15314.8521966</v>
      </c>
      <c r="E15" s="25">
        <v>0.230524</v>
      </c>
      <c r="F15" s="10">
        <f>'[4]Total New'!J108</f>
        <v>171688.55000000002</v>
      </c>
      <c r="G15" s="11">
        <f>F15*E15</f>
        <v>39578.33130020001</v>
      </c>
      <c r="H15" s="10">
        <f t="shared" si="4"/>
        <v>251561.15000000002</v>
      </c>
      <c r="I15" s="28">
        <f t="shared" si="4"/>
        <v>54893.183496800004</v>
      </c>
    </row>
    <row r="16" spans="1:9" ht="15">
      <c r="A16" t="s">
        <v>4</v>
      </c>
      <c r="B16">
        <v>0.157099</v>
      </c>
      <c r="C16" s="12">
        <f>'[4]Total Old'!J109</f>
        <v>11091.68</v>
      </c>
      <c r="D16" s="11">
        <f t="shared" si="3"/>
        <v>1742.49183632</v>
      </c>
      <c r="E16" s="25">
        <v>0.229336</v>
      </c>
      <c r="F16" s="10">
        <f>'[4]Total New'!J109</f>
        <v>30292.81</v>
      </c>
      <c r="G16" s="11">
        <f>F16*E16</f>
        <v>6947.231874160001</v>
      </c>
      <c r="H16" s="10">
        <f t="shared" si="4"/>
        <v>41384.490000000005</v>
      </c>
      <c r="I16" s="28">
        <f t="shared" si="4"/>
        <v>8689.72371048</v>
      </c>
    </row>
    <row r="17" spans="1:9" ht="15">
      <c r="A17" t="s">
        <v>5</v>
      </c>
      <c r="B17">
        <v>0.18223499999999998</v>
      </c>
      <c r="C17" s="12">
        <f>'[4]Total Old'!J110</f>
        <v>110.30000000000001</v>
      </c>
      <c r="D17" s="11">
        <f t="shared" si="3"/>
        <v>20.1005205</v>
      </c>
      <c r="E17" s="25">
        <v>0.37582</v>
      </c>
      <c r="F17" s="10">
        <f>'[4]Total New'!J110</f>
        <v>257.05</v>
      </c>
      <c r="G17" s="11">
        <f>F18*E17</f>
        <v>1163.1704164</v>
      </c>
      <c r="H17" s="10">
        <f t="shared" si="4"/>
        <v>367.35</v>
      </c>
      <c r="I17" s="28">
        <f t="shared" si="4"/>
        <v>1183.2709369</v>
      </c>
    </row>
    <row r="18" spans="1:9" ht="15">
      <c r="A18" t="s">
        <v>6</v>
      </c>
      <c r="B18">
        <v>0.025820999999999997</v>
      </c>
      <c r="C18" s="12">
        <f>'[4]Total Old'!J111</f>
        <v>1295.3000000000002</v>
      </c>
      <c r="D18" s="11">
        <f t="shared" si="3"/>
        <v>33.4459413</v>
      </c>
      <c r="E18" s="25">
        <v>0.057432</v>
      </c>
      <c r="F18" s="10">
        <f>'[4]Total New'!J111</f>
        <v>3095.02</v>
      </c>
      <c r="G18" s="11">
        <f>F17*E18</f>
        <v>14.7628956</v>
      </c>
      <c r="H18" s="10">
        <f t="shared" si="4"/>
        <v>4390.32</v>
      </c>
      <c r="I18" s="28">
        <f t="shared" si="4"/>
        <v>48.2088369</v>
      </c>
    </row>
    <row r="19" spans="4:9" ht="15.75" thickBot="1">
      <c r="D19" s="14">
        <f>SUM(D5:D18)</f>
        <v>150722.81015054</v>
      </c>
      <c r="G19" s="14">
        <f>SUM(G5:G18)</f>
        <v>246051.15303629998</v>
      </c>
      <c r="I19" s="29">
        <f>SUM(I5:I18)</f>
        <v>396773.96318684006</v>
      </c>
    </row>
    <row r="20" ht="15.75" thickTop="1"/>
  </sheetData>
  <sheetProtection/>
  <printOptions/>
  <pageMargins left="0.7" right="0.7" top="0.75" bottom="0.75" header="0.3" footer="0.3"/>
  <pageSetup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19"/>
    </sheetView>
  </sheetViews>
  <sheetFormatPr defaultColWidth="9.140625" defaultRowHeight="15"/>
  <cols>
    <col min="1" max="1" width="16.00390625" style="0" bestFit="1" customWidth="1"/>
    <col min="2" max="2" width="9.28125" style="0" bestFit="1" customWidth="1"/>
    <col min="3" max="3" width="13.00390625" style="0" bestFit="1" customWidth="1"/>
    <col min="4" max="4" width="14.421875" style="0" bestFit="1" customWidth="1"/>
    <col min="5" max="5" width="9.28125" style="0" bestFit="1" customWidth="1"/>
    <col min="6" max="6" width="13.00390625" style="0" bestFit="1" customWidth="1"/>
    <col min="7" max="7" width="14.00390625" style="0" bestFit="1" customWidth="1"/>
    <col min="8" max="8" width="12.28125" style="0" bestFit="1" customWidth="1"/>
    <col min="9" max="9" width="13.57421875" style="0" customWidth="1"/>
  </cols>
  <sheetData>
    <row r="1" spans="2:9" ht="45">
      <c r="B1" s="4" t="s">
        <v>15</v>
      </c>
      <c r="C1" s="4" t="s">
        <v>19</v>
      </c>
      <c r="D1" s="5" t="s">
        <v>35</v>
      </c>
      <c r="E1" s="4" t="s">
        <v>20</v>
      </c>
      <c r="F1" s="4" t="s">
        <v>21</v>
      </c>
      <c r="G1" s="5" t="s">
        <v>36</v>
      </c>
      <c r="H1" s="4" t="s">
        <v>22</v>
      </c>
      <c r="I1" s="26" t="s">
        <v>23</v>
      </c>
    </row>
    <row r="2" spans="4:9" ht="15">
      <c r="D2" s="9"/>
      <c r="G2" s="9"/>
      <c r="I2" s="27"/>
    </row>
    <row r="3" spans="4:9" ht="15">
      <c r="D3" s="9"/>
      <c r="G3" s="9"/>
      <c r="I3" s="27"/>
    </row>
    <row r="4" spans="1:9" ht="15">
      <c r="A4" s="1" t="s">
        <v>0</v>
      </c>
      <c r="D4" s="9"/>
      <c r="G4" s="9"/>
      <c r="I4" s="27"/>
    </row>
    <row r="5" spans="1:9" ht="15">
      <c r="A5" t="s">
        <v>1</v>
      </c>
      <c r="B5" s="33"/>
      <c r="C5" s="12"/>
      <c r="D5" s="34">
        <f aca="true" t="shared" si="0" ref="D5:D10">B5*C5</f>
        <v>0</v>
      </c>
      <c r="G5" s="9"/>
      <c r="I5" s="28">
        <f aca="true" t="shared" si="1" ref="I5:I10">D5+G5</f>
        <v>0</v>
      </c>
    </row>
    <row r="6" spans="1:9" ht="15">
      <c r="A6" t="s">
        <v>2</v>
      </c>
      <c r="B6" s="33"/>
      <c r="C6" s="12"/>
      <c r="D6" s="34">
        <f t="shared" si="0"/>
        <v>0</v>
      </c>
      <c r="G6" s="9"/>
      <c r="I6" s="28">
        <f t="shared" si="1"/>
        <v>0</v>
      </c>
    </row>
    <row r="7" spans="1:9" ht="15">
      <c r="A7" t="s">
        <v>3</v>
      </c>
      <c r="B7" s="33"/>
      <c r="C7" s="12"/>
      <c r="D7" s="34">
        <f t="shared" si="0"/>
        <v>0</v>
      </c>
      <c r="G7" s="9"/>
      <c r="I7" s="28">
        <f t="shared" si="1"/>
        <v>0</v>
      </c>
    </row>
    <row r="8" spans="1:9" ht="15">
      <c r="A8" t="s">
        <v>4</v>
      </c>
      <c r="B8" s="33"/>
      <c r="C8" s="12"/>
      <c r="D8" s="34">
        <f t="shared" si="0"/>
        <v>0</v>
      </c>
      <c r="G8" s="9"/>
      <c r="I8" s="28">
        <f t="shared" si="1"/>
        <v>0</v>
      </c>
    </row>
    <row r="9" spans="1:9" ht="15">
      <c r="A9" t="s">
        <v>5</v>
      </c>
      <c r="B9" s="33"/>
      <c r="C9" s="12"/>
      <c r="D9" s="34">
        <f t="shared" si="0"/>
        <v>0</v>
      </c>
      <c r="G9" s="9"/>
      <c r="I9" s="28">
        <f t="shared" si="1"/>
        <v>0</v>
      </c>
    </row>
    <row r="10" spans="1:9" ht="15">
      <c r="A10" t="s">
        <v>6</v>
      </c>
      <c r="B10" s="33"/>
      <c r="C10" s="12"/>
      <c r="D10" s="34">
        <f t="shared" si="0"/>
        <v>0</v>
      </c>
      <c r="G10" s="9"/>
      <c r="I10" s="28">
        <f t="shared" si="1"/>
        <v>0</v>
      </c>
    </row>
    <row r="11" spans="3:9" ht="15">
      <c r="C11" s="12"/>
      <c r="D11" s="9"/>
      <c r="G11" s="9"/>
      <c r="I11" s="27"/>
    </row>
    <row r="12" spans="1:9" ht="15">
      <c r="A12" s="1" t="s">
        <v>7</v>
      </c>
      <c r="B12" s="1"/>
      <c r="C12" s="35"/>
      <c r="D12" s="24"/>
      <c r="G12" s="9"/>
      <c r="I12" s="27"/>
    </row>
    <row r="13" spans="1:9" ht="15">
      <c r="A13" t="s">
        <v>1</v>
      </c>
      <c r="B13" s="25">
        <f>'[3]PILS 2004'!E13</f>
        <v>0.003332</v>
      </c>
      <c r="C13" s="36">
        <f>'[5]Total 2004 for PILS'!$J$110</f>
        <v>29107957.73</v>
      </c>
      <c r="D13" s="34">
        <f aca="true" t="shared" si="2" ref="D13:D18">B13*C13</f>
        <v>96987.71515636</v>
      </c>
      <c r="E13" s="37">
        <v>0.0029</v>
      </c>
      <c r="F13" s="10">
        <f>'[5]Total 2005 PILS'!J110</f>
        <v>52236771.42</v>
      </c>
      <c r="G13" s="11">
        <f aca="true" t="shared" si="3" ref="G13:G18">F13*E13</f>
        <v>151486.63711799998</v>
      </c>
      <c r="H13" s="38">
        <f>C13+F13</f>
        <v>81344729.15</v>
      </c>
      <c r="I13" s="28">
        <f>D13+G13</f>
        <v>248474.35227436</v>
      </c>
    </row>
    <row r="14" spans="1:9" ht="15">
      <c r="A14" t="s">
        <v>2</v>
      </c>
      <c r="B14" s="25">
        <f>'[3]PILS 2004'!E14</f>
        <v>0.002046</v>
      </c>
      <c r="C14" s="36">
        <f>'[5]Total 2004 for PILS'!$J$111</f>
        <v>11499203.549999999</v>
      </c>
      <c r="D14" s="34">
        <f t="shared" si="2"/>
        <v>23527.370463299998</v>
      </c>
      <c r="E14" s="37">
        <v>0.0017</v>
      </c>
      <c r="F14" s="10">
        <f>'[5]Total 2005 PILS'!J111</f>
        <v>21372774.73</v>
      </c>
      <c r="G14" s="11">
        <f t="shared" si="3"/>
        <v>36333.717040999996</v>
      </c>
      <c r="H14" s="38">
        <f aca="true" t="shared" si="4" ref="H14:I18">C14+F14</f>
        <v>32871978.28</v>
      </c>
      <c r="I14" s="28">
        <f t="shared" si="4"/>
        <v>59861.0875043</v>
      </c>
    </row>
    <row r="15" spans="1:9" ht="15">
      <c r="A15" t="s">
        <v>3</v>
      </c>
      <c r="B15" s="25">
        <f>'[3]PILS 2004'!E15</f>
        <v>0.230524</v>
      </c>
      <c r="C15" s="36">
        <f>'[5]Total 2004 for PILS'!J112</f>
        <v>76508.16</v>
      </c>
      <c r="D15" s="34">
        <f t="shared" si="2"/>
        <v>17636.967075840003</v>
      </c>
      <c r="E15" s="37">
        <v>0.2131</v>
      </c>
      <c r="F15" s="10">
        <f>'[5]Total 2005 PILS'!J112</f>
        <v>172882.21</v>
      </c>
      <c r="G15" s="11">
        <f t="shared" si="3"/>
        <v>36841.198951</v>
      </c>
      <c r="H15" s="38">
        <f t="shared" si="4"/>
        <v>249390.37</v>
      </c>
      <c r="I15" s="28">
        <f t="shared" si="4"/>
        <v>54478.16602684</v>
      </c>
    </row>
    <row r="16" spans="1:9" ht="15">
      <c r="A16" t="s">
        <v>4</v>
      </c>
      <c r="B16" s="25">
        <f>'[3]PILS 2004'!E16</f>
        <v>0.229336</v>
      </c>
      <c r="C16" s="36">
        <f>'[5]Total 2004 for PILS'!J113</f>
        <v>11246.380000000001</v>
      </c>
      <c r="D16" s="34">
        <f t="shared" si="2"/>
        <v>2579.1998036800005</v>
      </c>
      <c r="E16">
        <v>0.1935</v>
      </c>
      <c r="F16" s="10">
        <f>'[5]Total 2005 PILS'!J113</f>
        <v>31768.41</v>
      </c>
      <c r="G16" s="11">
        <f t="shared" si="3"/>
        <v>6147.1873350000005</v>
      </c>
      <c r="H16" s="38">
        <f t="shared" si="4"/>
        <v>43014.79</v>
      </c>
      <c r="I16" s="28">
        <f t="shared" si="4"/>
        <v>8726.387138680002</v>
      </c>
    </row>
    <row r="17" spans="1:9" ht="15">
      <c r="A17" t="s">
        <v>5</v>
      </c>
      <c r="B17" s="25">
        <f>'[3]PILS 2004'!E17</f>
        <v>0.37582</v>
      </c>
      <c r="C17" s="36">
        <f>'[5]Total 2004 for PILS'!J114</f>
        <v>109.25999999999999</v>
      </c>
      <c r="D17" s="34">
        <f t="shared" si="2"/>
        <v>41.06209319999999</v>
      </c>
      <c r="E17">
        <v>0.3093</v>
      </c>
      <c r="F17" s="10">
        <f>'[5]Total 2005 PILS'!J114</f>
        <v>258.78000000000003</v>
      </c>
      <c r="G17" s="11">
        <f t="shared" si="3"/>
        <v>80.04065400000002</v>
      </c>
      <c r="H17" s="38">
        <f t="shared" si="4"/>
        <v>368.04</v>
      </c>
      <c r="I17" s="28">
        <f t="shared" si="4"/>
        <v>121.10274720000001</v>
      </c>
    </row>
    <row r="18" spans="1:9" ht="15">
      <c r="A18" t="s">
        <v>6</v>
      </c>
      <c r="B18" s="25">
        <f>'[3]PILS 2004'!E18</f>
        <v>0.057432</v>
      </c>
      <c r="C18" s="36">
        <f>'[5]Total 2004 for PILS'!J115</f>
        <v>1308.69</v>
      </c>
      <c r="D18" s="34">
        <f t="shared" si="2"/>
        <v>75.16068408</v>
      </c>
      <c r="E18" s="37">
        <v>0.05</v>
      </c>
      <c r="F18" s="10">
        <f>'[5]Total 2005 PILS'!J115</f>
        <v>3121.52</v>
      </c>
      <c r="G18" s="11">
        <f t="shared" si="3"/>
        <v>156.07600000000002</v>
      </c>
      <c r="H18" s="38">
        <f t="shared" si="4"/>
        <v>4430.21</v>
      </c>
      <c r="I18" s="28">
        <f t="shared" si="4"/>
        <v>231.23668408000003</v>
      </c>
    </row>
    <row r="19" spans="4:9" ht="15.75" thickBot="1">
      <c r="D19" s="14">
        <f>SUM(D5:D18)</f>
        <v>140847.47527646003</v>
      </c>
      <c r="F19" s="10"/>
      <c r="G19" s="39">
        <f>SUM(G13:G18)</f>
        <v>231044.857099</v>
      </c>
      <c r="I19" s="29">
        <f>SUM(I5:I18)</f>
        <v>371892.3323754599</v>
      </c>
    </row>
    <row r="20" ht="15.75" thickTop="1"/>
  </sheetData>
  <sheetProtection/>
  <printOptions/>
  <pageMargins left="0.7" right="0.7" top="0.75" bottom="0.75" header="0.3" footer="0.3"/>
  <pageSetup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9.00390625" style="0" customWidth="1"/>
    <col min="2" max="2" width="14.7109375" style="0" customWidth="1"/>
    <col min="3" max="3" width="15.00390625" style="0" customWidth="1"/>
    <col min="4" max="4" width="15.00390625" style="0" bestFit="1" customWidth="1"/>
  </cols>
  <sheetData>
    <row r="1" spans="2:4" ht="45">
      <c r="B1" s="4" t="s">
        <v>20</v>
      </c>
      <c r="C1" s="4" t="s">
        <v>24</v>
      </c>
      <c r="D1" s="5" t="s">
        <v>37</v>
      </c>
    </row>
    <row r="2" ht="15">
      <c r="D2" s="9"/>
    </row>
    <row r="3" spans="1:4" ht="15">
      <c r="A3" s="1" t="s">
        <v>7</v>
      </c>
      <c r="D3" s="9"/>
    </row>
    <row r="4" spans="1:4" ht="15">
      <c r="A4" t="s">
        <v>1</v>
      </c>
      <c r="B4">
        <v>0.0029</v>
      </c>
      <c r="C4" s="36">
        <f>'[6]Jan-Jun PILs Calc'!I140</f>
        <v>34811429.480000004</v>
      </c>
      <c r="D4" s="11">
        <f aca="true" t="shared" si="0" ref="D4:D9">B4*C4</f>
        <v>100953.14549200001</v>
      </c>
    </row>
    <row r="5" spans="1:4" ht="15">
      <c r="A5" t="s">
        <v>2</v>
      </c>
      <c r="B5">
        <v>0.0017</v>
      </c>
      <c r="C5" s="36">
        <f>'[6]Jan-Jun PILs Calc'!I141</f>
        <v>13467007.479999999</v>
      </c>
      <c r="D5" s="11">
        <f t="shared" si="0"/>
        <v>22893.912715999995</v>
      </c>
    </row>
    <row r="6" spans="1:4" ht="15">
      <c r="A6" t="s">
        <v>3</v>
      </c>
      <c r="B6">
        <v>0.2131</v>
      </c>
      <c r="C6" s="36">
        <f>'[6]Jan-Jun PILs Calc'!I142</f>
        <v>97994.33000000002</v>
      </c>
      <c r="D6" s="11">
        <f t="shared" si="0"/>
        <v>20882.591723000005</v>
      </c>
    </row>
    <row r="7" spans="1:4" ht="15">
      <c r="A7" t="s">
        <v>4</v>
      </c>
      <c r="B7">
        <v>0.1935</v>
      </c>
      <c r="C7" s="36">
        <f>'[6]Jan-Jun PILs Calc'!I143</f>
        <v>15003.92</v>
      </c>
      <c r="D7" s="11">
        <f t="shared" si="0"/>
        <v>2903.2585200000003</v>
      </c>
    </row>
    <row r="8" spans="1:4" ht="15">
      <c r="A8" t="s">
        <v>5</v>
      </c>
      <c r="B8">
        <v>0.3093</v>
      </c>
      <c r="C8" s="36">
        <f>'[6]Jan-Jun PILs Calc'!I144</f>
        <v>141.45</v>
      </c>
      <c r="D8" s="11">
        <f t="shared" si="0"/>
        <v>43.750485</v>
      </c>
    </row>
    <row r="9" spans="1:4" ht="15">
      <c r="A9" t="s">
        <v>6</v>
      </c>
      <c r="B9">
        <v>0.05</v>
      </c>
      <c r="C9" s="36">
        <f>'[6]Jan-Jun PILs Calc'!I145</f>
        <v>1668.37</v>
      </c>
      <c r="D9" s="11">
        <f t="shared" si="0"/>
        <v>83.4185</v>
      </c>
    </row>
    <row r="10" ht="15.75" thickBot="1">
      <c r="D10" s="14">
        <f>SUM(D4:D9)</f>
        <v>147760.07743600002</v>
      </c>
    </row>
    <row r="11" ht="15.75" thickTop="1"/>
    <row r="14" spans="1:3" ht="30">
      <c r="A14" s="6" t="s">
        <v>28</v>
      </c>
      <c r="B14" s="4" t="s">
        <v>26</v>
      </c>
      <c r="C14" s="4" t="s">
        <v>25</v>
      </c>
    </row>
    <row r="15" spans="1:3" ht="15">
      <c r="A15" s="20">
        <v>2002</v>
      </c>
      <c r="B15" s="17">
        <v>396748.64464293217</v>
      </c>
      <c r="C15" s="17">
        <f>'2002-2003'!F22</f>
        <v>417192.1371991525</v>
      </c>
    </row>
    <row r="16" spans="1:3" ht="15">
      <c r="A16" s="20">
        <v>2003</v>
      </c>
      <c r="B16" s="17">
        <v>535988.2991900423</v>
      </c>
      <c r="C16" s="17">
        <f>'2002-2003'!H22</f>
        <v>526683.9764979571</v>
      </c>
    </row>
    <row r="17" spans="1:3" ht="15">
      <c r="A17" s="20">
        <v>2004</v>
      </c>
      <c r="B17" s="17">
        <v>435912.1777271475</v>
      </c>
      <c r="C17" s="17">
        <f>'2004'!I19</f>
        <v>396773.96318684006</v>
      </c>
    </row>
    <row r="18" spans="1:3" ht="15">
      <c r="A18" s="20">
        <v>2005</v>
      </c>
      <c r="B18" s="17">
        <v>362228.56582344376</v>
      </c>
      <c r="C18" s="17">
        <f>'2005'!I19</f>
        <v>371892.3323754599</v>
      </c>
    </row>
    <row r="19" spans="1:3" ht="15">
      <c r="A19" s="20">
        <v>2006</v>
      </c>
      <c r="B19" s="17">
        <v>147760.07743600002</v>
      </c>
      <c r="C19" s="17">
        <f>D10</f>
        <v>147760.07743600002</v>
      </c>
    </row>
    <row r="20" spans="1:4" ht="15.75" thickBot="1">
      <c r="A20" s="6" t="s">
        <v>30</v>
      </c>
      <c r="B20" s="43">
        <f>SUM(B15:B19)</f>
        <v>1878637.7648195657</v>
      </c>
      <c r="C20" s="43">
        <f>SUM(C15:C19)</f>
        <v>1860302.4866954098</v>
      </c>
      <c r="D20" s="17"/>
    </row>
    <row r="21" spans="2:4" ht="15.75" thickTop="1">
      <c r="B21" s="42"/>
      <c r="C21" s="42"/>
      <c r="D21" s="17"/>
    </row>
    <row r="22" spans="1:3" ht="30.75" customHeight="1">
      <c r="A22" s="40" t="s">
        <v>29</v>
      </c>
      <c r="B22" s="41">
        <v>-1875876.4421247148</v>
      </c>
      <c r="C22" s="41">
        <v>-1875876.4421247148</v>
      </c>
    </row>
    <row r="23" spans="1:3" ht="15">
      <c r="A23" t="s">
        <v>27</v>
      </c>
      <c r="B23" s="17">
        <f>SUM(B20:B22)</f>
        <v>2761.3226948508527</v>
      </c>
      <c r="C23" s="17">
        <f>SUM(C20:C22)</f>
        <v>-15573.95542930509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JHoward</dc:creator>
  <cp:keywords/>
  <dc:description/>
  <cp:lastModifiedBy>JHoward</cp:lastModifiedBy>
  <cp:lastPrinted>2011-12-12T19:18:45Z</cp:lastPrinted>
  <dcterms:created xsi:type="dcterms:W3CDTF">2011-12-06T18:07:12Z</dcterms:created>
  <dcterms:modified xsi:type="dcterms:W3CDTF">2011-12-12T19:19:01Z</dcterms:modified>
  <cp:category/>
  <cp:version/>
  <cp:contentType/>
  <cp:contentStatus/>
</cp:coreProperties>
</file>