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0"/>
  </bookViews>
  <sheets>
    <sheet name="1562 Continuity (L.1)" sheetId="1" r:id="rId1"/>
    <sheet name="Total Billings (L.2.1)" sheetId="2" r:id="rId2"/>
    <sheet name="Billing kW kWh (L.2.2)" sheetId="3" r:id="rId3"/>
    <sheet name="Billing Service Charge  (L.2.3)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aprsix" localSheetId="0">'1562 Continuity (L.1)'!$A$196</definedName>
    <definedName name="aprsix">#REF!</definedName>
    <definedName name="end" localSheetId="0">'1562 Continuity (L.1)'!$A$288</definedName>
    <definedName name="end">#REF!</definedName>
    <definedName name="_xlnm.Print_Titles" localSheetId="0">'1562 Continuity (L.1)'!$1:$7</definedName>
    <definedName name="_xlnm.Print_Titles" localSheetId="2">'Billing kW kWh (L.2.2)'!$A:$A,'Billing kW kWh (L.2.2)'!$1:$2</definedName>
    <definedName name="_xlnm.Print_Titles" localSheetId="1">'Total Billings (L.2.1)'!$1:$3</definedName>
  </definedNames>
  <calcPr fullCalcOnLoad="1"/>
</workbook>
</file>

<file path=xl/comments5.xml><?xml version="1.0" encoding="utf-8"?>
<comments xmlns="http://schemas.openxmlformats.org/spreadsheetml/2006/main">
  <authors>
    <author>JGott</author>
  </authors>
  <commentList>
    <comment ref="R2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Presented as Sep 06 since immaterial</t>
        </r>
      </text>
    </comment>
    <comment ref="N24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Presented as Sep 06 since immaterial</t>
        </r>
      </text>
    </comment>
  </commentList>
</comments>
</file>

<file path=xl/comments6.xml><?xml version="1.0" encoding="utf-8"?>
<comments xmlns="http://schemas.openxmlformats.org/spreadsheetml/2006/main">
  <authors>
    <author>JGott</author>
  </authors>
  <commentList>
    <comment ref="C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C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E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F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E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F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I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J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J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</commentList>
</comments>
</file>

<file path=xl/comments7.xml><?xml version="1.0" encoding="utf-8"?>
<comments xmlns="http://schemas.openxmlformats.org/spreadsheetml/2006/main">
  <authors>
    <author>JGott</author>
  </authors>
  <commentList>
    <comment ref="N8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presented as Jun since immaterial</t>
        </r>
      </text>
    </comment>
    <comment ref="N10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presented as Jun since immaterial</t>
        </r>
      </text>
    </comment>
    <comment ref="N15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presented as Jun since immaterial</t>
        </r>
      </text>
    </comment>
    <comment ref="I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J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K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L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M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N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O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P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Q11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J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K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L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M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N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O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P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  <comment ref="Q12" authorId="0">
      <text>
        <r>
          <rPr>
            <b/>
            <sz val="8"/>
            <rFont val="Tahoma"/>
            <family val="2"/>
          </rPr>
          <t>JGott:</t>
        </r>
        <r>
          <rPr>
            <sz val="8"/>
            <rFont val="Tahoma"/>
            <family val="2"/>
          </rPr>
          <t xml:space="preserve">
Portion of S/C posted as PILS in error - correction posted</t>
        </r>
      </text>
    </comment>
  </commentList>
</comments>
</file>

<file path=xl/sharedStrings.xml><?xml version="1.0" encoding="utf-8"?>
<sst xmlns="http://schemas.openxmlformats.org/spreadsheetml/2006/main" count="1654" uniqueCount="182">
  <si>
    <t>Date</t>
  </si>
  <si>
    <t>Description</t>
  </si>
  <si>
    <t>DR(CR)</t>
  </si>
  <si>
    <t>Balance</t>
  </si>
  <si>
    <t>Interest Receivable</t>
  </si>
  <si>
    <t>BALANCE SHEET</t>
  </si>
  <si>
    <t xml:space="preserve">    Deferred PILs -</t>
  </si>
  <si>
    <t>INCOME STATEMENT</t>
  </si>
  <si>
    <t>PILs monthly accrual (1)</t>
  </si>
  <si>
    <t>(1)</t>
  </si>
  <si>
    <t>/</t>
  </si>
  <si>
    <t>months =</t>
  </si>
  <si>
    <t>PILs monthly accrual (2)</t>
  </si>
  <si>
    <t>(2)</t>
  </si>
  <si>
    <t>(3)</t>
  </si>
  <si>
    <t>April</t>
  </si>
  <si>
    <t>RES</t>
  </si>
  <si>
    <t>&lt;50</t>
  </si>
  <si>
    <t>Total</t>
  </si>
  <si>
    <t xml:space="preserve">                  kWh</t>
  </si>
  <si>
    <t>kW</t>
  </si>
  <si>
    <t>June</t>
  </si>
  <si>
    <t>July</t>
  </si>
  <si>
    <t>August</t>
  </si>
  <si>
    <t>September</t>
  </si>
  <si>
    <t>October</t>
  </si>
  <si>
    <t>November</t>
  </si>
  <si>
    <t>December</t>
  </si>
  <si>
    <t>Rate</t>
  </si>
  <si>
    <t>Unbilled Dec/02</t>
  </si>
  <si>
    <t>PILs $ for kWh</t>
  </si>
  <si>
    <t>Schedule of Billings for PILs - kWh</t>
  </si>
  <si>
    <t xml:space="preserve">March </t>
  </si>
  <si>
    <t xml:space="preserve">May </t>
  </si>
  <si>
    <t>Distrib Serv Rev</t>
  </si>
  <si>
    <t xml:space="preserve">   # 1562 Sub-Acct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</si>
  <si>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</si>
  <si>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</si>
  <si>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</si>
  <si>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</si>
  <si>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</si>
  <si>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</si>
  <si>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</si>
  <si>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</si>
  <si>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</si>
  <si>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</si>
  <si>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</si>
  <si>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</si>
  <si>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</si>
  <si>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</si>
  <si>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(4)</t>
  </si>
  <si>
    <t>PILs monthly accrual (4)</t>
  </si>
  <si>
    <t>Unbilled Dec/03</t>
  </si>
  <si>
    <t>Unbilled</t>
  </si>
  <si>
    <t>Unbilled Dec/04</t>
  </si>
  <si>
    <t>Pre-Apr 1</t>
  </si>
  <si>
    <t>Post-Apr 1</t>
  </si>
  <si>
    <t>Post Apr 1</t>
  </si>
  <si>
    <t>PILs $ for kWh / kW</t>
  </si>
  <si>
    <t>#1100</t>
  </si>
  <si>
    <t xml:space="preserve"> #1562</t>
  </si>
  <si>
    <t>#4080</t>
  </si>
  <si>
    <t>#4080 Sub-Acct</t>
  </si>
  <si>
    <t>Sub - Acct</t>
  </si>
  <si>
    <t xml:space="preserve">Distrib Serv Rev - </t>
  </si>
  <si>
    <t>#4405</t>
  </si>
  <si>
    <t>Interest and</t>
  </si>
  <si>
    <t>Dividend Income</t>
  </si>
  <si>
    <t>Accounts Receivable</t>
  </si>
  <si>
    <t xml:space="preserve"> Deferred PILs</t>
  </si>
  <si>
    <t>(5)</t>
  </si>
  <si>
    <t>Unbilled Dec/06</t>
  </si>
  <si>
    <t>Pre-May 1</t>
  </si>
  <si>
    <t>Carrying Charge Rate May 1, 2006  - June 30, 2006</t>
  </si>
  <si>
    <t>Carrying Charge Rate October 1, 2007 - March 31, 2008</t>
  </si>
  <si>
    <t>Carrying Charge Rate April 1, 2008 - June 30, 2008</t>
  </si>
  <si>
    <t>Carrying Charge Rate July 1, 2009 - June 30, 2010</t>
  </si>
  <si>
    <t>Res</t>
  </si>
  <si>
    <t>St Lt</t>
  </si>
  <si>
    <t># Service Charges</t>
  </si>
  <si>
    <t># Service Charges x $ in Rates</t>
  </si>
  <si>
    <t>Billed kWh</t>
  </si>
  <si>
    <t>Billed Service Chg</t>
  </si>
  <si>
    <t>Schedule of Billings for PILs- Total of kWh, kWh and Service Charges</t>
  </si>
  <si>
    <t>Unbilled Dec/05</t>
  </si>
  <si>
    <t>Jan-Dec/06</t>
  </si>
  <si>
    <t>PILs 1562</t>
  </si>
  <si>
    <t>Rate-Pre Apr 1</t>
  </si>
  <si>
    <t>Rate-Post Apr 1</t>
  </si>
  <si>
    <t xml:space="preserve">            kWh</t>
  </si>
  <si>
    <t>Rate-Pre May 1</t>
  </si>
  <si>
    <t>Schedule of Billings for PILs - Service Charge</t>
  </si>
  <si>
    <t>PILs monthly accrual</t>
  </si>
  <si>
    <t>Billed to Customers</t>
  </si>
  <si>
    <t>Transfer PILs Billed from Revenue</t>
  </si>
  <si>
    <t>Reverse Transfer PILs Unbilled from Revenue</t>
  </si>
  <si>
    <t>Transfer PILs Unbilled from Revenue</t>
  </si>
  <si>
    <t>See Backup Schedules for Details</t>
  </si>
  <si>
    <t>Footnotes:</t>
  </si>
  <si>
    <t>Annual Billing to Customers</t>
  </si>
  <si>
    <t>Annual Proxy</t>
  </si>
  <si>
    <t>Annual Carry Charge</t>
  </si>
  <si>
    <t>Carrying Charge Rate July 1, 2008 - December 31, 2008</t>
  </si>
  <si>
    <t>Carrying Charge Rate January 1, 2009 - March 31, 2009</t>
  </si>
  <si>
    <t>Carrying Charge Rate April 1, 2009 - June 30, 2009</t>
  </si>
  <si>
    <t>Carrying Charge Rate July 1, 2010 - September 30, 2010</t>
  </si>
  <si>
    <t>Carrying Charge Rate October 1, 2010 - December 31, 2010</t>
  </si>
  <si>
    <t>RESIDENTIAL</t>
  </si>
  <si>
    <t>GS &lt; 50 KW</t>
  </si>
  <si>
    <t>RAILROAD</t>
  </si>
  <si>
    <t>GS &gt; 50 (NON-INTERVAL)</t>
  </si>
  <si>
    <t>GS &gt; 50 (INTERVAL)</t>
  </si>
  <si>
    <t>TOU</t>
  </si>
  <si>
    <t>LARGE USER</t>
  </si>
  <si>
    <t>STREET LIGHTS</t>
  </si>
  <si>
    <t>SENTINEL LIGHTS</t>
  </si>
  <si>
    <t>kWh</t>
  </si>
  <si>
    <t>Jan Rev</t>
  </si>
  <si>
    <t>Feb Rev</t>
  </si>
  <si>
    <t xml:space="preserve">Jan </t>
  </si>
  <si>
    <t>Jan Acc</t>
  </si>
  <si>
    <t>Feb Acc</t>
  </si>
  <si>
    <t>Service Charges</t>
  </si>
  <si>
    <t>Distribution Charges</t>
  </si>
  <si>
    <t>Avg</t>
  </si>
  <si>
    <t>Apr Acc</t>
  </si>
  <si>
    <t>UNMETERED</t>
  </si>
  <si>
    <t>Service + Distribution Charges</t>
  </si>
  <si>
    <t>Service Charges - Customer count</t>
  </si>
  <si>
    <t>Distribution Charges - Volume</t>
  </si>
  <si>
    <t>Distribution Charges - pre-May2004</t>
  </si>
  <si>
    <t>Distribution Charges - post-Apr2004</t>
  </si>
  <si>
    <t>Distribution Charges - total</t>
  </si>
  <si>
    <t>Distribution -preMay2005</t>
  </si>
  <si>
    <t>Distribution -postApr2005</t>
  </si>
  <si>
    <t>Sen Lt</t>
  </si>
  <si>
    <t>&gt;50 Non-TOU</t>
  </si>
  <si>
    <t>&gt; 50 TOU</t>
  </si>
  <si>
    <t>USC</t>
  </si>
  <si>
    <t>Sen LT</t>
  </si>
  <si>
    <t>Total of May-Sept = Apr Accrual</t>
  </si>
  <si>
    <t>Unbilled Customer Accrual - Dec/02</t>
  </si>
  <si>
    <t>2003</t>
  </si>
  <si>
    <t>Reverse Unbilled Customer Accrual - Dec/02</t>
  </si>
  <si>
    <t>2004</t>
  </si>
  <si>
    <t>Unbilled Customer Accrual - Dec/03</t>
  </si>
  <si>
    <t>Reverse Unbilled Customer Accrual - Dec/03</t>
  </si>
  <si>
    <t>2005</t>
  </si>
  <si>
    <t>Unbilled Customer Accrual - Dec/04</t>
  </si>
  <si>
    <t>Unbilled Customer Accrual - Dec/05</t>
  </si>
  <si>
    <t>Unbilled Customer Accrual - May to Sep/06</t>
  </si>
  <si>
    <t>Reverse Unbilled Customer Accrual - Dec/04</t>
  </si>
  <si>
    <t>Reverse Unbilled Customer Accrual - Dec/05</t>
  </si>
  <si>
    <t>2006</t>
  </si>
  <si>
    <t>2007</t>
  </si>
  <si>
    <t>2008</t>
  </si>
  <si>
    <t>2009</t>
  </si>
  <si>
    <t>2010</t>
  </si>
  <si>
    <t>2011</t>
  </si>
  <si>
    <t>2012</t>
  </si>
  <si>
    <t>May-Dec/06</t>
  </si>
  <si>
    <t>PILs monthly accrual (3)</t>
  </si>
  <si>
    <t>Billed to Customers (5)</t>
  </si>
  <si>
    <t xml:space="preserve">Billed to Customers (5) </t>
  </si>
  <si>
    <t>Annual True-up</t>
  </si>
  <si>
    <t>(6)</t>
  </si>
  <si>
    <t>Carrying Charge Rate January 1, 2011 - December 31, 2011</t>
  </si>
  <si>
    <t>Actual</t>
  </si>
  <si>
    <t>Estimated</t>
  </si>
  <si>
    <t>Carrying Charge Rate January 1, 2012 - April 30, 2012</t>
  </si>
  <si>
    <t>Carrying Charge Rate July 1, 2006  - September 30, 2007</t>
  </si>
  <si>
    <t>Carrying Charge Rate October 1, 2001  - April 30, 2006</t>
  </si>
  <si>
    <t>2001 Amount included in PILs in RAM [October 1 - December 31, 2001]</t>
  </si>
  <si>
    <t>2003 PILS entitlement = 2001 plus 2002 PILS amounts [January 1, 2003 - March 31, 2004]</t>
  </si>
  <si>
    <t xml:space="preserve">2002 Amount included in PILs in RAM [January 1, 2002 - December 31, 2002] </t>
  </si>
  <si>
    <t xml:space="preserve">2004 Entitlement same as 2002 PILs [April 1, 2004 - March 31, 2005] </t>
  </si>
  <si>
    <t xml:space="preserve">2005 Amount included in PILs in RAM [April 1, 2005 - April 30, 2006] </t>
  </si>
  <si>
    <t>2001 Deferral Account Variance</t>
  </si>
  <si>
    <t>2002 Deferral Account Variance</t>
  </si>
  <si>
    <t>2003 Deferral Account Variance</t>
  </si>
  <si>
    <t>2004 Deferral Account Variance</t>
  </si>
  <si>
    <t>2005 Deferral Account Variance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</si>
</sst>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  <numFmt numFmtId="177" formatCode="_(* #,##0.0000_);_(* \(#,##0.0000\);_(* &quot;-&quot;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0.0"/>
    <numFmt numFmtId="184" formatCode="mmmm\-yy"/>
    <numFmt numFmtId="185" formatCode="_(* #,##0.000000_);_(* \(#,##0.000000\);_(* &quot;-&quot;??_);_(@_)"/>
    <numFmt numFmtId="186" formatCode="#,##0;\(#,##0\)"/>
    <numFmt numFmtId="187" formatCode="0.0000"/>
    <numFmt numFmtId="188" formatCode="#,##0.0000"/>
    <numFmt numFmtId="189" formatCode="0.0000%"/>
    <numFmt numFmtId="190" formatCode="_(* #,##0.00000_);_(* \(#,##0.00000\);_(* &quot;-&quot;_);_(@_)"/>
    <numFmt numFmtId="191" formatCode="_(* #,##0.000000_);_(* \(#,##0.000000\);_(* &quot;-&quot;_);_(@_)"/>
    <numFmt numFmtId="192" formatCode="0.0000000"/>
    <numFmt numFmtId="193" formatCode="0.00000000"/>
    <numFmt numFmtId="194" formatCode="0.0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_(&quot;$&quot;* #,##0.0000_);_(&quot;$&quot;* \(#,##0.0000\);_(&quot;$&quot;* &quot;-&quot;????_);_(@_)"/>
    <numFmt numFmtId="198" formatCode="#,##0.0_);[Red]\(#,##0.0\)"/>
    <numFmt numFmtId="199" formatCode="#,##0.000"/>
    <numFmt numFmtId="200" formatCode="#,##0.0"/>
    <numFmt numFmtId="201" formatCode="#,##0.00000"/>
    <numFmt numFmtId="202" formatCode="_(* #,##0.00000_);_(* \(#,##0.00000\);_(* &quot;-&quot;??_);_(@_)"/>
    <numFmt numFmtId="203" formatCode="_(&quot;$&quot;* #,##0.00000_);_(&quot;$&quot;* \(#,##0.00000\);_(&quot;$&quot;* &quot;-&quot;??_);_(@_)"/>
    <numFmt numFmtId="204" formatCode="_(* #,##0.00000_);_(* \(#,##0.00000\);_(* &quot;-&quot;?????_);_(@_)"/>
    <numFmt numFmtId="205" formatCode="[$-409]dddd\,\ mmmm\ dd\,\ yyyy"/>
    <numFmt numFmtId="206" formatCode="[$-409]mmmm\ d\,\ yyyy;@"/>
    <numFmt numFmtId="207" formatCode="[$-409]dd\-mmm\-yy;@"/>
    <numFmt numFmtId="208" formatCode="[$-409]mmm\ d\,\ yyyy;@"/>
    <numFmt numFmtId="209" formatCode="[$-409]mmm\-yy;@"/>
  </numFmts>
  <fonts count="7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53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strike/>
      <sz val="12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12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i/>
      <u val="single"/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36"/>
      <name val="Times New Roman"/>
      <family val="1"/>
    </font>
    <font>
      <b/>
      <sz val="10"/>
      <color indexed="36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2" fontId="1" fillId="0" borderId="0" xfId="42" applyNumberFormat="1" applyFont="1" applyAlignment="1">
      <alignment/>
    </xf>
    <xf numFmtId="173" fontId="1" fillId="0" borderId="0" xfId="0" applyNumberFormat="1" applyFont="1" applyAlignment="1">
      <alignment/>
    </xf>
    <xf numFmtId="41" fontId="1" fillId="0" borderId="14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3" fontId="1" fillId="0" borderId="14" xfId="42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41" fontId="8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14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41" fontId="5" fillId="0" borderId="10" xfId="0" applyNumberFormat="1" applyFont="1" applyBorder="1" applyAlignment="1">
      <alignment horizontal="center"/>
    </xf>
    <xf numFmtId="41" fontId="2" fillId="0" borderId="14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6" fillId="0" borderId="0" xfId="0" applyFont="1" applyAlignment="1">
      <alignment/>
    </xf>
    <xf numFmtId="10" fontId="16" fillId="0" borderId="0" xfId="59" applyNumberFormat="1" applyFont="1" applyAlignment="1">
      <alignment/>
    </xf>
    <xf numFmtId="10" fontId="9" fillId="0" borderId="0" xfId="59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2" fillId="0" borderId="0" xfId="59" applyNumberFormat="1" applyFont="1" applyFill="1" applyAlignment="1">
      <alignment/>
    </xf>
    <xf numFmtId="10" fontId="2" fillId="0" borderId="0" xfId="59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9" fillId="0" borderId="0" xfId="0" applyFont="1" applyFill="1" applyBorder="1" applyAlignment="1" quotePrefix="1">
      <alignment horizontal="center"/>
    </xf>
    <xf numFmtId="42" fontId="1" fillId="0" borderId="0" xfId="42" applyNumberFormat="1" applyFont="1" applyFill="1" applyBorder="1" applyAlignment="1">
      <alignment/>
    </xf>
    <xf numFmtId="42" fontId="1" fillId="0" borderId="0" xfId="42" applyNumberFormat="1" applyFont="1" applyFill="1" applyAlignment="1">
      <alignment/>
    </xf>
    <xf numFmtId="42" fontId="5" fillId="0" borderId="0" xfId="42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41" fontId="15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1" fontId="9" fillId="0" borderId="1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5" xfId="0" applyFont="1" applyFill="1" applyBorder="1" applyAlignment="1">
      <alignment horizontal="left"/>
    </xf>
    <xf numFmtId="43" fontId="23" fillId="0" borderId="11" xfId="42" applyFont="1" applyFill="1" applyBorder="1" applyAlignment="1">
      <alignment horizontal="center"/>
    </xf>
    <xf numFmtId="43" fontId="23" fillId="0" borderId="0" xfId="42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3" fillId="0" borderId="15" xfId="0" applyFont="1" applyFill="1" applyBorder="1" applyAlignment="1">
      <alignment horizontal="center"/>
    </xf>
    <xf numFmtId="177" fontId="23" fillId="0" borderId="11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5" xfId="0" applyFont="1" applyBorder="1" applyAlignment="1">
      <alignment horizontal="left"/>
    </xf>
    <xf numFmtId="173" fontId="23" fillId="0" borderId="11" xfId="42" applyNumberFormat="1" applyFont="1" applyFill="1" applyBorder="1" applyAlignment="1">
      <alignment horizontal="center"/>
    </xf>
    <xf numFmtId="173" fontId="23" fillId="0" borderId="0" xfId="42" applyNumberFormat="1" applyFont="1" applyFill="1" applyBorder="1" applyAlignment="1">
      <alignment horizontal="center"/>
    </xf>
    <xf numFmtId="41" fontId="24" fillId="0" borderId="11" xfId="0" applyNumberFormat="1" applyFont="1" applyBorder="1" applyAlignment="1">
      <alignment/>
    </xf>
    <xf numFmtId="0" fontId="24" fillId="0" borderId="15" xfId="0" applyFont="1" applyBorder="1" applyAlignment="1">
      <alignment/>
    </xf>
    <xf numFmtId="173" fontId="24" fillId="0" borderId="11" xfId="42" applyNumberFormat="1" applyFont="1" applyBorder="1" applyAlignment="1">
      <alignment/>
    </xf>
    <xf numFmtId="173" fontId="24" fillId="0" borderId="0" xfId="42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0" xfId="0" applyNumberFormat="1" applyFont="1" applyBorder="1" applyAlignment="1">
      <alignment/>
    </xf>
    <xf numFmtId="0" fontId="24" fillId="0" borderId="17" xfId="0" applyFont="1" applyBorder="1" applyAlignment="1">
      <alignment/>
    </xf>
    <xf numFmtId="41" fontId="24" fillId="0" borderId="12" xfId="0" applyNumberFormat="1" applyFont="1" applyBorder="1" applyAlignment="1">
      <alignment/>
    </xf>
    <xf numFmtId="41" fontId="24" fillId="0" borderId="18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43" fontId="24" fillId="0" borderId="0" xfId="42" applyFont="1" applyAlignment="1">
      <alignment/>
    </xf>
    <xf numFmtId="169" fontId="24" fillId="0" borderId="0" xfId="0" applyNumberFormat="1" applyFont="1" applyAlignment="1">
      <alignment/>
    </xf>
    <xf numFmtId="173" fontId="24" fillId="0" borderId="0" xfId="42" applyNumberFormat="1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Fill="1" applyAlignment="1">
      <alignment horizontal="center"/>
    </xf>
    <xf numFmtId="41" fontId="23" fillId="0" borderId="0" xfId="0" applyNumberFormat="1" applyFont="1" applyFill="1" applyAlignment="1">
      <alignment horizontal="center"/>
    </xf>
    <xf numFmtId="41" fontId="24" fillId="0" borderId="0" xfId="0" applyNumberFormat="1" applyFont="1" applyFill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Fill="1" applyAlignment="1">
      <alignment/>
    </xf>
    <xf numFmtId="41" fontId="22" fillId="0" borderId="19" xfId="0" applyNumberFormat="1" applyFont="1" applyBorder="1" applyAlignment="1">
      <alignment/>
    </xf>
    <xf numFmtId="0" fontId="28" fillId="0" borderId="0" xfId="0" applyFont="1" applyAlignment="1">
      <alignment/>
    </xf>
    <xf numFmtId="41" fontId="2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3" fillId="32" borderId="20" xfId="0" applyFont="1" applyFill="1" applyBorder="1" applyAlignment="1">
      <alignment horizontal="center"/>
    </xf>
    <xf numFmtId="0" fontId="24" fillId="32" borderId="21" xfId="0" applyFont="1" applyFill="1" applyBorder="1" applyAlignment="1">
      <alignment/>
    </xf>
    <xf numFmtId="0" fontId="24" fillId="32" borderId="20" xfId="0" applyFont="1" applyFill="1" applyBorder="1" applyAlignment="1">
      <alignment/>
    </xf>
    <xf numFmtId="0" fontId="24" fillId="32" borderId="22" xfId="0" applyFont="1" applyFill="1" applyBorder="1" applyAlignment="1">
      <alignment/>
    </xf>
    <xf numFmtId="0" fontId="24" fillId="0" borderId="23" xfId="0" applyFont="1" applyBorder="1" applyAlignment="1">
      <alignment/>
    </xf>
    <xf numFmtId="0" fontId="23" fillId="3" borderId="24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77" fontId="23" fillId="0" borderId="15" xfId="0" applyNumberFormat="1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 horizontal="center"/>
    </xf>
    <xf numFmtId="41" fontId="22" fillId="0" borderId="15" xfId="0" applyNumberFormat="1" applyFont="1" applyBorder="1" applyAlignment="1">
      <alignment/>
    </xf>
    <xf numFmtId="41" fontId="22" fillId="0" borderId="1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41" fontId="22" fillId="0" borderId="11" xfId="0" applyNumberFormat="1" applyFont="1" applyBorder="1" applyAlignment="1">
      <alignment/>
    </xf>
    <xf numFmtId="41" fontId="22" fillId="0" borderId="25" xfId="0" applyNumberFormat="1" applyFont="1" applyBorder="1" applyAlignment="1">
      <alignment/>
    </xf>
    <xf numFmtId="41" fontId="22" fillId="0" borderId="26" xfId="0" applyNumberFormat="1" applyFont="1" applyBorder="1" applyAlignment="1">
      <alignment/>
    </xf>
    <xf numFmtId="41" fontId="22" fillId="0" borderId="16" xfId="0" applyNumberFormat="1" applyFont="1" applyBorder="1" applyAlignment="1">
      <alignment/>
    </xf>
    <xf numFmtId="41" fontId="28" fillId="0" borderId="0" xfId="0" applyNumberFormat="1" applyFont="1" applyAlignment="1">
      <alignment/>
    </xf>
    <xf numFmtId="41" fontId="28" fillId="0" borderId="0" xfId="0" applyNumberFormat="1" applyFont="1" applyFill="1" applyAlignment="1">
      <alignment/>
    </xf>
    <xf numFmtId="179" fontId="31" fillId="0" borderId="0" xfId="44" applyNumberFormat="1" applyFont="1" applyFill="1" applyBorder="1" applyAlignment="1">
      <alignment/>
    </xf>
    <xf numFmtId="179" fontId="23" fillId="0" borderId="0" xfId="44" applyNumberFormat="1" applyFont="1" applyFill="1" applyBorder="1" applyAlignment="1">
      <alignment/>
    </xf>
    <xf numFmtId="0" fontId="23" fillId="0" borderId="0" xfId="0" applyFont="1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3" fontId="0" fillId="0" borderId="0" xfId="42" applyFont="1" applyBorder="1" applyAlignment="1">
      <alignment/>
    </xf>
    <xf numFmtId="182" fontId="0" fillId="0" borderId="0" xfId="42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23" fillId="3" borderId="17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41" fontId="22" fillId="0" borderId="0" xfId="0" applyNumberFormat="1" applyFont="1" applyFill="1" applyBorder="1" applyAlignment="1">
      <alignment/>
    </xf>
    <xf numFmtId="41" fontId="28" fillId="0" borderId="0" xfId="0" applyNumberFormat="1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179" fontId="21" fillId="0" borderId="0" xfId="44" applyNumberFormat="1" applyFont="1" applyFill="1" applyBorder="1" applyAlignment="1">
      <alignment/>
    </xf>
    <xf numFmtId="0" fontId="23" fillId="32" borderId="27" xfId="0" applyFont="1" applyFill="1" applyBorder="1" applyAlignment="1">
      <alignment horizontal="center"/>
    </xf>
    <xf numFmtId="173" fontId="24" fillId="0" borderId="11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4" fillId="34" borderId="11" xfId="42" applyNumberFormat="1" applyFont="1" applyFill="1" applyBorder="1" applyAlignment="1">
      <alignment horizontal="center"/>
    </xf>
    <xf numFmtId="173" fontId="24" fillId="34" borderId="27" xfId="0" applyNumberFormat="1" applyFont="1" applyFill="1" applyBorder="1" applyAlignment="1">
      <alignment/>
    </xf>
    <xf numFmtId="41" fontId="24" fillId="0" borderId="27" xfId="0" applyNumberFormat="1" applyFont="1" applyBorder="1" applyAlignment="1">
      <alignment/>
    </xf>
    <xf numFmtId="41" fontId="24" fillId="0" borderId="11" xfId="0" applyNumberFormat="1" applyFont="1" applyFill="1" applyBorder="1" applyAlignment="1">
      <alignment/>
    </xf>
    <xf numFmtId="41" fontId="24" fillId="0" borderId="16" xfId="0" applyNumberFormat="1" applyFont="1" applyFill="1" applyBorder="1" applyAlignment="1">
      <alignment/>
    </xf>
    <xf numFmtId="0" fontId="23" fillId="4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0" fontId="17" fillId="0" borderId="0" xfId="5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1" fontId="2" fillId="0" borderId="27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179" fontId="23" fillId="4" borderId="27" xfId="44" applyNumberFormat="1" applyFont="1" applyFill="1" applyBorder="1" applyAlignment="1">
      <alignment/>
    </xf>
    <xf numFmtId="0" fontId="23" fillId="0" borderId="15" xfId="0" applyFont="1" applyBorder="1" applyAlignment="1">
      <alignment horizontal="center"/>
    </xf>
    <xf numFmtId="179" fontId="21" fillId="4" borderId="27" xfId="44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3" fillId="32" borderId="18" xfId="0" applyFont="1" applyFill="1" applyBorder="1" applyAlignment="1">
      <alignment horizontal="center"/>
    </xf>
    <xf numFmtId="0" fontId="23" fillId="35" borderId="28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2" borderId="18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41" fontId="28" fillId="0" borderId="0" xfId="0" applyNumberFormat="1" applyFont="1" applyBorder="1" applyAlignment="1">
      <alignment/>
    </xf>
    <xf numFmtId="41" fontId="28" fillId="0" borderId="0" xfId="0" applyNumberFormat="1" applyFont="1" applyFill="1" applyBorder="1" applyAlignment="1">
      <alignment/>
    </xf>
    <xf numFmtId="41" fontId="32" fillId="0" borderId="0" xfId="0" applyNumberFormat="1" applyFont="1" applyBorder="1" applyAlignment="1">
      <alignment/>
    </xf>
    <xf numFmtId="41" fontId="32" fillId="0" borderId="0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3" fontId="0" fillId="0" borderId="0" xfId="42" applyNumberFormat="1" applyFont="1" applyBorder="1" applyAlignment="1">
      <alignment horizontal="right"/>
    </xf>
    <xf numFmtId="173" fontId="0" fillId="0" borderId="0" xfId="42" applyNumberFormat="1" applyFont="1" applyFill="1" applyBorder="1" applyAlignment="1">
      <alignment horizontal="right"/>
    </xf>
    <xf numFmtId="41" fontId="24" fillId="0" borderId="15" xfId="0" applyNumberFormat="1" applyFont="1" applyBorder="1" applyAlignment="1">
      <alignment/>
    </xf>
    <xf numFmtId="41" fontId="24" fillId="0" borderId="10" xfId="0" applyNumberFormat="1" applyFont="1" applyBorder="1" applyAlignment="1">
      <alignment/>
    </xf>
    <xf numFmtId="41" fontId="24" fillId="0" borderId="25" xfId="0" applyNumberFormat="1" applyFont="1" applyBorder="1" applyAlignment="1">
      <alignment/>
    </xf>
    <xf numFmtId="41" fontId="24" fillId="0" borderId="26" xfId="0" applyNumberFormat="1" applyFont="1" applyBorder="1" applyAlignment="1">
      <alignment/>
    </xf>
    <xf numFmtId="0" fontId="24" fillId="0" borderId="24" xfId="0" applyFont="1" applyBorder="1" applyAlignment="1">
      <alignment/>
    </xf>
    <xf numFmtId="0" fontId="23" fillId="0" borderId="15" xfId="0" applyFont="1" applyFill="1" applyBorder="1" applyAlignment="1">
      <alignment horizontal="left"/>
    </xf>
    <xf numFmtId="0" fontId="23" fillId="4" borderId="15" xfId="0" applyFont="1" applyFill="1" applyBorder="1" applyAlignment="1">
      <alignment horizontal="center"/>
    </xf>
    <xf numFmtId="41" fontId="23" fillId="0" borderId="0" xfId="0" applyNumberFormat="1" applyFont="1" applyFill="1" applyBorder="1" applyAlignment="1">
      <alignment horizontal="center"/>
    </xf>
    <xf numFmtId="41" fontId="23" fillId="0" borderId="10" xfId="0" applyNumberFormat="1" applyFont="1" applyFill="1" applyBorder="1" applyAlignment="1">
      <alignment horizontal="center"/>
    </xf>
    <xf numFmtId="41" fontId="24" fillId="0" borderId="10" xfId="0" applyNumberFormat="1" applyFont="1" applyFill="1" applyBorder="1" applyAlignment="1">
      <alignment/>
    </xf>
    <xf numFmtId="41" fontId="23" fillId="0" borderId="15" xfId="0" applyNumberFormat="1" applyFont="1" applyFill="1" applyBorder="1" applyAlignment="1">
      <alignment horizontal="center"/>
    </xf>
    <xf numFmtId="0" fontId="22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3" fillId="32" borderId="17" xfId="0" applyFont="1" applyFill="1" applyBorder="1" applyAlignment="1">
      <alignment horizontal="center"/>
    </xf>
    <xf numFmtId="0" fontId="25" fillId="0" borderId="15" xfId="0" applyFont="1" applyBorder="1" applyAlignment="1">
      <alignment/>
    </xf>
    <xf numFmtId="41" fontId="23" fillId="0" borderId="11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left"/>
    </xf>
    <xf numFmtId="0" fontId="22" fillId="0" borderId="12" xfId="0" applyFont="1" applyBorder="1" applyAlignment="1">
      <alignment/>
    </xf>
    <xf numFmtId="0" fontId="23" fillId="32" borderId="23" xfId="0" applyFont="1" applyFill="1" applyBorder="1" applyAlignment="1">
      <alignment horizontal="center"/>
    </xf>
    <xf numFmtId="0" fontId="23" fillId="32" borderId="12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3" fillId="35" borderId="12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41" fontId="33" fillId="0" borderId="0" xfId="0" applyNumberFormat="1" applyFont="1" applyBorder="1" applyAlignment="1" quotePrefix="1">
      <alignment/>
    </xf>
    <xf numFmtId="41" fontId="33" fillId="0" borderId="0" xfId="0" applyNumberFormat="1" applyFont="1" applyBorder="1" applyAlignment="1">
      <alignment horizontal="right"/>
    </xf>
    <xf numFmtId="41" fontId="33" fillId="0" borderId="0" xfId="0" applyNumberFormat="1" applyFont="1" applyBorder="1" applyAlignment="1">
      <alignment/>
    </xf>
    <xf numFmtId="173" fontId="32" fillId="0" borderId="0" xfId="42" applyNumberFormat="1" applyFont="1" applyBorder="1" applyAlignment="1">
      <alignment/>
    </xf>
    <xf numFmtId="41" fontId="33" fillId="0" borderId="0" xfId="0" applyNumberFormat="1" applyFont="1" applyBorder="1" applyAlignment="1" quotePrefix="1">
      <alignment horizontal="center"/>
    </xf>
    <xf numFmtId="41" fontId="33" fillId="0" borderId="0" xfId="0" applyNumberFormat="1" applyFont="1" applyBorder="1" applyAlignment="1">
      <alignment horizontal="center"/>
    </xf>
    <xf numFmtId="173" fontId="24" fillId="0" borderId="0" xfId="0" applyNumberFormat="1" applyFont="1" applyAlignment="1">
      <alignment/>
    </xf>
    <xf numFmtId="173" fontId="24" fillId="0" borderId="19" xfId="0" applyNumberFormat="1" applyFont="1" applyBorder="1" applyAlignment="1">
      <alignment/>
    </xf>
    <xf numFmtId="0" fontId="27" fillId="0" borderId="0" xfId="0" applyFont="1" applyAlignment="1">
      <alignment/>
    </xf>
    <xf numFmtId="0" fontId="23" fillId="0" borderId="15" xfId="0" applyFont="1" applyBorder="1" applyAlignment="1">
      <alignment/>
    </xf>
    <xf numFmtId="173" fontId="24" fillId="0" borderId="10" xfId="42" applyNumberFormat="1" applyFont="1" applyBorder="1" applyAlignment="1">
      <alignment/>
    </xf>
    <xf numFmtId="173" fontId="24" fillId="0" borderId="26" xfId="0" applyNumberFormat="1" applyFont="1" applyBorder="1" applyAlignment="1">
      <alignment/>
    </xf>
    <xf numFmtId="182" fontId="24" fillId="0" borderId="15" xfId="42" applyNumberFormat="1" applyFont="1" applyBorder="1" applyAlignment="1">
      <alignment/>
    </xf>
    <xf numFmtId="182" fontId="24" fillId="0" borderId="0" xfId="42" applyNumberFormat="1" applyFont="1" applyBorder="1" applyAlignment="1">
      <alignment/>
    </xf>
    <xf numFmtId="173" fontId="24" fillId="0" borderId="15" xfId="42" applyNumberFormat="1" applyFont="1" applyBorder="1" applyAlignment="1">
      <alignment/>
    </xf>
    <xf numFmtId="173" fontId="24" fillId="0" borderId="25" xfId="0" applyNumberFormat="1" applyFont="1" applyBorder="1" applyAlignment="1">
      <alignment/>
    </xf>
    <xf numFmtId="196" fontId="23" fillId="3" borderId="17" xfId="44" applyNumberFormat="1" applyFont="1" applyFill="1" applyBorder="1" applyAlignment="1">
      <alignment/>
    </xf>
    <xf numFmtId="196" fontId="23" fillId="35" borderId="18" xfId="44" applyNumberFormat="1" applyFont="1" applyFill="1" applyBorder="1" applyAlignment="1">
      <alignment/>
    </xf>
    <xf numFmtId="173" fontId="24" fillId="0" borderId="11" xfId="0" applyNumberFormat="1" applyFont="1" applyBorder="1" applyAlignment="1">
      <alignment/>
    </xf>
    <xf numFmtId="173" fontId="24" fillId="0" borderId="16" xfId="0" applyNumberFormat="1" applyFont="1" applyBorder="1" applyAlignment="1">
      <alignment/>
    </xf>
    <xf numFmtId="196" fontId="23" fillId="32" borderId="12" xfId="44" applyNumberFormat="1" applyFont="1" applyFill="1" applyBorder="1" applyAlignment="1">
      <alignment/>
    </xf>
    <xf numFmtId="182" fontId="24" fillId="0" borderId="11" xfId="42" applyNumberFormat="1" applyFont="1" applyBorder="1" applyAlignment="1">
      <alignment/>
    </xf>
    <xf numFmtId="196" fontId="23" fillId="2" borderId="12" xfId="44" applyNumberFormat="1" applyFont="1" applyFill="1" applyBorder="1" applyAlignment="1">
      <alignment/>
    </xf>
    <xf numFmtId="173" fontId="23" fillId="4" borderId="1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2" fontId="2" fillId="0" borderId="0" xfId="42" applyNumberFormat="1" applyFont="1" applyBorder="1" applyAlignment="1">
      <alignment/>
    </xf>
    <xf numFmtId="49" fontId="1" fillId="0" borderId="0" xfId="0" applyNumberFormat="1" applyFont="1" applyFill="1" applyAlignment="1" quotePrefix="1">
      <alignment horizontal="center"/>
    </xf>
    <xf numFmtId="49" fontId="1" fillId="0" borderId="0" xfId="0" applyNumberFormat="1" applyFont="1" applyFill="1" applyAlignment="1">
      <alignment horizontal="center"/>
    </xf>
    <xf numFmtId="41" fontId="1" fillId="0" borderId="11" xfId="0" applyNumberFormat="1" applyFont="1" applyFill="1" applyBorder="1" applyAlignment="1">
      <alignment/>
    </xf>
    <xf numFmtId="41" fontId="14" fillId="0" borderId="11" xfId="0" applyNumberFormat="1" applyFont="1" applyFill="1" applyBorder="1" applyAlignment="1">
      <alignment/>
    </xf>
    <xf numFmtId="41" fontId="1" fillId="0" borderId="11" xfId="0" applyNumberFormat="1" applyFont="1" applyFill="1" applyBorder="1" applyAlignment="1" quotePrefix="1">
      <alignment horizontal="center"/>
    </xf>
    <xf numFmtId="0" fontId="1" fillId="0" borderId="11" xfId="0" applyFont="1" applyFill="1" applyBorder="1" applyAlignment="1" quotePrefix="1">
      <alignment horizontal="center"/>
    </xf>
    <xf numFmtId="41" fontId="14" fillId="0" borderId="11" xfId="0" applyNumberFormat="1" applyFont="1" applyFill="1" applyBorder="1" applyAlignment="1">
      <alignment/>
    </xf>
    <xf numFmtId="49" fontId="34" fillId="0" borderId="0" xfId="0" applyNumberFormat="1" applyFont="1" applyFill="1" applyAlignment="1">
      <alignment horizontal="left"/>
    </xf>
    <xf numFmtId="41" fontId="2" fillId="0" borderId="29" xfId="0" applyNumberFormat="1" applyFont="1" applyBorder="1" applyAlignment="1">
      <alignment/>
    </xf>
    <xf numFmtId="41" fontId="2" fillId="0" borderId="27" xfId="0" applyNumberFormat="1" applyFont="1" applyBorder="1" applyAlignment="1">
      <alignment/>
    </xf>
    <xf numFmtId="184" fontId="2" fillId="33" borderId="27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43" fontId="1" fillId="32" borderId="10" xfId="42" applyFont="1" applyFill="1" applyBorder="1" applyAlignment="1">
      <alignment/>
    </xf>
    <xf numFmtId="10" fontId="14" fillId="32" borderId="30" xfId="59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41" fontId="2" fillId="36" borderId="27" xfId="0" applyNumberFormat="1" applyFont="1" applyFill="1" applyBorder="1" applyAlignment="1">
      <alignment/>
    </xf>
    <xf numFmtId="42" fontId="2" fillId="0" borderId="0" xfId="42" applyNumberFormat="1" applyFont="1" applyFill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182" fontId="0" fillId="0" borderId="0" xfId="42" applyNumberFormat="1" applyFont="1" applyFill="1" applyBorder="1" applyAlignment="1">
      <alignment/>
    </xf>
    <xf numFmtId="188" fontId="0" fillId="0" borderId="31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Fill="1" applyBorder="1" applyAlignment="1">
      <alignment/>
    </xf>
    <xf numFmtId="0" fontId="36" fillId="0" borderId="0" xfId="0" applyFont="1" applyAlignment="1">
      <alignment horizontal="center"/>
    </xf>
    <xf numFmtId="173" fontId="0" fillId="0" borderId="0" xfId="42" applyNumberFormat="1" applyFont="1" applyAlignment="1">
      <alignment/>
    </xf>
    <xf numFmtId="201" fontId="0" fillId="0" borderId="31" xfId="0" applyNumberFormat="1" applyBorder="1" applyAlignment="1">
      <alignment/>
    </xf>
    <xf numFmtId="44" fontId="0" fillId="0" borderId="31" xfId="44" applyFont="1" applyBorder="1" applyAlignment="1">
      <alignment/>
    </xf>
    <xf numFmtId="44" fontId="0" fillId="0" borderId="32" xfId="44" applyFont="1" applyBorder="1" applyAlignment="1">
      <alignment/>
    </xf>
    <xf numFmtId="203" fontId="0" fillId="0" borderId="31" xfId="44" applyNumberFormat="1" applyFont="1" applyBorder="1" applyAlignment="1">
      <alignment/>
    </xf>
    <xf numFmtId="203" fontId="0" fillId="0" borderId="32" xfId="44" applyNumberFormat="1" applyFont="1" applyBorder="1" applyAlignment="1">
      <alignment/>
    </xf>
    <xf numFmtId="44" fontId="0" fillId="0" borderId="0" xfId="44" applyFont="1" applyAlignment="1">
      <alignment/>
    </xf>
    <xf numFmtId="173" fontId="0" fillId="0" borderId="31" xfId="42" applyNumberFormat="1" applyFont="1" applyBorder="1" applyAlignment="1">
      <alignment/>
    </xf>
    <xf numFmtId="173" fontId="0" fillId="0" borderId="32" xfId="42" applyNumberFormat="1" applyFont="1" applyBorder="1" applyAlignment="1">
      <alignment/>
    </xf>
    <xf numFmtId="203" fontId="0" fillId="0" borderId="31" xfId="0" applyNumberFormat="1" applyBorder="1" applyAlignment="1">
      <alignment/>
    </xf>
    <xf numFmtId="203" fontId="0" fillId="0" borderId="32" xfId="0" applyNumberFormat="1" applyBorder="1" applyAlignment="1">
      <alignment/>
    </xf>
    <xf numFmtId="173" fontId="24" fillId="0" borderId="34" xfId="42" applyNumberFormat="1" applyFont="1" applyBorder="1" applyAlignment="1">
      <alignment/>
    </xf>
    <xf numFmtId="0" fontId="23" fillId="37" borderId="28" xfId="0" applyFont="1" applyFill="1" applyBorder="1" applyAlignment="1">
      <alignment horizontal="center"/>
    </xf>
    <xf numFmtId="44" fontId="23" fillId="37" borderId="18" xfId="44" applyNumberFormat="1" applyFont="1" applyFill="1" applyBorder="1" applyAlignment="1">
      <alignment/>
    </xf>
    <xf numFmtId="44" fontId="23" fillId="33" borderId="12" xfId="44" applyNumberFormat="1" applyFont="1" applyFill="1" applyBorder="1" applyAlignment="1">
      <alignment/>
    </xf>
    <xf numFmtId="0" fontId="23" fillId="38" borderId="23" xfId="0" applyFont="1" applyFill="1" applyBorder="1" applyAlignment="1">
      <alignment horizontal="center"/>
    </xf>
    <xf numFmtId="44" fontId="23" fillId="38" borderId="12" xfId="44" applyNumberFormat="1" applyFont="1" applyFill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82" fontId="24" fillId="0" borderId="23" xfId="42" applyNumberFormat="1" applyFont="1" applyBorder="1" applyAlignment="1">
      <alignment/>
    </xf>
    <xf numFmtId="173" fontId="24" fillId="0" borderId="18" xfId="0" applyNumberFormat="1" applyFont="1" applyBorder="1" applyAlignment="1">
      <alignment/>
    </xf>
    <xf numFmtId="0" fontId="23" fillId="4" borderId="12" xfId="0" applyFont="1" applyFill="1" applyBorder="1" applyAlignment="1">
      <alignment vertical="center"/>
    </xf>
    <xf numFmtId="0" fontId="23" fillId="38" borderId="12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23" fillId="37" borderId="12" xfId="0" applyFont="1" applyFill="1" applyBorder="1" applyAlignment="1">
      <alignment/>
    </xf>
    <xf numFmtId="0" fontId="23" fillId="38" borderId="12" xfId="0" applyFont="1" applyFill="1" applyBorder="1" applyAlignment="1">
      <alignment/>
    </xf>
    <xf numFmtId="202" fontId="23" fillId="0" borderId="15" xfId="42" applyNumberFormat="1" applyFont="1" applyFill="1" applyBorder="1" applyAlignment="1">
      <alignment horizontal="center"/>
    </xf>
    <xf numFmtId="202" fontId="23" fillId="0" borderId="10" xfId="42" applyNumberFormat="1" applyFont="1" applyFill="1" applyBorder="1" applyAlignment="1">
      <alignment horizontal="center"/>
    </xf>
    <xf numFmtId="202" fontId="23" fillId="0" borderId="11" xfId="42" applyNumberFormat="1" applyFont="1" applyFill="1" applyBorder="1" applyAlignment="1">
      <alignment horizontal="center"/>
    </xf>
    <xf numFmtId="202" fontId="23" fillId="0" borderId="17" xfId="42" applyNumberFormat="1" applyFont="1" applyFill="1" applyBorder="1" applyAlignment="1">
      <alignment horizontal="center"/>
    </xf>
    <xf numFmtId="202" fontId="23" fillId="0" borderId="12" xfId="42" applyNumberFormat="1" applyFont="1" applyFill="1" applyBorder="1" applyAlignment="1">
      <alignment horizontal="center"/>
    </xf>
    <xf numFmtId="202" fontId="23" fillId="0" borderId="18" xfId="42" applyNumberFormat="1" applyFont="1" applyFill="1" applyBorder="1" applyAlignment="1">
      <alignment horizontal="center"/>
    </xf>
    <xf numFmtId="202" fontId="23" fillId="0" borderId="23" xfId="42" applyNumberFormat="1" applyFont="1" applyFill="1" applyBorder="1" applyAlignment="1">
      <alignment horizontal="center"/>
    </xf>
    <xf numFmtId="202" fontId="23" fillId="0" borderId="0" xfId="42" applyNumberFormat="1" applyFont="1" applyFill="1" applyBorder="1" applyAlignment="1">
      <alignment horizontal="center"/>
    </xf>
    <xf numFmtId="202" fontId="23" fillId="0" borderId="30" xfId="42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41" fontId="9" fillId="39" borderId="15" xfId="0" applyNumberFormat="1" applyFont="1" applyFill="1" applyBorder="1" applyAlignment="1">
      <alignment/>
    </xf>
    <xf numFmtId="41" fontId="1" fillId="39" borderId="14" xfId="0" applyNumberFormat="1" applyFont="1" applyFill="1" applyBorder="1" applyAlignment="1">
      <alignment/>
    </xf>
    <xf numFmtId="41" fontId="1" fillId="39" borderId="10" xfId="0" applyNumberFormat="1" applyFont="1" applyFill="1" applyBorder="1" applyAlignment="1">
      <alignment/>
    </xf>
    <xf numFmtId="0" fontId="1" fillId="39" borderId="11" xfId="0" applyFont="1" applyFill="1" applyBorder="1" applyAlignment="1">
      <alignment/>
    </xf>
    <xf numFmtId="0" fontId="15" fillId="39" borderId="15" xfId="0" applyFont="1" applyFill="1" applyBorder="1" applyAlignment="1">
      <alignment/>
    </xf>
    <xf numFmtId="41" fontId="14" fillId="39" borderId="11" xfId="0" applyNumberFormat="1" applyFont="1" applyFill="1" applyBorder="1" applyAlignment="1">
      <alignment/>
    </xf>
    <xf numFmtId="208" fontId="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08" fontId="1" fillId="39" borderId="11" xfId="0" applyNumberFormat="1" applyFont="1" applyFill="1" applyBorder="1" applyAlignment="1">
      <alignment horizontal="center"/>
    </xf>
    <xf numFmtId="41" fontId="1" fillId="0" borderId="15" xfId="0" applyNumberFormat="1" applyFont="1" applyBorder="1" applyAlignment="1">
      <alignment/>
    </xf>
    <xf numFmtId="41" fontId="1" fillId="0" borderId="35" xfId="0" applyNumberFormat="1" applyFont="1" applyBorder="1" applyAlignment="1">
      <alignment/>
    </xf>
    <xf numFmtId="41" fontId="8" fillId="0" borderId="15" xfId="0" applyNumberFormat="1" applyFont="1" applyBorder="1" applyAlignment="1">
      <alignment/>
    </xf>
    <xf numFmtId="41" fontId="8" fillId="0" borderId="15" xfId="0" applyNumberFormat="1" applyFont="1" applyFill="1" applyBorder="1" applyAlignment="1">
      <alignment/>
    </xf>
    <xf numFmtId="43" fontId="1" fillId="0" borderId="15" xfId="42" applyFont="1" applyBorder="1" applyAlignment="1">
      <alignment/>
    </xf>
    <xf numFmtId="41" fontId="2" fillId="36" borderId="23" xfId="0" applyNumberFormat="1" applyFont="1" applyFill="1" applyBorder="1" applyAlignment="1">
      <alignment/>
    </xf>
    <xf numFmtId="41" fontId="2" fillId="36" borderId="12" xfId="0" applyNumberFormat="1" applyFont="1" applyFill="1" applyBorder="1" applyAlignment="1">
      <alignment/>
    </xf>
    <xf numFmtId="41" fontId="20" fillId="0" borderId="15" xfId="0" applyNumberFormat="1" applyFont="1" applyFill="1" applyBorder="1" applyAlignment="1">
      <alignment/>
    </xf>
    <xf numFmtId="208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/>
    </xf>
    <xf numFmtId="0" fontId="15" fillId="0" borderId="3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41" fontId="1" fillId="0" borderId="37" xfId="0" applyNumberFormat="1" applyFont="1" applyBorder="1" applyAlignment="1">
      <alignment/>
    </xf>
    <xf numFmtId="41" fontId="1" fillId="0" borderId="38" xfId="0" applyNumberFormat="1" applyFont="1" applyBorder="1" applyAlignment="1">
      <alignment/>
    </xf>
    <xf numFmtId="41" fontId="1" fillId="0" borderId="34" xfId="0" applyNumberFormat="1" applyFont="1" applyFill="1" applyBorder="1" applyAlignment="1">
      <alignment/>
    </xf>
    <xf numFmtId="208" fontId="1" fillId="39" borderId="34" xfId="0" applyNumberFormat="1" applyFont="1" applyFill="1" applyBorder="1" applyAlignment="1">
      <alignment horizontal="center"/>
    </xf>
    <xf numFmtId="0" fontId="18" fillId="39" borderId="34" xfId="0" applyFont="1" applyFill="1" applyBorder="1" applyAlignment="1">
      <alignment/>
    </xf>
    <xf numFmtId="41" fontId="15" fillId="39" borderId="36" xfId="0" applyNumberFormat="1" applyFont="1" applyFill="1" applyBorder="1" applyAlignment="1">
      <alignment/>
    </xf>
    <xf numFmtId="41" fontId="9" fillId="39" borderId="36" xfId="0" applyNumberFormat="1" applyFont="1" applyFill="1" applyBorder="1" applyAlignment="1">
      <alignment/>
    </xf>
    <xf numFmtId="41" fontId="1" fillId="39" borderId="37" xfId="0" applyNumberFormat="1" applyFont="1" applyFill="1" applyBorder="1" applyAlignment="1">
      <alignment/>
    </xf>
    <xf numFmtId="41" fontId="1" fillId="39" borderId="38" xfId="0" applyNumberFormat="1" applyFont="1" applyFill="1" applyBorder="1" applyAlignment="1">
      <alignment/>
    </xf>
    <xf numFmtId="41" fontId="10" fillId="39" borderId="37" xfId="0" applyNumberFormat="1" applyFont="1" applyFill="1" applyBorder="1" applyAlignment="1">
      <alignment/>
    </xf>
    <xf numFmtId="41" fontId="7" fillId="39" borderId="37" xfId="0" applyNumberFormat="1" applyFont="1" applyFill="1" applyBorder="1" applyAlignment="1">
      <alignment/>
    </xf>
    <xf numFmtId="41" fontId="7" fillId="39" borderId="34" xfId="0" applyNumberFormat="1" applyFont="1" applyFill="1" applyBorder="1" applyAlignment="1">
      <alignment/>
    </xf>
    <xf numFmtId="0" fontId="1" fillId="0" borderId="39" xfId="0" applyFont="1" applyBorder="1" applyAlignment="1">
      <alignment/>
    </xf>
    <xf numFmtId="41" fontId="1" fillId="0" borderId="40" xfId="0" applyNumberFormat="1" applyFont="1" applyBorder="1" applyAlignment="1">
      <alignment/>
    </xf>
    <xf numFmtId="41" fontId="1" fillId="0" borderId="36" xfId="0" applyNumberFormat="1" applyFont="1" applyBorder="1" applyAlignment="1">
      <alignment/>
    </xf>
    <xf numFmtId="0" fontId="1" fillId="39" borderId="34" xfId="0" applyFont="1" applyFill="1" applyBorder="1" applyAlignment="1">
      <alignment/>
    </xf>
    <xf numFmtId="41" fontId="8" fillId="39" borderId="37" xfId="0" applyNumberFormat="1" applyFont="1" applyFill="1" applyBorder="1" applyAlignment="1">
      <alignment/>
    </xf>
    <xf numFmtId="41" fontId="14" fillId="39" borderId="34" xfId="0" applyNumberFormat="1" applyFont="1" applyFill="1" applyBorder="1" applyAlignment="1">
      <alignment/>
    </xf>
    <xf numFmtId="41" fontId="1" fillId="0" borderId="37" xfId="0" applyNumberFormat="1" applyFont="1" applyFill="1" applyBorder="1" applyAlignment="1">
      <alignment/>
    </xf>
    <xf numFmtId="0" fontId="15" fillId="39" borderId="36" xfId="0" applyFont="1" applyFill="1" applyBorder="1" applyAlignment="1">
      <alignment/>
    </xf>
    <xf numFmtId="0" fontId="9" fillId="39" borderId="36" xfId="0" applyFont="1" applyFill="1" applyBorder="1" applyAlignment="1">
      <alignment/>
    </xf>
    <xf numFmtId="41" fontId="1" fillId="39" borderId="36" xfId="0" applyNumberFormat="1" applyFont="1" applyFill="1" applyBorder="1" applyAlignment="1">
      <alignment/>
    </xf>
    <xf numFmtId="41" fontId="1" fillId="39" borderId="40" xfId="0" applyNumberFormat="1" applyFont="1" applyFill="1" applyBorder="1" applyAlignment="1">
      <alignment/>
    </xf>
    <xf numFmtId="41" fontId="14" fillId="39" borderId="34" xfId="0" applyNumberFormat="1" applyFont="1" applyFill="1" applyBorder="1" applyAlignment="1">
      <alignment/>
    </xf>
    <xf numFmtId="43" fontId="1" fillId="39" borderId="36" xfId="42" applyFont="1" applyFill="1" applyBorder="1" applyAlignment="1">
      <alignment/>
    </xf>
    <xf numFmtId="0" fontId="75" fillId="0" borderId="15" xfId="0" applyFont="1" applyFill="1" applyBorder="1" applyAlignment="1">
      <alignment/>
    </xf>
    <xf numFmtId="41" fontId="75" fillId="0" borderId="15" xfId="0" applyNumberFormat="1" applyFont="1" applyFill="1" applyBorder="1" applyAlignment="1">
      <alignment/>
    </xf>
    <xf numFmtId="41" fontId="75" fillId="39" borderId="15" xfId="0" applyNumberFormat="1" applyFont="1" applyFill="1" applyBorder="1" applyAlignment="1">
      <alignment/>
    </xf>
    <xf numFmtId="0" fontId="75" fillId="0" borderId="36" xfId="0" applyFont="1" applyFill="1" applyBorder="1" applyAlignment="1">
      <alignment/>
    </xf>
    <xf numFmtId="41" fontId="75" fillId="39" borderId="36" xfId="0" applyNumberFormat="1" applyFont="1" applyFill="1" applyBorder="1" applyAlignment="1">
      <alignment/>
    </xf>
    <xf numFmtId="41" fontId="76" fillId="0" borderId="15" xfId="0" applyNumberFormat="1" applyFont="1" applyFill="1" applyBorder="1" applyAlignment="1">
      <alignment/>
    </xf>
    <xf numFmtId="0" fontId="75" fillId="39" borderId="36" xfId="0" applyFont="1" applyFill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1" fontId="2" fillId="0" borderId="41" xfId="0" applyNumberFormat="1" applyFont="1" applyFill="1" applyBorder="1" applyAlignment="1">
      <alignment/>
    </xf>
    <xf numFmtId="10" fontId="15" fillId="0" borderId="18" xfId="59" applyNumberFormat="1" applyFont="1" applyFill="1" applyBorder="1" applyAlignment="1">
      <alignment/>
    </xf>
    <xf numFmtId="41" fontId="1" fillId="0" borderId="38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44" fontId="0" fillId="0" borderId="32" xfId="44" applyFont="1" applyBorder="1" applyAlignment="1">
      <alignment/>
    </xf>
    <xf numFmtId="44" fontId="0" fillId="0" borderId="32" xfId="44" applyFont="1" applyFill="1" applyBorder="1" applyAlignment="1">
      <alignment/>
    </xf>
    <xf numFmtId="0" fontId="36" fillId="0" borderId="0" xfId="0" applyFont="1" applyBorder="1" applyAlignment="1">
      <alignment horizontal="center"/>
    </xf>
    <xf numFmtId="173" fontId="0" fillId="0" borderId="42" xfId="42" applyNumberFormat="1" applyFont="1" applyFill="1" applyBorder="1" applyAlignment="1">
      <alignment/>
    </xf>
    <xf numFmtId="173" fontId="0" fillId="0" borderId="42" xfId="42" applyNumberFormat="1" applyFont="1" applyBorder="1" applyAlignment="1">
      <alignment/>
    </xf>
    <xf numFmtId="0" fontId="1" fillId="0" borderId="34" xfId="0" applyFont="1" applyFill="1" applyBorder="1" applyAlignment="1">
      <alignment/>
    </xf>
    <xf numFmtId="179" fontId="1" fillId="0" borderId="0" xfId="44" applyNumberFormat="1" applyFont="1" applyBorder="1" applyAlignment="1">
      <alignment/>
    </xf>
    <xf numFmtId="42" fontId="2" fillId="0" borderId="18" xfId="42" applyNumberFormat="1" applyFont="1" applyBorder="1" applyAlignment="1">
      <alignment/>
    </xf>
    <xf numFmtId="10" fontId="0" fillId="0" borderId="0" xfId="59" applyNumberFormat="1" applyFont="1" applyFill="1" applyBorder="1" applyAlignment="1">
      <alignment/>
    </xf>
    <xf numFmtId="10" fontId="2" fillId="32" borderId="17" xfId="59" applyNumberFormat="1" applyFont="1" applyFill="1" applyBorder="1" applyAlignment="1" quotePrefix="1">
      <alignment horizontal="center"/>
    </xf>
    <xf numFmtId="0" fontId="1" fillId="0" borderId="43" xfId="0" applyFont="1" applyFill="1" applyBorder="1" applyAlignment="1">
      <alignment/>
    </xf>
    <xf numFmtId="41" fontId="9" fillId="0" borderId="44" xfId="0" applyNumberFormat="1" applyFont="1" applyFill="1" applyBorder="1" applyAlignment="1">
      <alignment/>
    </xf>
    <xf numFmtId="41" fontId="75" fillId="0" borderId="44" xfId="0" applyNumberFormat="1" applyFont="1" applyFill="1" applyBorder="1" applyAlignment="1">
      <alignment/>
    </xf>
    <xf numFmtId="41" fontId="15" fillId="0" borderId="44" xfId="0" applyNumberFormat="1" applyFont="1" applyFill="1" applyBorder="1" applyAlignment="1">
      <alignment/>
    </xf>
    <xf numFmtId="41" fontId="7" fillId="0" borderId="43" xfId="0" applyNumberFormat="1" applyFont="1" applyFill="1" applyBorder="1" applyAlignment="1">
      <alignment/>
    </xf>
    <xf numFmtId="41" fontId="1" fillId="0" borderId="45" xfId="0" applyNumberFormat="1" applyFont="1" applyFill="1" applyBorder="1" applyAlignment="1">
      <alignment/>
    </xf>
    <xf numFmtId="41" fontId="1" fillId="0" borderId="46" xfId="0" applyNumberFormat="1" applyFont="1" applyFill="1" applyBorder="1" applyAlignment="1">
      <alignment/>
    </xf>
    <xf numFmtId="41" fontId="1" fillId="0" borderId="47" xfId="0" applyNumberFormat="1" applyFont="1" applyFill="1" applyBorder="1" applyAlignment="1">
      <alignment/>
    </xf>
    <xf numFmtId="41" fontId="1" fillId="0" borderId="44" xfId="0" applyNumberFormat="1" applyFont="1" applyBorder="1" applyAlignment="1">
      <alignment/>
    </xf>
    <xf numFmtId="41" fontId="1" fillId="0" borderId="48" xfId="0" applyNumberFormat="1" applyFont="1" applyBorder="1" applyAlignment="1">
      <alignment/>
    </xf>
    <xf numFmtId="41" fontId="1" fillId="0" borderId="46" xfId="0" applyNumberFormat="1" applyFont="1" applyBorder="1" applyAlignment="1">
      <alignment/>
    </xf>
    <xf numFmtId="41" fontId="1" fillId="0" borderId="47" xfId="0" applyNumberFormat="1" applyFont="1" applyBorder="1" applyAlignment="1">
      <alignment/>
    </xf>
    <xf numFmtId="0" fontId="75" fillId="32" borderId="23" xfId="0" applyFont="1" applyFill="1" applyBorder="1" applyAlignment="1">
      <alignment horizontal="center" vertical="center" wrapText="1"/>
    </xf>
    <xf numFmtId="0" fontId="75" fillId="32" borderId="11" xfId="0" applyFont="1" applyFill="1" applyBorder="1" applyAlignment="1">
      <alignment horizontal="center" vertical="center" wrapText="1"/>
    </xf>
    <xf numFmtId="0" fontId="75" fillId="32" borderId="12" xfId="0" applyFont="1" applyFill="1" applyBorder="1" applyAlignment="1">
      <alignment horizontal="center" vertical="center" wrapText="1"/>
    </xf>
    <xf numFmtId="208" fontId="1" fillId="0" borderId="11" xfId="0" applyNumberFormat="1" applyFont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208" fontId="1" fillId="0" borderId="34" xfId="0" applyNumberFormat="1" applyFont="1" applyBorder="1" applyAlignment="1">
      <alignment horizontal="center"/>
    </xf>
    <xf numFmtId="49" fontId="3" fillId="32" borderId="21" xfId="0" applyNumberFormat="1" applyFont="1" applyFill="1" applyBorder="1" applyAlignment="1">
      <alignment horizontal="center"/>
    </xf>
    <xf numFmtId="49" fontId="3" fillId="32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15" fillId="32" borderId="23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208" fontId="1" fillId="0" borderId="50" xfId="0" applyNumberFormat="1" applyFont="1" applyBorder="1" applyAlignment="1">
      <alignment horizontal="center"/>
    </xf>
    <xf numFmtId="208" fontId="1" fillId="0" borderId="43" xfId="0" applyNumberFormat="1" applyFont="1" applyBorder="1" applyAlignment="1">
      <alignment horizontal="center"/>
    </xf>
    <xf numFmtId="0" fontId="27" fillId="33" borderId="21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3" fillId="37" borderId="22" xfId="0" applyFont="1" applyFill="1" applyBorder="1" applyAlignment="1">
      <alignment horizontal="center"/>
    </xf>
    <xf numFmtId="0" fontId="23" fillId="38" borderId="21" xfId="0" applyFont="1" applyFill="1" applyBorder="1" applyAlignment="1">
      <alignment horizontal="center"/>
    </xf>
    <xf numFmtId="0" fontId="23" fillId="38" borderId="22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3" fillId="38" borderId="20" xfId="0" applyFont="1" applyFill="1" applyBorder="1" applyAlignment="1">
      <alignment horizontal="center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center"/>
    </xf>
    <xf numFmtId="0" fontId="23" fillId="32" borderId="22" xfId="0" applyFont="1" applyFill="1" applyBorder="1" applyAlignment="1">
      <alignment horizontal="center"/>
    </xf>
    <xf numFmtId="0" fontId="23" fillId="37" borderId="20" xfId="0" applyFont="1" applyFill="1" applyBorder="1" applyAlignment="1">
      <alignment horizontal="center"/>
    </xf>
    <xf numFmtId="0" fontId="23" fillId="3" borderId="21" xfId="0" applyFont="1" applyFill="1" applyBorder="1" applyAlignment="1">
      <alignment horizontal="center"/>
    </xf>
    <xf numFmtId="0" fontId="23" fillId="3" borderId="22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5" borderId="20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7" fillId="32" borderId="21" xfId="0" applyFont="1" applyFill="1" applyBorder="1" applyAlignment="1">
      <alignment horizontal="center"/>
    </xf>
    <xf numFmtId="0" fontId="27" fillId="32" borderId="20" xfId="0" applyFont="1" applyFill="1" applyBorder="1" applyAlignment="1">
      <alignment horizontal="center"/>
    </xf>
    <xf numFmtId="0" fontId="27" fillId="32" borderId="22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32" borderId="23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8" borderId="23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4" sqref="B14"/>
    </sheetView>
  </sheetViews>
  <sheetFormatPr defaultColWidth="9.140625" defaultRowHeight="12.75"/>
  <cols>
    <col min="1" max="1" width="14.57421875" style="29" customWidth="1"/>
    <col min="2" max="2" width="41.7109375" style="1" bestFit="1" customWidth="1"/>
    <col min="3" max="4" width="11.7109375" style="51" customWidth="1"/>
    <col min="5" max="5" width="11.7109375" style="48" customWidth="1"/>
    <col min="6" max="6" width="11.7109375" style="17" customWidth="1"/>
    <col min="7" max="7" width="2.00390625" style="36" customWidth="1"/>
    <col min="8" max="13" width="11.7109375" style="1" customWidth="1"/>
    <col min="14" max="14" width="2.00390625" style="36" customWidth="1"/>
    <col min="15" max="21" width="11.7109375" style="1" customWidth="1"/>
    <col min="22" max="22" width="5.57421875" style="1" hidden="1" customWidth="1"/>
    <col min="23" max="16384" width="9.140625" style="1" customWidth="1"/>
  </cols>
  <sheetData>
    <row r="1" spans="1:21" ht="19.5" thickBot="1">
      <c r="A1" s="387" t="s">
        <v>86</v>
      </c>
      <c r="B1" s="388"/>
      <c r="C1" s="239">
        <v>41000</v>
      </c>
      <c r="D1" s="52"/>
      <c r="F1" s="38"/>
      <c r="H1" s="36"/>
      <c r="I1" s="2"/>
      <c r="J1" s="32"/>
      <c r="K1" s="33"/>
      <c r="L1" s="144"/>
      <c r="M1" s="38"/>
      <c r="O1" s="22"/>
      <c r="P1" s="34"/>
      <c r="Q1" s="35"/>
      <c r="R1" s="145"/>
      <c r="S1" s="145"/>
      <c r="T1" s="55"/>
      <c r="U1" s="37"/>
    </row>
    <row r="2" spans="1:21" ht="16.5" thickBot="1">
      <c r="A2" s="30"/>
      <c r="B2" s="4"/>
      <c r="C2" s="52"/>
      <c r="D2" s="52"/>
      <c r="E2" s="49"/>
      <c r="F2" s="355"/>
      <c r="H2" s="389" t="s">
        <v>5</v>
      </c>
      <c r="I2" s="390"/>
      <c r="J2" s="390"/>
      <c r="K2" s="390"/>
      <c r="L2" s="390"/>
      <c r="M2" s="391"/>
      <c r="O2" s="389" t="s">
        <v>7</v>
      </c>
      <c r="P2" s="390"/>
      <c r="Q2" s="390"/>
      <c r="R2" s="390"/>
      <c r="S2" s="390"/>
      <c r="T2" s="390"/>
      <c r="U2" s="391"/>
    </row>
    <row r="3" spans="1:21" s="3" customFormat="1" ht="15.75">
      <c r="A3" s="392" t="s">
        <v>0</v>
      </c>
      <c r="B3" s="395" t="s">
        <v>1</v>
      </c>
      <c r="C3" s="401" t="s">
        <v>100</v>
      </c>
      <c r="D3" s="380" t="s">
        <v>164</v>
      </c>
      <c r="E3" s="398" t="s">
        <v>99</v>
      </c>
      <c r="F3" s="404" t="s">
        <v>101</v>
      </c>
      <c r="G3" s="353"/>
      <c r="H3" s="384" t="s">
        <v>59</v>
      </c>
      <c r="I3" s="385"/>
      <c r="J3" s="384" t="s">
        <v>60</v>
      </c>
      <c r="K3" s="385"/>
      <c r="L3" s="384" t="s">
        <v>35</v>
      </c>
      <c r="M3" s="385"/>
      <c r="N3" s="353"/>
      <c r="O3" s="407" t="s">
        <v>61</v>
      </c>
      <c r="P3" s="408"/>
      <c r="Q3" s="407" t="s">
        <v>62</v>
      </c>
      <c r="R3" s="408"/>
      <c r="S3" s="296" t="s">
        <v>61</v>
      </c>
      <c r="T3" s="407" t="s">
        <v>65</v>
      </c>
      <c r="U3" s="408"/>
    </row>
    <row r="4" spans="1:21" ht="15.75">
      <c r="A4" s="393"/>
      <c r="B4" s="396"/>
      <c r="C4" s="402"/>
      <c r="D4" s="381"/>
      <c r="E4" s="399"/>
      <c r="F4" s="405"/>
      <c r="H4" s="240"/>
      <c r="I4" s="241"/>
      <c r="J4" s="240"/>
      <c r="K4" s="242"/>
      <c r="L4" s="384" t="s">
        <v>6</v>
      </c>
      <c r="M4" s="385"/>
      <c r="O4" s="240"/>
      <c r="P4" s="241"/>
      <c r="Q4" s="384" t="s">
        <v>64</v>
      </c>
      <c r="R4" s="385"/>
      <c r="S4" s="297"/>
      <c r="T4" s="384" t="s">
        <v>66</v>
      </c>
      <c r="U4" s="385"/>
    </row>
    <row r="5" spans="1:21" s="2" customFormat="1" ht="15.75">
      <c r="A5" s="393"/>
      <c r="B5" s="396"/>
      <c r="C5" s="402"/>
      <c r="D5" s="381"/>
      <c r="E5" s="399"/>
      <c r="F5" s="405"/>
      <c r="G5" s="153"/>
      <c r="H5" s="384" t="s">
        <v>68</v>
      </c>
      <c r="I5" s="385"/>
      <c r="J5" s="384" t="s">
        <v>69</v>
      </c>
      <c r="K5" s="385"/>
      <c r="L5" s="384" t="s">
        <v>4</v>
      </c>
      <c r="M5" s="385"/>
      <c r="N5" s="153"/>
      <c r="O5" s="384" t="s">
        <v>34</v>
      </c>
      <c r="P5" s="385"/>
      <c r="Q5" s="384" t="s">
        <v>63</v>
      </c>
      <c r="R5" s="385"/>
      <c r="S5" s="297"/>
      <c r="T5" s="384" t="s">
        <v>67</v>
      </c>
      <c r="U5" s="385"/>
    </row>
    <row r="6" spans="1:21" ht="16.5" thickBot="1">
      <c r="A6" s="393"/>
      <c r="B6" s="396"/>
      <c r="C6" s="402"/>
      <c r="D6" s="381"/>
      <c r="E6" s="399"/>
      <c r="F6" s="405"/>
      <c r="H6" s="240"/>
      <c r="I6" s="241"/>
      <c r="J6" s="240"/>
      <c r="K6" s="241"/>
      <c r="L6" s="367" t="s">
        <v>165</v>
      </c>
      <c r="M6" s="243"/>
      <c r="O6" s="240"/>
      <c r="P6" s="241"/>
      <c r="Q6" s="240"/>
      <c r="R6" s="241"/>
      <c r="S6" s="241"/>
      <c r="T6" s="240"/>
      <c r="U6" s="241"/>
    </row>
    <row r="7" spans="1:21" s="3" customFormat="1" ht="16.5" thickBot="1">
      <c r="A7" s="394"/>
      <c r="B7" s="397"/>
      <c r="C7" s="403"/>
      <c r="D7" s="382"/>
      <c r="E7" s="400"/>
      <c r="F7" s="406"/>
      <c r="G7" s="353"/>
      <c r="H7" s="244" t="s">
        <v>2</v>
      </c>
      <c r="I7" s="245" t="s">
        <v>3</v>
      </c>
      <c r="J7" s="244" t="s">
        <v>2</v>
      </c>
      <c r="K7" s="245" t="s">
        <v>3</v>
      </c>
      <c r="L7" s="244" t="s">
        <v>2</v>
      </c>
      <c r="M7" s="245" t="s">
        <v>3</v>
      </c>
      <c r="N7" s="353"/>
      <c r="O7" s="244" t="s">
        <v>2</v>
      </c>
      <c r="P7" s="245" t="s">
        <v>3</v>
      </c>
      <c r="Q7" s="244" t="s">
        <v>2</v>
      </c>
      <c r="R7" s="245" t="s">
        <v>3</v>
      </c>
      <c r="S7" s="245" t="s">
        <v>18</v>
      </c>
      <c r="T7" s="244" t="s">
        <v>2</v>
      </c>
      <c r="U7" s="245" t="s">
        <v>3</v>
      </c>
    </row>
    <row r="8" spans="1:21" ht="15.75">
      <c r="A8" s="305">
        <v>2001</v>
      </c>
      <c r="B8" s="6"/>
      <c r="C8" s="53"/>
      <c r="D8" s="344"/>
      <c r="E8" s="46"/>
      <c r="F8" s="227"/>
      <c r="H8" s="8"/>
      <c r="I8" s="5"/>
      <c r="J8" s="8"/>
      <c r="K8" s="5"/>
      <c r="L8" s="8"/>
      <c r="M8" s="5"/>
      <c r="O8" s="8"/>
      <c r="P8" s="5"/>
      <c r="Q8" s="8"/>
      <c r="R8" s="5"/>
      <c r="S8" s="5"/>
      <c r="T8" s="8"/>
      <c r="U8" s="5"/>
    </row>
    <row r="9" spans="1:22" ht="15.75">
      <c r="A9" s="304">
        <v>37195</v>
      </c>
      <c r="B9" s="6" t="s">
        <v>8</v>
      </c>
      <c r="C9" s="53"/>
      <c r="D9" s="344"/>
      <c r="E9" s="46"/>
      <c r="F9" s="231"/>
      <c r="G9" s="39"/>
      <c r="H9" s="13"/>
      <c r="I9" s="14">
        <f>+I8+H9</f>
        <v>0</v>
      </c>
      <c r="J9" s="13">
        <f>+M293</f>
        <v>15695.333333333334</v>
      </c>
      <c r="K9" s="14">
        <f aca="true" t="shared" si="0" ref="K9:K72">+K8+J9</f>
        <v>15695.333333333334</v>
      </c>
      <c r="L9" s="13"/>
      <c r="M9" s="14">
        <f>+M8+L9</f>
        <v>0</v>
      </c>
      <c r="N9" s="39"/>
      <c r="O9" s="13">
        <f aca="true" t="shared" si="1" ref="O9:O72">-H9</f>
        <v>0</v>
      </c>
      <c r="P9" s="14">
        <f aca="true" t="shared" si="2" ref="P9:P72">+P8+O9</f>
        <v>0</v>
      </c>
      <c r="Q9" s="13">
        <f aca="true" t="shared" si="3" ref="Q9:Q72">-J9</f>
        <v>-15695.333333333334</v>
      </c>
      <c r="R9" s="14">
        <f aca="true" t="shared" si="4" ref="R9:R72">+R8+Q9</f>
        <v>-15695.333333333334</v>
      </c>
      <c r="S9" s="14">
        <f>+R9+P9</f>
        <v>-15695.333333333334</v>
      </c>
      <c r="T9" s="13">
        <f aca="true" t="shared" si="5" ref="T9:T72">-L9</f>
        <v>0</v>
      </c>
      <c r="U9" s="14">
        <f aca="true" t="shared" si="6" ref="U9:U72">+U8+T9</f>
        <v>0</v>
      </c>
      <c r="V9" s="12">
        <f aca="true" t="shared" si="7" ref="V9:V17">+I9+K9+M9+P9+R9+U9</f>
        <v>0</v>
      </c>
    </row>
    <row r="10" spans="1:22" ht="15.75">
      <c r="A10" s="304">
        <v>37225</v>
      </c>
      <c r="B10" s="6" t="s">
        <v>8</v>
      </c>
      <c r="C10" s="53"/>
      <c r="D10" s="344"/>
      <c r="E10" s="46"/>
      <c r="F10" s="231"/>
      <c r="G10" s="39"/>
      <c r="H10" s="13"/>
      <c r="I10" s="14">
        <f aca="true" t="shared" si="8" ref="I10:I73">+I9+H10</f>
        <v>0</v>
      </c>
      <c r="J10" s="13">
        <f>+M293</f>
        <v>15695.333333333334</v>
      </c>
      <c r="K10" s="14">
        <f t="shared" si="0"/>
        <v>31390.666666666668</v>
      </c>
      <c r="L10" s="13">
        <f>+ROUND(K9*$F$304*(A10-A9)/365,2)</f>
        <v>93.53</v>
      </c>
      <c r="M10" s="14">
        <f aca="true" t="shared" si="9" ref="M10:M73">+M9+L10</f>
        <v>93.53</v>
      </c>
      <c r="N10" s="39"/>
      <c r="O10" s="13">
        <f t="shared" si="1"/>
        <v>0</v>
      </c>
      <c r="P10" s="14">
        <f t="shared" si="2"/>
        <v>0</v>
      </c>
      <c r="Q10" s="13">
        <f t="shared" si="3"/>
        <v>-15695.333333333334</v>
      </c>
      <c r="R10" s="14">
        <f t="shared" si="4"/>
        <v>-31390.666666666668</v>
      </c>
      <c r="S10" s="14">
        <f aca="true" t="shared" si="10" ref="S10:S73">+R10+P10</f>
        <v>-31390.666666666668</v>
      </c>
      <c r="T10" s="13">
        <f t="shared" si="5"/>
        <v>-93.53</v>
      </c>
      <c r="U10" s="14">
        <f t="shared" si="6"/>
        <v>-93.53</v>
      </c>
      <c r="V10" s="12">
        <f t="shared" si="7"/>
        <v>-1.1652900866465643E-12</v>
      </c>
    </row>
    <row r="11" spans="1:22" ht="15.75">
      <c r="A11" s="304">
        <v>37256</v>
      </c>
      <c r="B11" s="6" t="s">
        <v>8</v>
      </c>
      <c r="C11" s="54"/>
      <c r="D11" s="345"/>
      <c r="E11" s="46"/>
      <c r="F11" s="232"/>
      <c r="G11" s="39"/>
      <c r="H11" s="13"/>
      <c r="I11" s="14">
        <f t="shared" si="8"/>
        <v>0</v>
      </c>
      <c r="J11" s="13">
        <f>+M293</f>
        <v>15695.333333333334</v>
      </c>
      <c r="K11" s="14">
        <f t="shared" si="0"/>
        <v>47086</v>
      </c>
      <c r="L11" s="13">
        <f>+ROUND(K10*$F$304*(A11-A10)/365,2)</f>
        <v>193.29</v>
      </c>
      <c r="M11" s="14">
        <f t="shared" si="9"/>
        <v>286.82</v>
      </c>
      <c r="N11" s="39"/>
      <c r="O11" s="13">
        <f t="shared" si="1"/>
        <v>0</v>
      </c>
      <c r="P11" s="14">
        <f t="shared" si="2"/>
        <v>0</v>
      </c>
      <c r="Q11" s="13">
        <f t="shared" si="3"/>
        <v>-15695.333333333334</v>
      </c>
      <c r="R11" s="14">
        <f t="shared" si="4"/>
        <v>-47086</v>
      </c>
      <c r="S11" s="14">
        <f t="shared" si="10"/>
        <v>-47086</v>
      </c>
      <c r="T11" s="13">
        <f t="shared" si="5"/>
        <v>-193.29</v>
      </c>
      <c r="U11" s="14">
        <f t="shared" si="6"/>
        <v>-286.82</v>
      </c>
      <c r="V11" s="12">
        <f t="shared" si="7"/>
        <v>0</v>
      </c>
    </row>
    <row r="12" spans="1:22" ht="15.75">
      <c r="A12" s="306"/>
      <c r="B12" s="301"/>
      <c r="C12" s="298">
        <f>SUM(J9:J11)</f>
        <v>47086</v>
      </c>
      <c r="D12" s="346"/>
      <c r="E12" s="302"/>
      <c r="F12" s="303">
        <f>+M12</f>
        <v>286.82</v>
      </c>
      <c r="G12" s="39"/>
      <c r="H12" s="299"/>
      <c r="I12" s="300">
        <f t="shared" si="8"/>
        <v>0</v>
      </c>
      <c r="J12" s="299"/>
      <c r="K12" s="300">
        <f t="shared" si="0"/>
        <v>47086</v>
      </c>
      <c r="L12" s="299"/>
      <c r="M12" s="300">
        <f t="shared" si="9"/>
        <v>286.82</v>
      </c>
      <c r="N12" s="39"/>
      <c r="O12" s="299">
        <f t="shared" si="1"/>
        <v>0</v>
      </c>
      <c r="P12" s="300">
        <f t="shared" si="2"/>
        <v>0</v>
      </c>
      <c r="Q12" s="299">
        <f t="shared" si="3"/>
        <v>0</v>
      </c>
      <c r="R12" s="300">
        <f t="shared" si="4"/>
        <v>-47086</v>
      </c>
      <c r="S12" s="300">
        <f t="shared" si="10"/>
        <v>-47086</v>
      </c>
      <c r="T12" s="299">
        <f t="shared" si="5"/>
        <v>0</v>
      </c>
      <c r="U12" s="300">
        <f t="shared" si="6"/>
        <v>-286.82</v>
      </c>
      <c r="V12" s="12">
        <f t="shared" si="7"/>
        <v>0</v>
      </c>
    </row>
    <row r="13" spans="1:22" ht="15.75">
      <c r="A13" s="305">
        <v>2002</v>
      </c>
      <c r="B13" s="6"/>
      <c r="C13" s="53"/>
      <c r="D13" s="344"/>
      <c r="E13" s="46"/>
      <c r="F13" s="231"/>
      <c r="G13" s="39"/>
      <c r="H13" s="13"/>
      <c r="I13" s="14">
        <f t="shared" si="8"/>
        <v>0</v>
      </c>
      <c r="J13" s="13"/>
      <c r="K13" s="14">
        <f t="shared" si="0"/>
        <v>47086</v>
      </c>
      <c r="L13" s="13"/>
      <c r="M13" s="14">
        <f t="shared" si="9"/>
        <v>286.82</v>
      </c>
      <c r="N13" s="39"/>
      <c r="O13" s="13">
        <f t="shared" si="1"/>
        <v>0</v>
      </c>
      <c r="P13" s="14">
        <f t="shared" si="2"/>
        <v>0</v>
      </c>
      <c r="Q13" s="13">
        <f t="shared" si="3"/>
        <v>0</v>
      </c>
      <c r="R13" s="14">
        <f t="shared" si="4"/>
        <v>-47086</v>
      </c>
      <c r="S13" s="14">
        <f t="shared" si="10"/>
        <v>-47086</v>
      </c>
      <c r="T13" s="13">
        <f t="shared" si="5"/>
        <v>0</v>
      </c>
      <c r="U13" s="14">
        <f t="shared" si="6"/>
        <v>-286.82</v>
      </c>
      <c r="V13" s="12">
        <f t="shared" si="7"/>
        <v>0</v>
      </c>
    </row>
    <row r="14" spans="1:22" ht="15.75">
      <c r="A14" s="304">
        <v>37287</v>
      </c>
      <c r="B14" s="6" t="s">
        <v>12</v>
      </c>
      <c r="C14" s="53"/>
      <c r="D14" s="344"/>
      <c r="E14" s="46"/>
      <c r="F14" s="231"/>
      <c r="G14" s="39"/>
      <c r="H14" s="13"/>
      <c r="I14" s="14">
        <f t="shared" si="8"/>
        <v>0</v>
      </c>
      <c r="J14" s="13">
        <f>+$M$295</f>
        <v>12878.916666666666</v>
      </c>
      <c r="K14" s="14">
        <f t="shared" si="0"/>
        <v>59964.916666666664</v>
      </c>
      <c r="L14" s="13">
        <f>+ROUND(K13*$F$304*(A14-A11)/365,2)</f>
        <v>289.93</v>
      </c>
      <c r="M14" s="14">
        <f t="shared" si="9"/>
        <v>576.75</v>
      </c>
      <c r="N14" s="39"/>
      <c r="O14" s="13">
        <f t="shared" si="1"/>
        <v>0</v>
      </c>
      <c r="P14" s="14">
        <f t="shared" si="2"/>
        <v>0</v>
      </c>
      <c r="Q14" s="13">
        <f t="shared" si="3"/>
        <v>-12878.916666666666</v>
      </c>
      <c r="R14" s="14">
        <f t="shared" si="4"/>
        <v>-59964.916666666664</v>
      </c>
      <c r="S14" s="14">
        <f t="shared" si="10"/>
        <v>-59964.916666666664</v>
      </c>
      <c r="T14" s="13">
        <f t="shared" si="5"/>
        <v>-289.93</v>
      </c>
      <c r="U14" s="14">
        <f t="shared" si="6"/>
        <v>-576.75</v>
      </c>
      <c r="V14" s="12">
        <f t="shared" si="7"/>
        <v>0</v>
      </c>
    </row>
    <row r="15" spans="1:22" ht="15.75">
      <c r="A15" s="304">
        <v>37315</v>
      </c>
      <c r="B15" s="6" t="s">
        <v>12</v>
      </c>
      <c r="C15" s="53"/>
      <c r="D15" s="344"/>
      <c r="E15" s="46"/>
      <c r="F15" s="231"/>
      <c r="G15" s="39"/>
      <c r="H15" s="13"/>
      <c r="I15" s="14">
        <f t="shared" si="8"/>
        <v>0</v>
      </c>
      <c r="J15" s="13">
        <f>+$M$295</f>
        <v>12878.916666666666</v>
      </c>
      <c r="K15" s="14">
        <f t="shared" si="0"/>
        <v>72843.83333333333</v>
      </c>
      <c r="L15" s="13">
        <f>+ROUND(K14*$F$304*(A15-A14)/365,2)</f>
        <v>333.5</v>
      </c>
      <c r="M15" s="14">
        <f t="shared" si="9"/>
        <v>910.25</v>
      </c>
      <c r="N15" s="39"/>
      <c r="O15" s="13">
        <f t="shared" si="1"/>
        <v>0</v>
      </c>
      <c r="P15" s="14">
        <f t="shared" si="2"/>
        <v>0</v>
      </c>
      <c r="Q15" s="13">
        <f t="shared" si="3"/>
        <v>-12878.916666666666</v>
      </c>
      <c r="R15" s="14">
        <f t="shared" si="4"/>
        <v>-72843.83333333333</v>
      </c>
      <c r="S15" s="14">
        <f t="shared" si="10"/>
        <v>-72843.83333333333</v>
      </c>
      <c r="T15" s="13">
        <f t="shared" si="5"/>
        <v>-333.5</v>
      </c>
      <c r="U15" s="14">
        <f t="shared" si="6"/>
        <v>-910.25</v>
      </c>
      <c r="V15" s="12">
        <f t="shared" si="7"/>
        <v>0</v>
      </c>
    </row>
    <row r="16" spans="1:22" ht="15.75">
      <c r="A16" s="383">
        <v>37346</v>
      </c>
      <c r="B16" s="6" t="s">
        <v>12</v>
      </c>
      <c r="C16" s="53"/>
      <c r="D16" s="344"/>
      <c r="E16" s="46"/>
      <c r="F16" s="231"/>
      <c r="G16" s="39"/>
      <c r="H16" s="13"/>
      <c r="I16" s="14">
        <f t="shared" si="8"/>
        <v>0</v>
      </c>
      <c r="J16" s="13">
        <f>+$M$295</f>
        <v>12878.916666666666</v>
      </c>
      <c r="K16" s="14">
        <f t="shared" si="0"/>
        <v>85722.75</v>
      </c>
      <c r="L16" s="13">
        <f>+ROUND(K15*$F$304*(A16-A15)/365,2)</f>
        <v>448.54</v>
      </c>
      <c r="M16" s="14">
        <f t="shared" si="9"/>
        <v>1358.79</v>
      </c>
      <c r="N16" s="39"/>
      <c r="O16" s="13">
        <f t="shared" si="1"/>
        <v>0</v>
      </c>
      <c r="P16" s="14">
        <f t="shared" si="2"/>
        <v>0</v>
      </c>
      <c r="Q16" s="13">
        <f t="shared" si="3"/>
        <v>-12878.916666666666</v>
      </c>
      <c r="R16" s="14">
        <f t="shared" si="4"/>
        <v>-85722.75</v>
      </c>
      <c r="S16" s="14">
        <f t="shared" si="10"/>
        <v>-85722.75</v>
      </c>
      <c r="T16" s="13">
        <f t="shared" si="5"/>
        <v>-448.54</v>
      </c>
      <c r="U16" s="14">
        <f t="shared" si="6"/>
        <v>-1358.79</v>
      </c>
      <c r="V16" s="12">
        <f t="shared" si="7"/>
        <v>-6.366462912410498E-12</v>
      </c>
    </row>
    <row r="17" spans="1:22" ht="15.75">
      <c r="A17" s="383"/>
      <c r="B17" s="6" t="s">
        <v>162</v>
      </c>
      <c r="C17" s="53"/>
      <c r="D17" s="344"/>
      <c r="E17" s="46"/>
      <c r="F17" s="231"/>
      <c r="G17" s="39"/>
      <c r="H17" s="13">
        <f>+'Total Billings (L.2.1)'!D11</f>
        <v>7440.893959999939</v>
      </c>
      <c r="I17" s="14">
        <f t="shared" si="8"/>
        <v>7440.893959999939</v>
      </c>
      <c r="J17" s="13"/>
      <c r="K17" s="14">
        <f t="shared" si="0"/>
        <v>85722.75</v>
      </c>
      <c r="L17" s="13"/>
      <c r="M17" s="14">
        <f t="shared" si="9"/>
        <v>1358.79</v>
      </c>
      <c r="N17" s="39"/>
      <c r="O17" s="13">
        <f t="shared" si="1"/>
        <v>-7440.893959999939</v>
      </c>
      <c r="P17" s="14">
        <f t="shared" si="2"/>
        <v>-7440.893959999939</v>
      </c>
      <c r="Q17" s="13">
        <f t="shared" si="3"/>
        <v>0</v>
      </c>
      <c r="R17" s="14">
        <f t="shared" si="4"/>
        <v>-85722.75</v>
      </c>
      <c r="S17" s="14">
        <f t="shared" si="10"/>
        <v>-93163.64395999994</v>
      </c>
      <c r="T17" s="13">
        <f t="shared" si="5"/>
        <v>0</v>
      </c>
      <c r="U17" s="14">
        <f t="shared" si="6"/>
        <v>-1358.79</v>
      </c>
      <c r="V17" s="12">
        <f t="shared" si="7"/>
        <v>-6.366462912410498E-12</v>
      </c>
    </row>
    <row r="18" spans="1:22" ht="15.75">
      <c r="A18" s="386"/>
      <c r="B18" s="316" t="s">
        <v>94</v>
      </c>
      <c r="C18" s="318"/>
      <c r="D18" s="347"/>
      <c r="E18" s="317"/>
      <c r="F18" s="321"/>
      <c r="G18" s="39"/>
      <c r="H18" s="319"/>
      <c r="I18" s="320">
        <f t="shared" si="8"/>
        <v>7440.893959999939</v>
      </c>
      <c r="J18" s="319">
        <f>-H17</f>
        <v>-7440.893959999939</v>
      </c>
      <c r="K18" s="320">
        <f t="shared" si="0"/>
        <v>78281.85604000006</v>
      </c>
      <c r="L18" s="319"/>
      <c r="M18" s="320">
        <f t="shared" si="9"/>
        <v>1358.79</v>
      </c>
      <c r="N18" s="39"/>
      <c r="O18" s="319">
        <f t="shared" si="1"/>
        <v>0</v>
      </c>
      <c r="P18" s="320">
        <f t="shared" si="2"/>
        <v>-7440.893959999939</v>
      </c>
      <c r="Q18" s="319">
        <f t="shared" si="3"/>
        <v>7440.893959999939</v>
      </c>
      <c r="R18" s="320">
        <f t="shared" si="4"/>
        <v>-78281.85604000006</v>
      </c>
      <c r="S18" s="320">
        <f t="shared" si="10"/>
        <v>-85722.75</v>
      </c>
      <c r="T18" s="319">
        <f t="shared" si="5"/>
        <v>0</v>
      </c>
      <c r="U18" s="320">
        <f t="shared" si="6"/>
        <v>-1358.79</v>
      </c>
      <c r="V18" s="12"/>
    </row>
    <row r="19" spans="1:22" ht="15.75">
      <c r="A19" s="383">
        <v>37376</v>
      </c>
      <c r="B19" s="6" t="s">
        <v>12</v>
      </c>
      <c r="C19" s="53"/>
      <c r="D19" s="344"/>
      <c r="E19" s="46"/>
      <c r="F19" s="231"/>
      <c r="G19" s="39"/>
      <c r="H19" s="13"/>
      <c r="I19" s="14">
        <f t="shared" si="8"/>
        <v>7440.893959999939</v>
      </c>
      <c r="J19" s="13">
        <f>+$M$295</f>
        <v>12878.916666666666</v>
      </c>
      <c r="K19" s="14">
        <f t="shared" si="0"/>
        <v>91160.77270666673</v>
      </c>
      <c r="L19" s="13">
        <f>+ROUND(K18*$F$304*(A19-A16)/365,2)</f>
        <v>466.47</v>
      </c>
      <c r="M19" s="14">
        <f t="shared" si="9"/>
        <v>1825.26</v>
      </c>
      <c r="N19" s="39"/>
      <c r="O19" s="13">
        <f t="shared" si="1"/>
        <v>0</v>
      </c>
      <c r="P19" s="14">
        <f t="shared" si="2"/>
        <v>-7440.893959999939</v>
      </c>
      <c r="Q19" s="13">
        <f t="shared" si="3"/>
        <v>-12878.916666666666</v>
      </c>
      <c r="R19" s="14">
        <f t="shared" si="4"/>
        <v>-91160.77270666673</v>
      </c>
      <c r="S19" s="14">
        <f t="shared" si="10"/>
        <v>-98601.66666666667</v>
      </c>
      <c r="T19" s="13">
        <f t="shared" si="5"/>
        <v>-466.47</v>
      </c>
      <c r="U19" s="14">
        <f t="shared" si="6"/>
        <v>-1825.26</v>
      </c>
      <c r="V19" s="12">
        <f>+I19+K19+M19+P19+R19+U19</f>
        <v>-5.229594535194337E-12</v>
      </c>
    </row>
    <row r="20" spans="1:22" ht="15.75">
      <c r="A20" s="383"/>
      <c r="B20" s="6" t="s">
        <v>162</v>
      </c>
      <c r="C20" s="53"/>
      <c r="D20" s="344"/>
      <c r="E20" s="46"/>
      <c r="F20" s="231"/>
      <c r="G20" s="39"/>
      <c r="H20" s="13">
        <f>+'Total Billings (L.2.1)'!D12</f>
        <v>25758.728145191482</v>
      </c>
      <c r="I20" s="14">
        <f t="shared" si="8"/>
        <v>33199.62210519142</v>
      </c>
      <c r="J20" s="13"/>
      <c r="K20" s="14">
        <f t="shared" si="0"/>
        <v>91160.77270666673</v>
      </c>
      <c r="L20" s="13"/>
      <c r="M20" s="14">
        <f t="shared" si="9"/>
        <v>1825.26</v>
      </c>
      <c r="N20" s="39"/>
      <c r="O20" s="13">
        <f t="shared" si="1"/>
        <v>-25758.728145191482</v>
      </c>
      <c r="P20" s="14">
        <f t="shared" si="2"/>
        <v>-33199.62210519142</v>
      </c>
      <c r="Q20" s="13">
        <f t="shared" si="3"/>
        <v>0</v>
      </c>
      <c r="R20" s="14">
        <f t="shared" si="4"/>
        <v>-91160.77270666673</v>
      </c>
      <c r="S20" s="14">
        <f t="shared" si="10"/>
        <v>-124360.39481185815</v>
      </c>
      <c r="T20" s="13">
        <f t="shared" si="5"/>
        <v>0</v>
      </c>
      <c r="U20" s="14">
        <f t="shared" si="6"/>
        <v>-1825.26</v>
      </c>
      <c r="V20" s="12">
        <f>+I20+K20+M20+P20+R20+U20</f>
        <v>-5.229594535194337E-12</v>
      </c>
    </row>
    <row r="21" spans="1:22" ht="15.75">
      <c r="A21" s="383"/>
      <c r="B21" s="6" t="s">
        <v>94</v>
      </c>
      <c r="C21" s="53"/>
      <c r="D21" s="344"/>
      <c r="E21" s="46"/>
      <c r="F21" s="231"/>
      <c r="G21" s="39"/>
      <c r="H21" s="13"/>
      <c r="I21" s="14">
        <f t="shared" si="8"/>
        <v>33199.62210519142</v>
      </c>
      <c r="J21" s="13">
        <f>-H20</f>
        <v>-25758.728145191482</v>
      </c>
      <c r="K21" s="14">
        <f t="shared" si="0"/>
        <v>65402.044561475246</v>
      </c>
      <c r="L21" s="13"/>
      <c r="M21" s="14">
        <f t="shared" si="9"/>
        <v>1825.26</v>
      </c>
      <c r="N21" s="39"/>
      <c r="O21" s="13">
        <f t="shared" si="1"/>
        <v>0</v>
      </c>
      <c r="P21" s="14">
        <f t="shared" si="2"/>
        <v>-33199.62210519142</v>
      </c>
      <c r="Q21" s="13">
        <f t="shared" si="3"/>
        <v>25758.728145191482</v>
      </c>
      <c r="R21" s="14">
        <f t="shared" si="4"/>
        <v>-65402.044561475246</v>
      </c>
      <c r="S21" s="14">
        <f t="shared" si="10"/>
        <v>-98601.66666666666</v>
      </c>
      <c r="T21" s="13">
        <f t="shared" si="5"/>
        <v>0</v>
      </c>
      <c r="U21" s="14">
        <f t="shared" si="6"/>
        <v>-1825.26</v>
      </c>
      <c r="V21" s="12"/>
    </row>
    <row r="22" spans="1:22" ht="15.75">
      <c r="A22" s="383">
        <v>37407</v>
      </c>
      <c r="B22" s="6" t="s">
        <v>12</v>
      </c>
      <c r="C22" s="53"/>
      <c r="D22" s="344"/>
      <c r="E22" s="46"/>
      <c r="F22" s="231"/>
      <c r="G22" s="39"/>
      <c r="H22" s="13"/>
      <c r="I22" s="14">
        <f t="shared" si="8"/>
        <v>33199.62210519142</v>
      </c>
      <c r="J22" s="13">
        <f>+$M$295</f>
        <v>12878.916666666666</v>
      </c>
      <c r="K22" s="14">
        <f t="shared" si="0"/>
        <v>78280.96122814191</v>
      </c>
      <c r="L22" s="13">
        <f>+ROUND(K21*$F$304*(A22-A19)/365,2)</f>
        <v>402.72</v>
      </c>
      <c r="M22" s="14">
        <f t="shared" si="9"/>
        <v>2227.98</v>
      </c>
      <c r="N22" s="39"/>
      <c r="O22" s="13">
        <f t="shared" si="1"/>
        <v>0</v>
      </c>
      <c r="P22" s="14">
        <f t="shared" si="2"/>
        <v>-33199.62210519142</v>
      </c>
      <c r="Q22" s="13">
        <f t="shared" si="3"/>
        <v>-12878.916666666666</v>
      </c>
      <c r="R22" s="14">
        <f t="shared" si="4"/>
        <v>-78280.96122814191</v>
      </c>
      <c r="S22" s="14">
        <f t="shared" si="10"/>
        <v>-111480.58333333333</v>
      </c>
      <c r="T22" s="13">
        <f t="shared" si="5"/>
        <v>-402.72</v>
      </c>
      <c r="U22" s="14">
        <f t="shared" si="6"/>
        <v>-2227.98</v>
      </c>
      <c r="V22" s="12">
        <f>+I22+K22+M22+P22+R22+U22</f>
        <v>-4.092726157978177E-12</v>
      </c>
    </row>
    <row r="23" spans="1:22" ht="15.75">
      <c r="A23" s="383"/>
      <c r="B23" s="6" t="s">
        <v>162</v>
      </c>
      <c r="C23" s="53"/>
      <c r="D23" s="344"/>
      <c r="E23" s="46"/>
      <c r="F23" s="231"/>
      <c r="G23" s="39"/>
      <c r="H23" s="13">
        <f>+'Total Billings (L.2.1)'!D13</f>
        <v>6301.536723152774</v>
      </c>
      <c r="I23" s="14">
        <f t="shared" si="8"/>
        <v>39501.158828344196</v>
      </c>
      <c r="J23" s="13"/>
      <c r="K23" s="14">
        <f t="shared" si="0"/>
        <v>78280.96122814191</v>
      </c>
      <c r="L23" s="13"/>
      <c r="M23" s="14">
        <f t="shared" si="9"/>
        <v>2227.98</v>
      </c>
      <c r="N23" s="39"/>
      <c r="O23" s="13">
        <f t="shared" si="1"/>
        <v>-6301.536723152774</v>
      </c>
      <c r="P23" s="14">
        <f t="shared" si="2"/>
        <v>-39501.158828344196</v>
      </c>
      <c r="Q23" s="13">
        <f t="shared" si="3"/>
        <v>0</v>
      </c>
      <c r="R23" s="14">
        <f t="shared" si="4"/>
        <v>-78280.96122814191</v>
      </c>
      <c r="S23" s="14">
        <f t="shared" si="10"/>
        <v>-117782.1200564861</v>
      </c>
      <c r="T23" s="13">
        <f t="shared" si="5"/>
        <v>0</v>
      </c>
      <c r="U23" s="14">
        <f t="shared" si="6"/>
        <v>-2227.98</v>
      </c>
      <c r="V23" s="12">
        <f>+I23+K23+M23+P23+R23+U23</f>
        <v>-4.092726157978177E-12</v>
      </c>
    </row>
    <row r="24" spans="1:22" ht="15.75">
      <c r="A24" s="383"/>
      <c r="B24" s="6" t="s">
        <v>94</v>
      </c>
      <c r="C24" s="53"/>
      <c r="D24" s="344"/>
      <c r="E24" s="46"/>
      <c r="F24" s="231"/>
      <c r="G24" s="39"/>
      <c r="H24" s="13"/>
      <c r="I24" s="14">
        <f t="shared" si="8"/>
        <v>39501.158828344196</v>
      </c>
      <c r="J24" s="13">
        <f>-H23</f>
        <v>-6301.536723152774</v>
      </c>
      <c r="K24" s="14">
        <f t="shared" si="0"/>
        <v>71979.42450498913</v>
      </c>
      <c r="L24" s="13"/>
      <c r="M24" s="14">
        <f t="shared" si="9"/>
        <v>2227.98</v>
      </c>
      <c r="N24" s="39"/>
      <c r="O24" s="13">
        <f t="shared" si="1"/>
        <v>0</v>
      </c>
      <c r="P24" s="14">
        <f t="shared" si="2"/>
        <v>-39501.158828344196</v>
      </c>
      <c r="Q24" s="13">
        <f t="shared" si="3"/>
        <v>6301.536723152774</v>
      </c>
      <c r="R24" s="14">
        <f t="shared" si="4"/>
        <v>-71979.42450498913</v>
      </c>
      <c r="S24" s="14">
        <f t="shared" si="10"/>
        <v>-111480.58333333333</v>
      </c>
      <c r="T24" s="13">
        <f t="shared" si="5"/>
        <v>0</v>
      </c>
      <c r="U24" s="14">
        <f t="shared" si="6"/>
        <v>-2227.98</v>
      </c>
      <c r="V24" s="12"/>
    </row>
    <row r="25" spans="1:22" ht="15.75">
      <c r="A25" s="383">
        <v>37437</v>
      </c>
      <c r="B25" s="6" t="s">
        <v>12</v>
      </c>
      <c r="C25" s="53"/>
      <c r="D25" s="344"/>
      <c r="E25" s="46"/>
      <c r="F25" s="231"/>
      <c r="G25" s="39"/>
      <c r="H25" s="13"/>
      <c r="I25" s="14">
        <f t="shared" si="8"/>
        <v>39501.158828344196</v>
      </c>
      <c r="J25" s="13">
        <f>+$M$295</f>
        <v>12878.916666666666</v>
      </c>
      <c r="K25" s="14">
        <f t="shared" si="0"/>
        <v>84858.3411716558</v>
      </c>
      <c r="L25" s="13">
        <f>+ROUND(K24*$F$304*(A25-A22)/365,2)</f>
        <v>428.92</v>
      </c>
      <c r="M25" s="14">
        <f t="shared" si="9"/>
        <v>2656.9</v>
      </c>
      <c r="N25" s="39"/>
      <c r="O25" s="13">
        <f t="shared" si="1"/>
        <v>0</v>
      </c>
      <c r="P25" s="14">
        <f t="shared" si="2"/>
        <v>-39501.158828344196</v>
      </c>
      <c r="Q25" s="13">
        <f t="shared" si="3"/>
        <v>-12878.916666666666</v>
      </c>
      <c r="R25" s="14">
        <f t="shared" si="4"/>
        <v>-84858.3411716558</v>
      </c>
      <c r="S25" s="14">
        <f t="shared" si="10"/>
        <v>-124359.5</v>
      </c>
      <c r="T25" s="13">
        <f t="shared" si="5"/>
        <v>-428.92</v>
      </c>
      <c r="U25" s="14">
        <f t="shared" si="6"/>
        <v>-2656.9</v>
      </c>
      <c r="V25" s="12">
        <f>+I25+K25+M25+P25+R25+U25</f>
        <v>-5.9117155615240335E-12</v>
      </c>
    </row>
    <row r="26" spans="1:22" ht="15.75">
      <c r="A26" s="383"/>
      <c r="B26" s="6" t="s">
        <v>162</v>
      </c>
      <c r="C26" s="53"/>
      <c r="D26" s="344"/>
      <c r="E26" s="46"/>
      <c r="F26" s="231"/>
      <c r="G26" s="39"/>
      <c r="H26" s="13">
        <f>+'Total Billings (L.2.1)'!D14</f>
        <v>5537.44126046396</v>
      </c>
      <c r="I26" s="14">
        <f t="shared" si="8"/>
        <v>45038.600088808154</v>
      </c>
      <c r="J26" s="13"/>
      <c r="K26" s="14">
        <f t="shared" si="0"/>
        <v>84858.3411716558</v>
      </c>
      <c r="L26" s="13"/>
      <c r="M26" s="14">
        <f t="shared" si="9"/>
        <v>2656.9</v>
      </c>
      <c r="N26" s="39"/>
      <c r="O26" s="13">
        <f t="shared" si="1"/>
        <v>-5537.44126046396</v>
      </c>
      <c r="P26" s="14">
        <f t="shared" si="2"/>
        <v>-45038.600088808154</v>
      </c>
      <c r="Q26" s="13">
        <f t="shared" si="3"/>
        <v>0</v>
      </c>
      <c r="R26" s="14">
        <f t="shared" si="4"/>
        <v>-84858.3411716558</v>
      </c>
      <c r="S26" s="14">
        <f t="shared" si="10"/>
        <v>-129896.94126046397</v>
      </c>
      <c r="T26" s="13">
        <f t="shared" si="5"/>
        <v>0</v>
      </c>
      <c r="U26" s="14">
        <f t="shared" si="6"/>
        <v>-2656.9</v>
      </c>
      <c r="V26" s="12">
        <f>+I26+K26+M26+P26+R26+U26</f>
        <v>-5.9117155615240335E-12</v>
      </c>
    </row>
    <row r="27" spans="1:22" ht="15.75">
      <c r="A27" s="383"/>
      <c r="B27" s="6" t="s">
        <v>94</v>
      </c>
      <c r="C27" s="53"/>
      <c r="D27" s="344"/>
      <c r="E27" s="46"/>
      <c r="F27" s="231"/>
      <c r="G27" s="39"/>
      <c r="H27" s="13"/>
      <c r="I27" s="14">
        <f t="shared" si="8"/>
        <v>45038.600088808154</v>
      </c>
      <c r="J27" s="13">
        <f>-H26</f>
        <v>-5537.44126046396</v>
      </c>
      <c r="K27" s="14">
        <f t="shared" si="0"/>
        <v>79320.89991119184</v>
      </c>
      <c r="L27" s="13"/>
      <c r="M27" s="14">
        <f t="shared" si="9"/>
        <v>2656.9</v>
      </c>
      <c r="N27" s="39"/>
      <c r="O27" s="13">
        <f t="shared" si="1"/>
        <v>0</v>
      </c>
      <c r="P27" s="14">
        <f t="shared" si="2"/>
        <v>-45038.600088808154</v>
      </c>
      <c r="Q27" s="13">
        <f t="shared" si="3"/>
        <v>5537.44126046396</v>
      </c>
      <c r="R27" s="14">
        <f t="shared" si="4"/>
        <v>-79320.89991119184</v>
      </c>
      <c r="S27" s="14">
        <f t="shared" si="10"/>
        <v>-124359.5</v>
      </c>
      <c r="T27" s="13">
        <f t="shared" si="5"/>
        <v>0</v>
      </c>
      <c r="U27" s="14">
        <f t="shared" si="6"/>
        <v>-2656.9</v>
      </c>
      <c r="V27" s="12"/>
    </row>
    <row r="28" spans="1:22" ht="15.75">
      <c r="A28" s="386"/>
      <c r="B28" s="363" t="s">
        <v>177</v>
      </c>
      <c r="C28" s="318"/>
      <c r="D28" s="347"/>
      <c r="E28" s="317"/>
      <c r="F28" s="321"/>
      <c r="G28" s="39"/>
      <c r="H28" s="337"/>
      <c r="I28" s="356">
        <f t="shared" si="8"/>
        <v>45038.600088808154</v>
      </c>
      <c r="J28" s="337">
        <v>-2326</v>
      </c>
      <c r="K28" s="356">
        <f t="shared" si="0"/>
        <v>76994.89991119184</v>
      </c>
      <c r="L28" s="319"/>
      <c r="M28" s="320">
        <f t="shared" si="9"/>
        <v>2656.9</v>
      </c>
      <c r="N28" s="39"/>
      <c r="O28" s="319">
        <f t="shared" si="1"/>
        <v>0</v>
      </c>
      <c r="P28" s="320">
        <f t="shared" si="2"/>
        <v>-45038.600088808154</v>
      </c>
      <c r="Q28" s="319">
        <f t="shared" si="3"/>
        <v>2326</v>
      </c>
      <c r="R28" s="320">
        <f t="shared" si="4"/>
        <v>-76994.89991119184</v>
      </c>
      <c r="S28" s="320">
        <f t="shared" si="10"/>
        <v>-122033.5</v>
      </c>
      <c r="T28" s="319">
        <f t="shared" si="5"/>
        <v>0</v>
      </c>
      <c r="U28" s="320">
        <f t="shared" si="6"/>
        <v>-2656.9</v>
      </c>
      <c r="V28" s="12"/>
    </row>
    <row r="29" spans="1:22" ht="15.75">
      <c r="A29" s="383">
        <v>37468</v>
      </c>
      <c r="B29" s="6" t="s">
        <v>12</v>
      </c>
      <c r="C29" s="53"/>
      <c r="D29" s="344"/>
      <c r="E29" s="46"/>
      <c r="F29" s="231"/>
      <c r="G29" s="39"/>
      <c r="H29" s="13"/>
      <c r="I29" s="14">
        <f t="shared" si="8"/>
        <v>45038.600088808154</v>
      </c>
      <c r="J29" s="13">
        <f>+$M$295</f>
        <v>12878.916666666666</v>
      </c>
      <c r="K29" s="14">
        <f t="shared" si="0"/>
        <v>89873.81657785851</v>
      </c>
      <c r="L29" s="13">
        <f>+ROUND(K28*$F$304*(A29-A25)/365,2)</f>
        <v>474.1</v>
      </c>
      <c r="M29" s="14">
        <f t="shared" si="9"/>
        <v>3131</v>
      </c>
      <c r="N29" s="39"/>
      <c r="O29" s="13">
        <f t="shared" si="1"/>
        <v>0</v>
      </c>
      <c r="P29" s="14">
        <f t="shared" si="2"/>
        <v>-45038.600088808154</v>
      </c>
      <c r="Q29" s="13">
        <f t="shared" si="3"/>
        <v>-12878.916666666666</v>
      </c>
      <c r="R29" s="14">
        <f t="shared" si="4"/>
        <v>-89873.81657785851</v>
      </c>
      <c r="S29" s="14">
        <f t="shared" si="10"/>
        <v>-134912.41666666666</v>
      </c>
      <c r="T29" s="13">
        <f t="shared" si="5"/>
        <v>-474.1</v>
      </c>
      <c r="U29" s="14">
        <f t="shared" si="6"/>
        <v>-3131</v>
      </c>
      <c r="V29" s="12">
        <f>+I29+K29+M29+P29+R29+U29</f>
        <v>-1.4551915228366852E-11</v>
      </c>
    </row>
    <row r="30" spans="1:22" ht="15.75">
      <c r="A30" s="383"/>
      <c r="B30" s="6" t="s">
        <v>162</v>
      </c>
      <c r="C30" s="53"/>
      <c r="D30" s="344"/>
      <c r="E30" s="46"/>
      <c r="F30" s="231"/>
      <c r="G30" s="39"/>
      <c r="H30" s="13">
        <f>+'Total Billings (L.2.1)'!D15</f>
        <v>23374.551232487473</v>
      </c>
      <c r="I30" s="14">
        <f t="shared" si="8"/>
        <v>68413.15132129562</v>
      </c>
      <c r="J30" s="13"/>
      <c r="K30" s="14">
        <f t="shared" si="0"/>
        <v>89873.81657785851</v>
      </c>
      <c r="L30" s="13"/>
      <c r="M30" s="14">
        <f t="shared" si="9"/>
        <v>3131</v>
      </c>
      <c r="N30" s="39"/>
      <c r="O30" s="13">
        <f t="shared" si="1"/>
        <v>-23374.551232487473</v>
      </c>
      <c r="P30" s="14">
        <f t="shared" si="2"/>
        <v>-68413.15132129562</v>
      </c>
      <c r="Q30" s="13">
        <f t="shared" si="3"/>
        <v>0</v>
      </c>
      <c r="R30" s="14">
        <f t="shared" si="4"/>
        <v>-89873.81657785851</v>
      </c>
      <c r="S30" s="14">
        <f t="shared" si="10"/>
        <v>-158286.96789915412</v>
      </c>
      <c r="T30" s="13">
        <f t="shared" si="5"/>
        <v>0</v>
      </c>
      <c r="U30" s="14">
        <f t="shared" si="6"/>
        <v>-3131</v>
      </c>
      <c r="V30" s="12">
        <f>+I30+K30+M30+P30+R30+U30</f>
        <v>-1.4551915228366852E-11</v>
      </c>
    </row>
    <row r="31" spans="1:22" ht="15.75">
      <c r="A31" s="383"/>
      <c r="B31" s="6" t="s">
        <v>94</v>
      </c>
      <c r="C31" s="53"/>
      <c r="D31" s="344"/>
      <c r="E31" s="46"/>
      <c r="F31" s="231"/>
      <c r="G31" s="39"/>
      <c r="H31" s="13"/>
      <c r="I31" s="14">
        <f t="shared" si="8"/>
        <v>68413.15132129562</v>
      </c>
      <c r="J31" s="13">
        <f>-H30</f>
        <v>-23374.551232487473</v>
      </c>
      <c r="K31" s="14">
        <f t="shared" si="0"/>
        <v>66499.26534537104</v>
      </c>
      <c r="L31" s="13"/>
      <c r="M31" s="14">
        <f t="shared" si="9"/>
        <v>3131</v>
      </c>
      <c r="N31" s="39"/>
      <c r="O31" s="13">
        <f t="shared" si="1"/>
        <v>0</v>
      </c>
      <c r="P31" s="14">
        <f t="shared" si="2"/>
        <v>-68413.15132129562</v>
      </c>
      <c r="Q31" s="13">
        <f t="shared" si="3"/>
        <v>23374.551232487473</v>
      </c>
      <c r="R31" s="14">
        <f t="shared" si="4"/>
        <v>-66499.26534537104</v>
      </c>
      <c r="S31" s="14">
        <f t="shared" si="10"/>
        <v>-134912.41666666666</v>
      </c>
      <c r="T31" s="13">
        <f t="shared" si="5"/>
        <v>0</v>
      </c>
      <c r="U31" s="14">
        <f t="shared" si="6"/>
        <v>-3131</v>
      </c>
      <c r="V31" s="12"/>
    </row>
    <row r="32" spans="1:22" ht="15.75">
      <c r="A32" s="383">
        <v>37499</v>
      </c>
      <c r="B32" s="6" t="s">
        <v>12</v>
      </c>
      <c r="C32" s="53"/>
      <c r="D32" s="344"/>
      <c r="E32" s="46"/>
      <c r="F32" s="231"/>
      <c r="G32" s="39"/>
      <c r="H32" s="13"/>
      <c r="I32" s="14">
        <f t="shared" si="8"/>
        <v>68413.15132129562</v>
      </c>
      <c r="J32" s="13">
        <f>+$M$295</f>
        <v>12878.916666666666</v>
      </c>
      <c r="K32" s="14">
        <f t="shared" si="0"/>
        <v>79378.18201203771</v>
      </c>
      <c r="L32" s="13">
        <f>+ROUND(K31*$F$304*(A32-A29)/365,2)</f>
        <v>409.47</v>
      </c>
      <c r="M32" s="14">
        <f t="shared" si="9"/>
        <v>3540.4700000000003</v>
      </c>
      <c r="N32" s="39"/>
      <c r="O32" s="13">
        <f t="shared" si="1"/>
        <v>0</v>
      </c>
      <c r="P32" s="14">
        <f t="shared" si="2"/>
        <v>-68413.15132129562</v>
      </c>
      <c r="Q32" s="13">
        <f t="shared" si="3"/>
        <v>-12878.916666666666</v>
      </c>
      <c r="R32" s="14">
        <f t="shared" si="4"/>
        <v>-79378.18201203771</v>
      </c>
      <c r="S32" s="14">
        <f t="shared" si="10"/>
        <v>-147791.3333333333</v>
      </c>
      <c r="T32" s="13">
        <f t="shared" si="5"/>
        <v>-409.47</v>
      </c>
      <c r="U32" s="14">
        <f t="shared" si="6"/>
        <v>-3540.4700000000003</v>
      </c>
      <c r="V32" s="12">
        <f>+I32+K32+M32+P32+R32+U32</f>
        <v>-1.3642420526593924E-11</v>
      </c>
    </row>
    <row r="33" spans="1:22" ht="15.75">
      <c r="A33" s="383"/>
      <c r="B33" s="6" t="s">
        <v>162</v>
      </c>
      <c r="C33" s="53"/>
      <c r="D33" s="344"/>
      <c r="E33" s="46"/>
      <c r="F33" s="231"/>
      <c r="G33" s="39"/>
      <c r="H33" s="13">
        <f>+'Total Billings (L.2.1)'!D16</f>
        <v>16662.288061613534</v>
      </c>
      <c r="I33" s="14">
        <f t="shared" si="8"/>
        <v>85075.43938290916</v>
      </c>
      <c r="J33" s="13"/>
      <c r="K33" s="14">
        <f t="shared" si="0"/>
        <v>79378.18201203771</v>
      </c>
      <c r="L33" s="13"/>
      <c r="M33" s="14">
        <f t="shared" si="9"/>
        <v>3540.4700000000003</v>
      </c>
      <c r="N33" s="39"/>
      <c r="O33" s="13">
        <f t="shared" si="1"/>
        <v>-16662.288061613534</v>
      </c>
      <c r="P33" s="14">
        <f t="shared" si="2"/>
        <v>-85075.43938290916</v>
      </c>
      <c r="Q33" s="13">
        <f t="shared" si="3"/>
        <v>0</v>
      </c>
      <c r="R33" s="14">
        <f t="shared" si="4"/>
        <v>-79378.18201203771</v>
      </c>
      <c r="S33" s="14">
        <f t="shared" si="10"/>
        <v>-164453.62139494688</v>
      </c>
      <c r="T33" s="13">
        <f t="shared" si="5"/>
        <v>0</v>
      </c>
      <c r="U33" s="14">
        <f t="shared" si="6"/>
        <v>-3540.4700000000003</v>
      </c>
      <c r="V33" s="12">
        <f>+I33+K33+M33+P33+R33+U33</f>
        <v>1.546140993013978E-11</v>
      </c>
    </row>
    <row r="34" spans="1:22" ht="15.75">
      <c r="A34" s="383"/>
      <c r="B34" s="6" t="s">
        <v>94</v>
      </c>
      <c r="C34" s="53"/>
      <c r="D34" s="344"/>
      <c r="E34" s="46"/>
      <c r="F34" s="231"/>
      <c r="G34" s="39"/>
      <c r="H34" s="13"/>
      <c r="I34" s="14">
        <f t="shared" si="8"/>
        <v>85075.43938290916</v>
      </c>
      <c r="J34" s="13">
        <f>-H33</f>
        <v>-16662.288061613534</v>
      </c>
      <c r="K34" s="14">
        <f t="shared" si="0"/>
        <v>62715.89395042417</v>
      </c>
      <c r="L34" s="13"/>
      <c r="M34" s="14">
        <f t="shared" si="9"/>
        <v>3540.4700000000003</v>
      </c>
      <c r="N34" s="39"/>
      <c r="O34" s="13">
        <f t="shared" si="1"/>
        <v>0</v>
      </c>
      <c r="P34" s="14">
        <f t="shared" si="2"/>
        <v>-85075.43938290916</v>
      </c>
      <c r="Q34" s="13">
        <f t="shared" si="3"/>
        <v>16662.288061613534</v>
      </c>
      <c r="R34" s="14">
        <f t="shared" si="4"/>
        <v>-62715.89395042417</v>
      </c>
      <c r="S34" s="14">
        <f t="shared" si="10"/>
        <v>-147791.3333333333</v>
      </c>
      <c r="T34" s="13">
        <f t="shared" si="5"/>
        <v>0</v>
      </c>
      <c r="U34" s="14">
        <f t="shared" si="6"/>
        <v>-3540.4700000000003</v>
      </c>
      <c r="V34" s="12"/>
    </row>
    <row r="35" spans="1:22" ht="15.75">
      <c r="A35" s="383">
        <v>37529</v>
      </c>
      <c r="B35" s="6" t="s">
        <v>12</v>
      </c>
      <c r="C35" s="53"/>
      <c r="D35" s="344"/>
      <c r="E35" s="46"/>
      <c r="F35" s="231"/>
      <c r="G35" s="39"/>
      <c r="H35" s="13"/>
      <c r="I35" s="14">
        <f t="shared" si="8"/>
        <v>85075.43938290916</v>
      </c>
      <c r="J35" s="13">
        <f>+$M$295</f>
        <v>12878.916666666666</v>
      </c>
      <c r="K35" s="14">
        <f t="shared" si="0"/>
        <v>75594.81061709084</v>
      </c>
      <c r="L35" s="13">
        <f>+ROUND(K34*$F$304*(A35-A32)/365,2)</f>
        <v>373.72</v>
      </c>
      <c r="M35" s="14">
        <f t="shared" si="9"/>
        <v>3914.1900000000005</v>
      </c>
      <c r="N35" s="39"/>
      <c r="O35" s="13">
        <f t="shared" si="1"/>
        <v>0</v>
      </c>
      <c r="P35" s="14">
        <f t="shared" si="2"/>
        <v>-85075.43938290916</v>
      </c>
      <c r="Q35" s="13">
        <f t="shared" si="3"/>
        <v>-12878.916666666666</v>
      </c>
      <c r="R35" s="14">
        <f t="shared" si="4"/>
        <v>-75594.81061709084</v>
      </c>
      <c r="S35" s="14">
        <f t="shared" si="10"/>
        <v>-160670.25</v>
      </c>
      <c r="T35" s="13">
        <f t="shared" si="5"/>
        <v>-373.72</v>
      </c>
      <c r="U35" s="14">
        <f t="shared" si="6"/>
        <v>-3914.1900000000005</v>
      </c>
      <c r="V35" s="12">
        <f>+I35+K35+M35+P35+R35+U35</f>
        <v>0</v>
      </c>
    </row>
    <row r="36" spans="1:22" ht="15.75">
      <c r="A36" s="383"/>
      <c r="B36" s="6" t="s">
        <v>162</v>
      </c>
      <c r="C36" s="53"/>
      <c r="D36" s="344"/>
      <c r="E36" s="46"/>
      <c r="F36" s="231"/>
      <c r="G36" s="39"/>
      <c r="H36" s="13">
        <f>+'Total Billings (L.2.1)'!D17</f>
        <v>15739.370618188499</v>
      </c>
      <c r="I36" s="14">
        <f t="shared" si="8"/>
        <v>100814.81000109765</v>
      </c>
      <c r="J36" s="13"/>
      <c r="K36" s="14">
        <f t="shared" si="0"/>
        <v>75594.81061709084</v>
      </c>
      <c r="L36" s="13"/>
      <c r="M36" s="14">
        <f t="shared" si="9"/>
        <v>3914.1900000000005</v>
      </c>
      <c r="N36" s="39"/>
      <c r="O36" s="13">
        <f t="shared" si="1"/>
        <v>-15739.370618188499</v>
      </c>
      <c r="P36" s="14">
        <f t="shared" si="2"/>
        <v>-100814.81000109765</v>
      </c>
      <c r="Q36" s="13">
        <f t="shared" si="3"/>
        <v>0</v>
      </c>
      <c r="R36" s="14">
        <f t="shared" si="4"/>
        <v>-75594.81061709084</v>
      </c>
      <c r="S36" s="14">
        <f t="shared" si="10"/>
        <v>-176409.6206181885</v>
      </c>
      <c r="T36" s="13">
        <f t="shared" si="5"/>
        <v>0</v>
      </c>
      <c r="U36" s="14">
        <f t="shared" si="6"/>
        <v>-3914.1900000000005</v>
      </c>
      <c r="V36" s="12">
        <f>+I36+K36+M36+P36+R36+U36</f>
        <v>0</v>
      </c>
    </row>
    <row r="37" spans="1:22" ht="15.75">
      <c r="A37" s="386"/>
      <c r="B37" s="316" t="s">
        <v>94</v>
      </c>
      <c r="C37" s="318"/>
      <c r="D37" s="347"/>
      <c r="E37" s="317"/>
      <c r="F37" s="321"/>
      <c r="G37" s="39"/>
      <c r="H37" s="319"/>
      <c r="I37" s="320">
        <f t="shared" si="8"/>
        <v>100814.81000109765</v>
      </c>
      <c r="J37" s="319">
        <f>-H36</f>
        <v>-15739.370618188499</v>
      </c>
      <c r="K37" s="320">
        <f t="shared" si="0"/>
        <v>59855.439998902344</v>
      </c>
      <c r="L37" s="319"/>
      <c r="M37" s="320">
        <f t="shared" si="9"/>
        <v>3914.1900000000005</v>
      </c>
      <c r="N37" s="39"/>
      <c r="O37" s="319">
        <f t="shared" si="1"/>
        <v>0</v>
      </c>
      <c r="P37" s="320">
        <f t="shared" si="2"/>
        <v>-100814.81000109765</v>
      </c>
      <c r="Q37" s="319">
        <f t="shared" si="3"/>
        <v>15739.370618188499</v>
      </c>
      <c r="R37" s="320">
        <f t="shared" si="4"/>
        <v>-59855.439998902344</v>
      </c>
      <c r="S37" s="320">
        <f t="shared" si="10"/>
        <v>-160670.25</v>
      </c>
      <c r="T37" s="319">
        <f t="shared" si="5"/>
        <v>0</v>
      </c>
      <c r="U37" s="320">
        <f t="shared" si="6"/>
        <v>-3914.1900000000005</v>
      </c>
      <c r="V37" s="12"/>
    </row>
    <row r="38" spans="1:22" ht="15.75">
      <c r="A38" s="383">
        <v>37560</v>
      </c>
      <c r="B38" s="6" t="s">
        <v>12</v>
      </c>
      <c r="C38" s="53"/>
      <c r="D38" s="344"/>
      <c r="E38" s="46"/>
      <c r="F38" s="231"/>
      <c r="G38" s="39"/>
      <c r="H38" s="13"/>
      <c r="I38" s="14">
        <f t="shared" si="8"/>
        <v>100814.81000109765</v>
      </c>
      <c r="J38" s="13">
        <f>+$M$295</f>
        <v>12878.916666666666</v>
      </c>
      <c r="K38" s="14">
        <f t="shared" si="0"/>
        <v>72734.35666556901</v>
      </c>
      <c r="L38" s="13">
        <f>+ROUND(K37*$F$304*(A38-A35)/365,2)</f>
        <v>368.56</v>
      </c>
      <c r="M38" s="14">
        <f t="shared" si="9"/>
        <v>4282.750000000001</v>
      </c>
      <c r="N38" s="39"/>
      <c r="O38" s="13">
        <f t="shared" si="1"/>
        <v>0</v>
      </c>
      <c r="P38" s="14">
        <f t="shared" si="2"/>
        <v>-100814.81000109765</v>
      </c>
      <c r="Q38" s="13">
        <f t="shared" si="3"/>
        <v>-12878.916666666666</v>
      </c>
      <c r="R38" s="14">
        <f t="shared" si="4"/>
        <v>-72734.35666556901</v>
      </c>
      <c r="S38" s="14">
        <f t="shared" si="10"/>
        <v>-173549.16666666666</v>
      </c>
      <c r="T38" s="13">
        <f t="shared" si="5"/>
        <v>-368.56</v>
      </c>
      <c r="U38" s="14">
        <f t="shared" si="6"/>
        <v>-4282.750000000001</v>
      </c>
      <c r="V38" s="12">
        <f>+I38+K38+M38+P38+R38+U38</f>
        <v>0</v>
      </c>
    </row>
    <row r="39" spans="1:22" ht="15.75">
      <c r="A39" s="383"/>
      <c r="B39" s="6" t="s">
        <v>162</v>
      </c>
      <c r="C39" s="53"/>
      <c r="D39" s="344"/>
      <c r="E39" s="46"/>
      <c r="F39" s="231"/>
      <c r="G39" s="39"/>
      <c r="H39" s="13">
        <f>+'Total Billings (L.2.1)'!D18</f>
        <v>16270.153018260316</v>
      </c>
      <c r="I39" s="14">
        <f t="shared" si="8"/>
        <v>117084.96301935797</v>
      </c>
      <c r="J39" s="13"/>
      <c r="K39" s="14">
        <f t="shared" si="0"/>
        <v>72734.35666556901</v>
      </c>
      <c r="L39" s="13"/>
      <c r="M39" s="14">
        <f t="shared" si="9"/>
        <v>4282.750000000001</v>
      </c>
      <c r="N39" s="39"/>
      <c r="O39" s="13">
        <f t="shared" si="1"/>
        <v>-16270.153018260316</v>
      </c>
      <c r="P39" s="14">
        <f t="shared" si="2"/>
        <v>-117084.96301935797</v>
      </c>
      <c r="Q39" s="13">
        <f t="shared" si="3"/>
        <v>0</v>
      </c>
      <c r="R39" s="14">
        <f t="shared" si="4"/>
        <v>-72734.35666556901</v>
      </c>
      <c r="S39" s="14">
        <f t="shared" si="10"/>
        <v>-189819.31968492697</v>
      </c>
      <c r="T39" s="13">
        <f t="shared" si="5"/>
        <v>0</v>
      </c>
      <c r="U39" s="14">
        <f t="shared" si="6"/>
        <v>-4282.750000000001</v>
      </c>
      <c r="V39" s="12">
        <f>+I39+K39+M39+P39+R39+U39</f>
        <v>0</v>
      </c>
    </row>
    <row r="40" spans="1:22" ht="15.75">
      <c r="A40" s="383"/>
      <c r="B40" s="6" t="s">
        <v>94</v>
      </c>
      <c r="C40" s="53"/>
      <c r="D40" s="344"/>
      <c r="E40" s="46"/>
      <c r="F40" s="231"/>
      <c r="G40" s="39"/>
      <c r="H40" s="13"/>
      <c r="I40" s="14">
        <f t="shared" si="8"/>
        <v>117084.96301935797</v>
      </c>
      <c r="J40" s="13">
        <f>-H39</f>
        <v>-16270.153018260316</v>
      </c>
      <c r="K40" s="14">
        <f t="shared" si="0"/>
        <v>56464.20364730869</v>
      </c>
      <c r="L40" s="13"/>
      <c r="M40" s="14">
        <f t="shared" si="9"/>
        <v>4282.750000000001</v>
      </c>
      <c r="N40" s="39"/>
      <c r="O40" s="13">
        <f t="shared" si="1"/>
        <v>0</v>
      </c>
      <c r="P40" s="14">
        <f t="shared" si="2"/>
        <v>-117084.96301935797</v>
      </c>
      <c r="Q40" s="13">
        <f t="shared" si="3"/>
        <v>16270.153018260316</v>
      </c>
      <c r="R40" s="14">
        <f t="shared" si="4"/>
        <v>-56464.20364730869</v>
      </c>
      <c r="S40" s="14">
        <f t="shared" si="10"/>
        <v>-173549.16666666666</v>
      </c>
      <c r="T40" s="13">
        <f t="shared" si="5"/>
        <v>0</v>
      </c>
      <c r="U40" s="14">
        <f t="shared" si="6"/>
        <v>-4282.750000000001</v>
      </c>
      <c r="V40" s="12"/>
    </row>
    <row r="41" spans="1:22" ht="15.75">
      <c r="A41" s="383">
        <v>37590</v>
      </c>
      <c r="B41" s="6" t="s">
        <v>12</v>
      </c>
      <c r="C41" s="53"/>
      <c r="D41" s="344"/>
      <c r="E41" s="46"/>
      <c r="F41" s="231"/>
      <c r="G41" s="39"/>
      <c r="H41" s="13"/>
      <c r="I41" s="14">
        <f t="shared" si="8"/>
        <v>117084.96301935797</v>
      </c>
      <c r="J41" s="13">
        <f>+$M$295</f>
        <v>12878.916666666666</v>
      </c>
      <c r="K41" s="14">
        <f t="shared" si="0"/>
        <v>69343.12031397536</v>
      </c>
      <c r="L41" s="13">
        <f>+ROUND(K40*$F$304*(A41-A38)/365,2)</f>
        <v>336.46</v>
      </c>
      <c r="M41" s="14">
        <f t="shared" si="9"/>
        <v>4619.210000000001</v>
      </c>
      <c r="N41" s="39"/>
      <c r="O41" s="13">
        <f t="shared" si="1"/>
        <v>0</v>
      </c>
      <c r="P41" s="14">
        <f t="shared" si="2"/>
        <v>-117084.96301935797</v>
      </c>
      <c r="Q41" s="13">
        <f t="shared" si="3"/>
        <v>-12878.916666666666</v>
      </c>
      <c r="R41" s="14">
        <f t="shared" si="4"/>
        <v>-69343.12031397536</v>
      </c>
      <c r="S41" s="14">
        <f t="shared" si="10"/>
        <v>-186428.0833333333</v>
      </c>
      <c r="T41" s="13">
        <f t="shared" si="5"/>
        <v>-336.46</v>
      </c>
      <c r="U41" s="14">
        <f t="shared" si="6"/>
        <v>-4619.210000000001</v>
      </c>
      <c r="V41" s="12">
        <f>+I41+K41+M41+P41+R41+U41</f>
        <v>-2.3646862246096134E-11</v>
      </c>
    </row>
    <row r="42" spans="1:22" ht="15.75">
      <c r="A42" s="383"/>
      <c r="B42" s="6" t="s">
        <v>162</v>
      </c>
      <c r="C42" s="53"/>
      <c r="D42" s="344"/>
      <c r="E42" s="46"/>
      <c r="F42" s="231"/>
      <c r="G42" s="39"/>
      <c r="H42" s="13">
        <f>+'Total Billings (L.2.1)'!D19</f>
        <v>16184.205987168147</v>
      </c>
      <c r="I42" s="14">
        <f t="shared" si="8"/>
        <v>133269.16900652612</v>
      </c>
      <c r="J42" s="13"/>
      <c r="K42" s="14">
        <f t="shared" si="0"/>
        <v>69343.12031397536</v>
      </c>
      <c r="L42" s="13"/>
      <c r="M42" s="14">
        <f t="shared" si="9"/>
        <v>4619.210000000001</v>
      </c>
      <c r="N42" s="39"/>
      <c r="O42" s="13">
        <f t="shared" si="1"/>
        <v>-16184.205987168147</v>
      </c>
      <c r="P42" s="14">
        <f t="shared" si="2"/>
        <v>-133269.16900652612</v>
      </c>
      <c r="Q42" s="13">
        <f t="shared" si="3"/>
        <v>0</v>
      </c>
      <c r="R42" s="14">
        <f t="shared" si="4"/>
        <v>-69343.12031397536</v>
      </c>
      <c r="S42" s="14">
        <f t="shared" si="10"/>
        <v>-202612.2893205015</v>
      </c>
      <c r="T42" s="13">
        <f t="shared" si="5"/>
        <v>0</v>
      </c>
      <c r="U42" s="14">
        <f t="shared" si="6"/>
        <v>-4619.210000000001</v>
      </c>
      <c r="V42" s="12">
        <f>+I42+K42+M42+P42+R42+U42</f>
        <v>0</v>
      </c>
    </row>
    <row r="43" spans="1:22" ht="15.75">
      <c r="A43" s="383"/>
      <c r="B43" s="6" t="s">
        <v>94</v>
      </c>
      <c r="C43" s="53"/>
      <c r="D43" s="344"/>
      <c r="E43" s="46"/>
      <c r="F43" s="231"/>
      <c r="G43" s="39"/>
      <c r="H43" s="13"/>
      <c r="I43" s="14">
        <f t="shared" si="8"/>
        <v>133269.16900652612</v>
      </c>
      <c r="J43" s="13">
        <f>-H42</f>
        <v>-16184.205987168147</v>
      </c>
      <c r="K43" s="14">
        <f t="shared" si="0"/>
        <v>53158.914326807215</v>
      </c>
      <c r="L43" s="13"/>
      <c r="M43" s="14">
        <f t="shared" si="9"/>
        <v>4619.210000000001</v>
      </c>
      <c r="N43" s="39"/>
      <c r="O43" s="13">
        <f t="shared" si="1"/>
        <v>0</v>
      </c>
      <c r="P43" s="14">
        <f t="shared" si="2"/>
        <v>-133269.16900652612</v>
      </c>
      <c r="Q43" s="13">
        <f t="shared" si="3"/>
        <v>16184.205987168147</v>
      </c>
      <c r="R43" s="14">
        <f t="shared" si="4"/>
        <v>-53158.914326807215</v>
      </c>
      <c r="S43" s="14">
        <f t="shared" si="10"/>
        <v>-186428.08333333334</v>
      </c>
      <c r="T43" s="13">
        <f t="shared" si="5"/>
        <v>0</v>
      </c>
      <c r="U43" s="14">
        <f t="shared" si="6"/>
        <v>-4619.210000000001</v>
      </c>
      <c r="V43" s="12"/>
    </row>
    <row r="44" spans="1:22" ht="15.75">
      <c r="A44" s="383">
        <v>37621</v>
      </c>
      <c r="B44" s="6" t="s">
        <v>12</v>
      </c>
      <c r="C44" s="53"/>
      <c r="D44" s="344"/>
      <c r="E44" s="46"/>
      <c r="F44" s="231"/>
      <c r="G44" s="39"/>
      <c r="H44" s="13"/>
      <c r="I44" s="14">
        <f t="shared" si="8"/>
        <v>133269.16900652612</v>
      </c>
      <c r="J44" s="13">
        <f>+$M$295</f>
        <v>12878.916666666666</v>
      </c>
      <c r="K44" s="14">
        <f t="shared" si="0"/>
        <v>66037.83099347388</v>
      </c>
      <c r="L44" s="13">
        <f>+ROUND(K43*$F$304*(A44-A41)/365,2)</f>
        <v>327.33</v>
      </c>
      <c r="M44" s="14">
        <f t="shared" si="9"/>
        <v>4946.540000000001</v>
      </c>
      <c r="N44" s="39"/>
      <c r="O44" s="13">
        <f t="shared" si="1"/>
        <v>0</v>
      </c>
      <c r="P44" s="14">
        <f t="shared" si="2"/>
        <v>-133269.16900652612</v>
      </c>
      <c r="Q44" s="13">
        <f t="shared" si="3"/>
        <v>-12878.916666666666</v>
      </c>
      <c r="R44" s="14">
        <f t="shared" si="4"/>
        <v>-66037.83099347388</v>
      </c>
      <c r="S44" s="14">
        <f t="shared" si="10"/>
        <v>-199307</v>
      </c>
      <c r="T44" s="13">
        <f t="shared" si="5"/>
        <v>-327.33</v>
      </c>
      <c r="U44" s="14">
        <f t="shared" si="6"/>
        <v>-4946.540000000001</v>
      </c>
      <c r="V44" s="12">
        <f>+I44+K44+M44+P44+R44+U44</f>
        <v>7.275957614183426E-12</v>
      </c>
    </row>
    <row r="45" spans="1:22" ht="15.75">
      <c r="A45" s="383"/>
      <c r="B45" s="6" t="s">
        <v>162</v>
      </c>
      <c r="C45" s="53"/>
      <c r="D45" s="344"/>
      <c r="E45" s="46"/>
      <c r="F45" s="231"/>
      <c r="G45" s="39"/>
      <c r="H45" s="13">
        <f>+'Total Billings (L.2.1)'!D20</f>
        <v>16816.302811191796</v>
      </c>
      <c r="I45" s="14">
        <f t="shared" si="8"/>
        <v>150085.47181771792</v>
      </c>
      <c r="J45" s="13"/>
      <c r="K45" s="14">
        <f t="shared" si="0"/>
        <v>66037.83099347388</v>
      </c>
      <c r="L45" s="13"/>
      <c r="M45" s="14">
        <f t="shared" si="9"/>
        <v>4946.540000000001</v>
      </c>
      <c r="N45" s="39"/>
      <c r="O45" s="13">
        <f t="shared" si="1"/>
        <v>-16816.302811191796</v>
      </c>
      <c r="P45" s="14">
        <f t="shared" si="2"/>
        <v>-150085.47181771792</v>
      </c>
      <c r="Q45" s="13">
        <f t="shared" si="3"/>
        <v>0</v>
      </c>
      <c r="R45" s="14">
        <f t="shared" si="4"/>
        <v>-66037.83099347388</v>
      </c>
      <c r="S45" s="14">
        <f t="shared" si="10"/>
        <v>-216123.3028111918</v>
      </c>
      <c r="T45" s="13">
        <f t="shared" si="5"/>
        <v>0</v>
      </c>
      <c r="U45" s="14">
        <f t="shared" si="6"/>
        <v>-4946.540000000001</v>
      </c>
      <c r="V45" s="12">
        <f>+I45+K45+M45+P45+R45+U45</f>
        <v>7.275957614183426E-12</v>
      </c>
    </row>
    <row r="46" spans="1:22" ht="15.75">
      <c r="A46" s="383"/>
      <c r="B46" s="6" t="s">
        <v>94</v>
      </c>
      <c r="C46" s="53"/>
      <c r="D46" s="344"/>
      <c r="E46" s="46"/>
      <c r="F46" s="231"/>
      <c r="G46" s="39"/>
      <c r="H46" s="13"/>
      <c r="I46" s="14">
        <f t="shared" si="8"/>
        <v>150085.47181771792</v>
      </c>
      <c r="J46" s="13">
        <f>-H45</f>
        <v>-16816.302811191796</v>
      </c>
      <c r="K46" s="14">
        <f t="shared" si="0"/>
        <v>49221.52818228208</v>
      </c>
      <c r="L46" s="13"/>
      <c r="M46" s="14">
        <f t="shared" si="9"/>
        <v>4946.540000000001</v>
      </c>
      <c r="N46" s="39"/>
      <c r="O46" s="13">
        <f t="shared" si="1"/>
        <v>0</v>
      </c>
      <c r="P46" s="14">
        <f t="shared" si="2"/>
        <v>-150085.47181771792</v>
      </c>
      <c r="Q46" s="13">
        <f t="shared" si="3"/>
        <v>16816.302811191796</v>
      </c>
      <c r="R46" s="14">
        <f t="shared" si="4"/>
        <v>-49221.52818228208</v>
      </c>
      <c r="S46" s="14">
        <f t="shared" si="10"/>
        <v>-199307</v>
      </c>
      <c r="T46" s="13">
        <f t="shared" si="5"/>
        <v>0</v>
      </c>
      <c r="U46" s="14">
        <f t="shared" si="6"/>
        <v>-4946.540000000001</v>
      </c>
      <c r="V46" s="12">
        <f>+I46+K46+M46+P46+R46+U46</f>
        <v>7.275957614183426E-12</v>
      </c>
    </row>
    <row r="47" spans="1:22" ht="15.75">
      <c r="A47" s="383"/>
      <c r="B47" s="6" t="s">
        <v>141</v>
      </c>
      <c r="C47" s="53"/>
      <c r="D47" s="344"/>
      <c r="E47" s="46"/>
      <c r="F47" s="231"/>
      <c r="G47" s="39"/>
      <c r="H47" s="13">
        <f>+'Total Billings (L.2.1)'!D21</f>
        <v>22892.70756853043</v>
      </c>
      <c r="I47" s="14">
        <f t="shared" si="8"/>
        <v>172978.17938624835</v>
      </c>
      <c r="J47" s="13"/>
      <c r="K47" s="14">
        <f t="shared" si="0"/>
        <v>49221.52818228208</v>
      </c>
      <c r="L47" s="13"/>
      <c r="M47" s="14">
        <f t="shared" si="9"/>
        <v>4946.540000000001</v>
      </c>
      <c r="N47" s="39"/>
      <c r="O47" s="13">
        <f t="shared" si="1"/>
        <v>-22892.70756853043</v>
      </c>
      <c r="P47" s="14">
        <f t="shared" si="2"/>
        <v>-172978.17938624835</v>
      </c>
      <c r="Q47" s="13">
        <f t="shared" si="3"/>
        <v>0</v>
      </c>
      <c r="R47" s="14">
        <f t="shared" si="4"/>
        <v>-49221.52818228208</v>
      </c>
      <c r="S47" s="14">
        <f t="shared" si="10"/>
        <v>-222199.70756853043</v>
      </c>
      <c r="T47" s="13">
        <f t="shared" si="5"/>
        <v>0</v>
      </c>
      <c r="U47" s="14">
        <f t="shared" si="6"/>
        <v>-4946.540000000001</v>
      </c>
      <c r="V47" s="12"/>
    </row>
    <row r="48" spans="1:22" ht="15.75">
      <c r="A48" s="383"/>
      <c r="B48" s="6" t="s">
        <v>96</v>
      </c>
      <c r="C48" s="53"/>
      <c r="D48" s="344"/>
      <c r="E48" s="46"/>
      <c r="F48" s="231"/>
      <c r="G48" s="39"/>
      <c r="H48" s="13"/>
      <c r="I48" s="14">
        <f t="shared" si="8"/>
        <v>172978.17938624835</v>
      </c>
      <c r="J48" s="13">
        <f>-H47</f>
        <v>-22892.70756853043</v>
      </c>
      <c r="K48" s="14">
        <f t="shared" si="0"/>
        <v>26328.820613751654</v>
      </c>
      <c r="L48" s="13"/>
      <c r="M48" s="14">
        <f t="shared" si="9"/>
        <v>4946.540000000001</v>
      </c>
      <c r="N48" s="39"/>
      <c r="O48" s="13">
        <f t="shared" si="1"/>
        <v>0</v>
      </c>
      <c r="P48" s="14">
        <f t="shared" si="2"/>
        <v>-172978.17938624835</v>
      </c>
      <c r="Q48" s="13">
        <f t="shared" si="3"/>
        <v>22892.70756853043</v>
      </c>
      <c r="R48" s="14">
        <f t="shared" si="4"/>
        <v>-26328.820613751654</v>
      </c>
      <c r="S48" s="14">
        <f t="shared" si="10"/>
        <v>-199307</v>
      </c>
      <c r="T48" s="13">
        <f t="shared" si="5"/>
        <v>0</v>
      </c>
      <c r="U48" s="14">
        <f t="shared" si="6"/>
        <v>-4946.540000000001</v>
      </c>
      <c r="V48" s="12"/>
    </row>
    <row r="49" spans="1:22" ht="15.75">
      <c r="A49" s="322"/>
      <c r="B49" s="323"/>
      <c r="C49" s="325">
        <f>+J44+J41+J38+J35+J32+J29+J25+J22+J19+J16+J15+J14</f>
        <v>154547</v>
      </c>
      <c r="D49" s="348">
        <f>+J28</f>
        <v>-2326</v>
      </c>
      <c r="E49" s="324">
        <f>-I49</f>
        <v>-172978.17938624835</v>
      </c>
      <c r="F49" s="330">
        <f>+M49-M12</f>
        <v>4659.720000000001</v>
      </c>
      <c r="G49" s="39"/>
      <c r="H49" s="326"/>
      <c r="I49" s="327">
        <f t="shared" si="8"/>
        <v>172978.17938624835</v>
      </c>
      <c r="J49" s="328"/>
      <c r="K49" s="327">
        <f t="shared" si="0"/>
        <v>26328.820613751654</v>
      </c>
      <c r="L49" s="329"/>
      <c r="M49" s="327">
        <f t="shared" si="9"/>
        <v>4946.540000000001</v>
      </c>
      <c r="N49" s="39"/>
      <c r="O49" s="326">
        <f t="shared" si="1"/>
        <v>0</v>
      </c>
      <c r="P49" s="327">
        <f t="shared" si="2"/>
        <v>-172978.17938624835</v>
      </c>
      <c r="Q49" s="326">
        <f t="shared" si="3"/>
        <v>0</v>
      </c>
      <c r="R49" s="327">
        <f t="shared" si="4"/>
        <v>-26328.820613751654</v>
      </c>
      <c r="S49" s="327">
        <f t="shared" si="10"/>
        <v>-199307</v>
      </c>
      <c r="T49" s="326">
        <f t="shared" si="5"/>
        <v>0</v>
      </c>
      <c r="U49" s="327">
        <f t="shared" si="6"/>
        <v>-4946.540000000001</v>
      </c>
      <c r="V49" s="12"/>
    </row>
    <row r="50" spans="1:22" ht="15.75">
      <c r="A50" s="305" t="s">
        <v>142</v>
      </c>
      <c r="B50" s="20"/>
      <c r="C50" s="314"/>
      <c r="D50" s="349"/>
      <c r="E50" s="47"/>
      <c r="F50" s="231"/>
      <c r="G50" s="39"/>
      <c r="H50" s="13"/>
      <c r="I50" s="14">
        <f>+I49+H50</f>
        <v>172978.17938624835</v>
      </c>
      <c r="J50" s="13"/>
      <c r="K50" s="14">
        <f>+K49+J50</f>
        <v>26328.820613751654</v>
      </c>
      <c r="L50" s="13"/>
      <c r="M50" s="14">
        <f>+M49+L50</f>
        <v>4946.540000000001</v>
      </c>
      <c r="N50" s="39"/>
      <c r="O50" s="13">
        <f t="shared" si="1"/>
        <v>0</v>
      </c>
      <c r="P50" s="14">
        <f>+P49+O50</f>
        <v>-172978.17938624835</v>
      </c>
      <c r="Q50" s="13">
        <f t="shared" si="3"/>
        <v>0</v>
      </c>
      <c r="R50" s="14">
        <f>+R49+Q50</f>
        <v>-26328.820613751654</v>
      </c>
      <c r="S50" s="14">
        <f t="shared" si="10"/>
        <v>-199307</v>
      </c>
      <c r="T50" s="13">
        <f t="shared" si="5"/>
        <v>0</v>
      </c>
      <c r="U50" s="14">
        <f>+U49+T50</f>
        <v>-4946.540000000001</v>
      </c>
      <c r="V50" s="12"/>
    </row>
    <row r="51" spans="1:22" ht="15.75">
      <c r="A51" s="383">
        <v>37652</v>
      </c>
      <c r="B51" s="227" t="s">
        <v>161</v>
      </c>
      <c r="C51" s="53"/>
      <c r="D51" s="344"/>
      <c r="E51" s="46"/>
      <c r="F51" s="231"/>
      <c r="G51" s="39"/>
      <c r="H51" s="13"/>
      <c r="I51" s="14">
        <f>+I50+H51</f>
        <v>172978.17938624835</v>
      </c>
      <c r="J51" s="13">
        <f>+$M$298</f>
        <v>16802.75</v>
      </c>
      <c r="K51" s="14">
        <f>+K50+J51</f>
        <v>43131.57061375165</v>
      </c>
      <c r="L51" s="13">
        <f>+ROUND(K50*$F$304*(A51-A44)/365,2)</f>
        <v>162.12</v>
      </c>
      <c r="M51" s="14">
        <f>+M50+L51</f>
        <v>5108.660000000001</v>
      </c>
      <c r="N51" s="39"/>
      <c r="O51" s="13">
        <f t="shared" si="1"/>
        <v>0</v>
      </c>
      <c r="P51" s="14">
        <f>+P50+O51</f>
        <v>-172978.17938624835</v>
      </c>
      <c r="Q51" s="13">
        <f t="shared" si="3"/>
        <v>-16802.75</v>
      </c>
      <c r="R51" s="14">
        <f>+R50+Q51</f>
        <v>-43131.57061375165</v>
      </c>
      <c r="S51" s="14">
        <f t="shared" si="10"/>
        <v>-216109.75</v>
      </c>
      <c r="T51" s="13">
        <f t="shared" si="5"/>
        <v>-162.12</v>
      </c>
      <c r="U51" s="14">
        <f>+U50+T51</f>
        <v>-5108.660000000001</v>
      </c>
      <c r="V51" s="12">
        <f>+I51+K51+M51+P51+R51+U51</f>
        <v>0</v>
      </c>
    </row>
    <row r="52" spans="1:22" ht="15.75">
      <c r="A52" s="383"/>
      <c r="B52" s="6" t="s">
        <v>162</v>
      </c>
      <c r="C52" s="53"/>
      <c r="D52" s="344"/>
      <c r="E52" s="46"/>
      <c r="F52" s="231"/>
      <c r="G52" s="39"/>
      <c r="H52" s="13">
        <f>+'Total Billings (L.2.1)'!D30</f>
        <v>21545.898009094613</v>
      </c>
      <c r="I52" s="14">
        <f>+I51+H52</f>
        <v>194524.07739534296</v>
      </c>
      <c r="J52" s="13"/>
      <c r="K52" s="14">
        <f t="shared" si="0"/>
        <v>43131.57061375165</v>
      </c>
      <c r="L52" s="13"/>
      <c r="M52" s="14">
        <f t="shared" si="9"/>
        <v>5108.660000000001</v>
      </c>
      <c r="N52" s="39"/>
      <c r="O52" s="13">
        <f t="shared" si="1"/>
        <v>-21545.898009094613</v>
      </c>
      <c r="P52" s="14">
        <f t="shared" si="2"/>
        <v>-194524.07739534296</v>
      </c>
      <c r="Q52" s="13">
        <f t="shared" si="3"/>
        <v>0</v>
      </c>
      <c r="R52" s="14">
        <f t="shared" si="4"/>
        <v>-43131.57061375165</v>
      </c>
      <c r="S52" s="14">
        <f t="shared" si="10"/>
        <v>-237655.6480090946</v>
      </c>
      <c r="T52" s="13">
        <f t="shared" si="5"/>
        <v>0</v>
      </c>
      <c r="U52" s="14">
        <f t="shared" si="6"/>
        <v>-5108.660000000001</v>
      </c>
      <c r="V52" s="12"/>
    </row>
    <row r="53" spans="1:22" ht="15.75">
      <c r="A53" s="383"/>
      <c r="B53" s="6" t="s">
        <v>94</v>
      </c>
      <c r="C53" s="53"/>
      <c r="D53" s="344"/>
      <c r="E53" s="46"/>
      <c r="F53" s="231"/>
      <c r="G53" s="39"/>
      <c r="H53" s="13"/>
      <c r="I53" s="14">
        <f t="shared" si="8"/>
        <v>194524.07739534296</v>
      </c>
      <c r="J53" s="13">
        <f>-H52</f>
        <v>-21545.898009094613</v>
      </c>
      <c r="K53" s="14">
        <f t="shared" si="0"/>
        <v>21585.67260465704</v>
      </c>
      <c r="L53" s="13"/>
      <c r="M53" s="14">
        <f t="shared" si="9"/>
        <v>5108.660000000001</v>
      </c>
      <c r="N53" s="39"/>
      <c r="O53" s="13">
        <f t="shared" si="1"/>
        <v>0</v>
      </c>
      <c r="P53" s="14">
        <f t="shared" si="2"/>
        <v>-194524.07739534296</v>
      </c>
      <c r="Q53" s="13">
        <f t="shared" si="3"/>
        <v>21545.898009094613</v>
      </c>
      <c r="R53" s="14">
        <f t="shared" si="4"/>
        <v>-21585.67260465704</v>
      </c>
      <c r="S53" s="14">
        <f t="shared" si="10"/>
        <v>-216109.75</v>
      </c>
      <c r="T53" s="13">
        <f t="shared" si="5"/>
        <v>0</v>
      </c>
      <c r="U53" s="14">
        <f t="shared" si="6"/>
        <v>-5108.660000000001</v>
      </c>
      <c r="V53" s="12"/>
    </row>
    <row r="54" spans="1:22" ht="15.75">
      <c r="A54" s="383">
        <v>37680</v>
      </c>
      <c r="B54" s="227" t="s">
        <v>161</v>
      </c>
      <c r="C54" s="53"/>
      <c r="D54" s="344"/>
      <c r="E54" s="46"/>
      <c r="F54" s="231"/>
      <c r="G54" s="39"/>
      <c r="H54" s="13"/>
      <c r="I54" s="14">
        <f t="shared" si="8"/>
        <v>194524.07739534296</v>
      </c>
      <c r="J54" s="13">
        <f>+$M$298</f>
        <v>16802.75</v>
      </c>
      <c r="K54" s="14">
        <f t="shared" si="0"/>
        <v>38388.42260465704</v>
      </c>
      <c r="L54" s="13">
        <f>+ROUND(K53*$F$304*(A54-A51)/365,2)</f>
        <v>120.05</v>
      </c>
      <c r="M54" s="14">
        <f t="shared" si="9"/>
        <v>5228.710000000001</v>
      </c>
      <c r="N54" s="39"/>
      <c r="O54" s="13">
        <f t="shared" si="1"/>
        <v>0</v>
      </c>
      <c r="P54" s="14">
        <f t="shared" si="2"/>
        <v>-194524.07739534296</v>
      </c>
      <c r="Q54" s="13">
        <f t="shared" si="3"/>
        <v>-16802.75</v>
      </c>
      <c r="R54" s="14">
        <f t="shared" si="4"/>
        <v>-38388.42260465704</v>
      </c>
      <c r="S54" s="14">
        <f t="shared" si="10"/>
        <v>-232912.5</v>
      </c>
      <c r="T54" s="13">
        <f t="shared" si="5"/>
        <v>-120.05</v>
      </c>
      <c r="U54" s="14">
        <f t="shared" si="6"/>
        <v>-5228.710000000001</v>
      </c>
      <c r="V54" s="12"/>
    </row>
    <row r="55" spans="1:22" ht="15.75">
      <c r="A55" s="383"/>
      <c r="B55" s="6" t="s">
        <v>162</v>
      </c>
      <c r="C55" s="53"/>
      <c r="D55" s="344"/>
      <c r="E55" s="46"/>
      <c r="F55" s="231"/>
      <c r="G55" s="39"/>
      <c r="H55" s="13">
        <f>+'Total Billings (L.2.1)'!D31</f>
        <v>19346.80771238191</v>
      </c>
      <c r="I55" s="14">
        <f t="shared" si="8"/>
        <v>213870.88510772487</v>
      </c>
      <c r="J55" s="13"/>
      <c r="K55" s="14">
        <f t="shared" si="0"/>
        <v>38388.42260465704</v>
      </c>
      <c r="L55" s="13"/>
      <c r="M55" s="14">
        <f t="shared" si="9"/>
        <v>5228.710000000001</v>
      </c>
      <c r="N55" s="39"/>
      <c r="O55" s="13">
        <f t="shared" si="1"/>
        <v>-19346.80771238191</v>
      </c>
      <c r="P55" s="14">
        <f t="shared" si="2"/>
        <v>-213870.88510772487</v>
      </c>
      <c r="Q55" s="13">
        <f t="shared" si="3"/>
        <v>0</v>
      </c>
      <c r="R55" s="14">
        <f t="shared" si="4"/>
        <v>-38388.42260465704</v>
      </c>
      <c r="S55" s="14">
        <f t="shared" si="10"/>
        <v>-252259.3077123819</v>
      </c>
      <c r="T55" s="13">
        <f t="shared" si="5"/>
        <v>0</v>
      </c>
      <c r="U55" s="14">
        <f t="shared" si="6"/>
        <v>-5228.710000000001</v>
      </c>
      <c r="V55" s="12"/>
    </row>
    <row r="56" spans="1:22" ht="15.75">
      <c r="A56" s="383"/>
      <c r="B56" s="6" t="s">
        <v>94</v>
      </c>
      <c r="C56" s="53"/>
      <c r="D56" s="344"/>
      <c r="E56" s="46"/>
      <c r="F56" s="231"/>
      <c r="G56" s="39"/>
      <c r="H56" s="13"/>
      <c r="I56" s="14">
        <f t="shared" si="8"/>
        <v>213870.88510772487</v>
      </c>
      <c r="J56" s="13">
        <f>-H55</f>
        <v>-19346.80771238191</v>
      </c>
      <c r="K56" s="14">
        <f t="shared" si="0"/>
        <v>19041.61489227513</v>
      </c>
      <c r="L56" s="13"/>
      <c r="M56" s="14">
        <f t="shared" si="9"/>
        <v>5228.710000000001</v>
      </c>
      <c r="N56" s="39"/>
      <c r="O56" s="13">
        <f t="shared" si="1"/>
        <v>0</v>
      </c>
      <c r="P56" s="14">
        <f t="shared" si="2"/>
        <v>-213870.88510772487</v>
      </c>
      <c r="Q56" s="13">
        <f t="shared" si="3"/>
        <v>19346.80771238191</v>
      </c>
      <c r="R56" s="14">
        <f t="shared" si="4"/>
        <v>-19041.61489227513</v>
      </c>
      <c r="S56" s="14">
        <f t="shared" si="10"/>
        <v>-232912.5</v>
      </c>
      <c r="T56" s="13">
        <f t="shared" si="5"/>
        <v>0</v>
      </c>
      <c r="U56" s="14">
        <f t="shared" si="6"/>
        <v>-5228.710000000001</v>
      </c>
      <c r="V56" s="12"/>
    </row>
    <row r="57" spans="1:22" ht="15.75">
      <c r="A57" s="383">
        <v>37711</v>
      </c>
      <c r="B57" s="6" t="s">
        <v>161</v>
      </c>
      <c r="C57" s="53"/>
      <c r="D57" s="344"/>
      <c r="E57" s="46"/>
      <c r="F57" s="231"/>
      <c r="G57" s="39"/>
      <c r="H57" s="13"/>
      <c r="I57" s="14">
        <f t="shared" si="8"/>
        <v>213870.88510772487</v>
      </c>
      <c r="J57" s="13">
        <f>+$M$298</f>
        <v>16802.75</v>
      </c>
      <c r="K57" s="14">
        <f t="shared" si="0"/>
        <v>35844.36489227513</v>
      </c>
      <c r="L57" s="13">
        <f>+ROUND(K56*$F$304*(A57-A54)/365,2)</f>
        <v>117.25</v>
      </c>
      <c r="M57" s="14">
        <f t="shared" si="9"/>
        <v>5345.960000000001</v>
      </c>
      <c r="N57" s="39"/>
      <c r="O57" s="13">
        <f t="shared" si="1"/>
        <v>0</v>
      </c>
      <c r="P57" s="14">
        <f t="shared" si="2"/>
        <v>-213870.88510772487</v>
      </c>
      <c r="Q57" s="13">
        <f t="shared" si="3"/>
        <v>-16802.75</v>
      </c>
      <c r="R57" s="14">
        <f t="shared" si="4"/>
        <v>-35844.36489227513</v>
      </c>
      <c r="S57" s="14">
        <f t="shared" si="10"/>
        <v>-249715.25</v>
      </c>
      <c r="T57" s="13">
        <f t="shared" si="5"/>
        <v>-117.25</v>
      </c>
      <c r="U57" s="14">
        <f t="shared" si="6"/>
        <v>-5345.960000000001</v>
      </c>
      <c r="V57" s="12"/>
    </row>
    <row r="58" spans="1:22" ht="15.75">
      <c r="A58" s="383"/>
      <c r="B58" s="6" t="s">
        <v>162</v>
      </c>
      <c r="C58" s="53"/>
      <c r="D58" s="344"/>
      <c r="E58" s="46"/>
      <c r="F58" s="231"/>
      <c r="G58" s="39"/>
      <c r="H58" s="13">
        <f>+'Total Billings (L.2.1)'!D32</f>
        <v>17008.611465212532</v>
      </c>
      <c r="I58" s="14">
        <f t="shared" si="8"/>
        <v>230879.4965729374</v>
      </c>
      <c r="J58" s="13"/>
      <c r="K58" s="14">
        <f t="shared" si="0"/>
        <v>35844.36489227513</v>
      </c>
      <c r="L58" s="307"/>
      <c r="M58" s="308">
        <f t="shared" si="9"/>
        <v>5345.960000000001</v>
      </c>
      <c r="N58" s="39"/>
      <c r="O58" s="13">
        <f t="shared" si="1"/>
        <v>-17008.611465212532</v>
      </c>
      <c r="P58" s="14">
        <f t="shared" si="2"/>
        <v>-230879.4965729374</v>
      </c>
      <c r="Q58" s="13">
        <f t="shared" si="3"/>
        <v>0</v>
      </c>
      <c r="R58" s="14">
        <f t="shared" si="4"/>
        <v>-35844.36489227513</v>
      </c>
      <c r="S58" s="14">
        <f t="shared" si="10"/>
        <v>-266723.86146521254</v>
      </c>
      <c r="T58" s="13">
        <f t="shared" si="5"/>
        <v>0</v>
      </c>
      <c r="U58" s="14">
        <f t="shared" si="6"/>
        <v>-5345.960000000001</v>
      </c>
      <c r="V58" s="12"/>
    </row>
    <row r="59" spans="1:22" ht="15.75">
      <c r="A59" s="386"/>
      <c r="B59" s="316" t="s">
        <v>94</v>
      </c>
      <c r="C59" s="318"/>
      <c r="D59" s="347"/>
      <c r="E59" s="317"/>
      <c r="F59" s="321"/>
      <c r="G59" s="39"/>
      <c r="H59" s="319"/>
      <c r="I59" s="320">
        <f t="shared" si="8"/>
        <v>230879.4965729374</v>
      </c>
      <c r="J59" s="319">
        <f>-H58</f>
        <v>-17008.611465212532</v>
      </c>
      <c r="K59" s="320">
        <f t="shared" si="0"/>
        <v>18835.7534270626</v>
      </c>
      <c r="L59" s="331"/>
      <c r="M59" s="332">
        <f t="shared" si="9"/>
        <v>5345.960000000001</v>
      </c>
      <c r="N59" s="39"/>
      <c r="O59" s="319">
        <f t="shared" si="1"/>
        <v>0</v>
      </c>
      <c r="P59" s="320">
        <f t="shared" si="2"/>
        <v>-230879.4965729374</v>
      </c>
      <c r="Q59" s="319">
        <f t="shared" si="3"/>
        <v>17008.611465212532</v>
      </c>
      <c r="R59" s="320">
        <f t="shared" si="4"/>
        <v>-18835.7534270626</v>
      </c>
      <c r="S59" s="320">
        <f t="shared" si="10"/>
        <v>-249715.25</v>
      </c>
      <c r="T59" s="319">
        <f t="shared" si="5"/>
        <v>0</v>
      </c>
      <c r="U59" s="320">
        <f t="shared" si="6"/>
        <v>-5345.960000000001</v>
      </c>
      <c r="V59" s="12"/>
    </row>
    <row r="60" spans="1:22" ht="15.75">
      <c r="A60" s="383">
        <v>37741</v>
      </c>
      <c r="B60" s="6" t="s">
        <v>161</v>
      </c>
      <c r="C60" s="53"/>
      <c r="D60" s="344"/>
      <c r="E60" s="46"/>
      <c r="F60" s="231"/>
      <c r="G60" s="39"/>
      <c r="H60" s="13"/>
      <c r="I60" s="14">
        <f t="shared" si="8"/>
        <v>230879.4965729374</v>
      </c>
      <c r="J60" s="13">
        <f>+$M$298</f>
        <v>16802.75</v>
      </c>
      <c r="K60" s="14">
        <f t="shared" si="0"/>
        <v>35638.5034270626</v>
      </c>
      <c r="L60" s="13">
        <f>+ROUND(K59*$F$304*(A60-A57)/365,2)</f>
        <v>112.24</v>
      </c>
      <c r="M60" s="308">
        <f t="shared" si="9"/>
        <v>5458.200000000001</v>
      </c>
      <c r="N60" s="39"/>
      <c r="O60" s="13">
        <f t="shared" si="1"/>
        <v>0</v>
      </c>
      <c r="P60" s="14">
        <f t="shared" si="2"/>
        <v>-230879.4965729374</v>
      </c>
      <c r="Q60" s="13">
        <f t="shared" si="3"/>
        <v>-16802.75</v>
      </c>
      <c r="R60" s="14">
        <f t="shared" si="4"/>
        <v>-35638.5034270626</v>
      </c>
      <c r="S60" s="14">
        <f t="shared" si="10"/>
        <v>-266518</v>
      </c>
      <c r="T60" s="13">
        <f t="shared" si="5"/>
        <v>-112.24</v>
      </c>
      <c r="U60" s="14">
        <f t="shared" si="6"/>
        <v>-5458.200000000001</v>
      </c>
      <c r="V60" s="12"/>
    </row>
    <row r="61" spans="1:22" ht="15.75">
      <c r="A61" s="383"/>
      <c r="B61" s="6" t="s">
        <v>162</v>
      </c>
      <c r="C61" s="53"/>
      <c r="D61" s="344"/>
      <c r="E61" s="46"/>
      <c r="F61" s="231"/>
      <c r="G61" s="39"/>
      <c r="H61" s="13">
        <f>+'Total Billings (L.2.1)'!D33</f>
        <v>15752.7302996139</v>
      </c>
      <c r="I61" s="14">
        <f t="shared" si="8"/>
        <v>246632.2268725513</v>
      </c>
      <c r="J61" s="13"/>
      <c r="K61" s="14">
        <f t="shared" si="0"/>
        <v>35638.5034270626</v>
      </c>
      <c r="L61" s="307"/>
      <c r="M61" s="308">
        <f t="shared" si="9"/>
        <v>5458.200000000001</v>
      </c>
      <c r="N61" s="39"/>
      <c r="O61" s="13">
        <f t="shared" si="1"/>
        <v>-15752.7302996139</v>
      </c>
      <c r="P61" s="14">
        <f t="shared" si="2"/>
        <v>-246632.2268725513</v>
      </c>
      <c r="Q61" s="13">
        <f t="shared" si="3"/>
        <v>0</v>
      </c>
      <c r="R61" s="14">
        <f t="shared" si="4"/>
        <v>-35638.5034270626</v>
      </c>
      <c r="S61" s="14">
        <f t="shared" si="10"/>
        <v>-282270.7302996139</v>
      </c>
      <c r="T61" s="13">
        <f t="shared" si="5"/>
        <v>0</v>
      </c>
      <c r="U61" s="14">
        <f t="shared" si="6"/>
        <v>-5458.200000000001</v>
      </c>
      <c r="V61" s="12"/>
    </row>
    <row r="62" spans="1:22" ht="15.75">
      <c r="A62" s="383"/>
      <c r="B62" s="6" t="s">
        <v>94</v>
      </c>
      <c r="C62" s="53"/>
      <c r="D62" s="344"/>
      <c r="E62" s="46"/>
      <c r="F62" s="231"/>
      <c r="G62" s="39"/>
      <c r="H62" s="13"/>
      <c r="I62" s="14">
        <f t="shared" si="8"/>
        <v>246632.2268725513</v>
      </c>
      <c r="J62" s="13">
        <f>-H61</f>
        <v>-15752.7302996139</v>
      </c>
      <c r="K62" s="14">
        <f t="shared" si="0"/>
        <v>19885.773127448698</v>
      </c>
      <c r="M62" s="308">
        <f t="shared" si="9"/>
        <v>5458.200000000001</v>
      </c>
      <c r="N62" s="39"/>
      <c r="O62" s="13">
        <f t="shared" si="1"/>
        <v>0</v>
      </c>
      <c r="P62" s="14">
        <f t="shared" si="2"/>
        <v>-246632.2268725513</v>
      </c>
      <c r="Q62" s="13">
        <f t="shared" si="3"/>
        <v>15752.7302996139</v>
      </c>
      <c r="R62" s="14">
        <f t="shared" si="4"/>
        <v>-19885.773127448698</v>
      </c>
      <c r="S62" s="14">
        <f t="shared" si="10"/>
        <v>-266518</v>
      </c>
      <c r="T62" s="13">
        <f t="shared" si="5"/>
        <v>0</v>
      </c>
      <c r="U62" s="14">
        <f t="shared" si="6"/>
        <v>-5458.200000000001</v>
      </c>
      <c r="V62" s="12"/>
    </row>
    <row r="63" spans="1:22" ht="15.75">
      <c r="A63" s="383">
        <v>37772</v>
      </c>
      <c r="B63" s="6" t="s">
        <v>161</v>
      </c>
      <c r="C63" s="53"/>
      <c r="D63" s="344"/>
      <c r="E63" s="46"/>
      <c r="F63" s="231"/>
      <c r="G63" s="39"/>
      <c r="H63" s="13"/>
      <c r="I63" s="14">
        <f t="shared" si="8"/>
        <v>246632.2268725513</v>
      </c>
      <c r="J63" s="13">
        <f>+$M$298</f>
        <v>16802.75</v>
      </c>
      <c r="K63" s="14">
        <f t="shared" si="0"/>
        <v>36688.5231274487</v>
      </c>
      <c r="L63" s="13">
        <f>+ROUND(K62*$F$304*(A63-A60)/365,2)</f>
        <v>122.45</v>
      </c>
      <c r="M63" s="308">
        <f t="shared" si="9"/>
        <v>5580.650000000001</v>
      </c>
      <c r="N63" s="39"/>
      <c r="O63" s="13">
        <f t="shared" si="1"/>
        <v>0</v>
      </c>
      <c r="P63" s="14">
        <f t="shared" si="2"/>
        <v>-246632.2268725513</v>
      </c>
      <c r="Q63" s="13">
        <f t="shared" si="3"/>
        <v>-16802.75</v>
      </c>
      <c r="R63" s="14">
        <f t="shared" si="4"/>
        <v>-36688.5231274487</v>
      </c>
      <c r="S63" s="14">
        <f t="shared" si="10"/>
        <v>-283320.75</v>
      </c>
      <c r="T63" s="13">
        <f t="shared" si="5"/>
        <v>-122.45</v>
      </c>
      <c r="U63" s="14">
        <f t="shared" si="6"/>
        <v>-5580.650000000001</v>
      </c>
      <c r="V63" s="12"/>
    </row>
    <row r="64" spans="1:22" ht="15.75">
      <c r="A64" s="383"/>
      <c r="B64" s="6" t="s">
        <v>162</v>
      </c>
      <c r="C64" s="53"/>
      <c r="D64" s="344"/>
      <c r="E64" s="46"/>
      <c r="F64" s="231"/>
      <c r="G64" s="39"/>
      <c r="H64" s="13">
        <f>+'Total Billings (L.2.1)'!D34</f>
        <v>18204.10172005148</v>
      </c>
      <c r="I64" s="14">
        <f t="shared" si="8"/>
        <v>264836.3285926028</v>
      </c>
      <c r="J64" s="13"/>
      <c r="K64" s="14">
        <f t="shared" si="0"/>
        <v>36688.5231274487</v>
      </c>
      <c r="L64" s="307"/>
      <c r="M64" s="308">
        <f t="shared" si="9"/>
        <v>5580.650000000001</v>
      </c>
      <c r="N64" s="39"/>
      <c r="O64" s="13">
        <f t="shared" si="1"/>
        <v>-18204.10172005148</v>
      </c>
      <c r="P64" s="14">
        <f t="shared" si="2"/>
        <v>-264836.3285926028</v>
      </c>
      <c r="Q64" s="13">
        <f t="shared" si="3"/>
        <v>0</v>
      </c>
      <c r="R64" s="14">
        <f t="shared" si="4"/>
        <v>-36688.5231274487</v>
      </c>
      <c r="S64" s="14">
        <f t="shared" si="10"/>
        <v>-301524.8517200515</v>
      </c>
      <c r="T64" s="13">
        <f t="shared" si="5"/>
        <v>0</v>
      </c>
      <c r="U64" s="14">
        <f t="shared" si="6"/>
        <v>-5580.650000000001</v>
      </c>
      <c r="V64" s="12"/>
    </row>
    <row r="65" spans="1:22" ht="15.75">
      <c r="A65" s="383"/>
      <c r="B65" s="6" t="s">
        <v>94</v>
      </c>
      <c r="C65" s="53"/>
      <c r="D65" s="344"/>
      <c r="E65" s="46"/>
      <c r="F65" s="231"/>
      <c r="G65" s="39"/>
      <c r="H65" s="13"/>
      <c r="I65" s="14">
        <f t="shared" si="8"/>
        <v>264836.3285926028</v>
      </c>
      <c r="J65" s="13">
        <f>-H64</f>
        <v>-18204.10172005148</v>
      </c>
      <c r="K65" s="14">
        <f t="shared" si="0"/>
        <v>18484.42140739722</v>
      </c>
      <c r="M65" s="308">
        <f t="shared" si="9"/>
        <v>5580.650000000001</v>
      </c>
      <c r="N65" s="39"/>
      <c r="O65" s="13">
        <f t="shared" si="1"/>
        <v>0</v>
      </c>
      <c r="P65" s="14">
        <f t="shared" si="2"/>
        <v>-264836.3285926028</v>
      </c>
      <c r="Q65" s="13">
        <f t="shared" si="3"/>
        <v>18204.10172005148</v>
      </c>
      <c r="R65" s="14">
        <f t="shared" si="4"/>
        <v>-18484.42140739722</v>
      </c>
      <c r="S65" s="14">
        <f t="shared" si="10"/>
        <v>-283320.75</v>
      </c>
      <c r="T65" s="13">
        <f t="shared" si="5"/>
        <v>0</v>
      </c>
      <c r="U65" s="14">
        <f t="shared" si="6"/>
        <v>-5580.650000000001</v>
      </c>
      <c r="V65" s="12"/>
    </row>
    <row r="66" spans="1:22" ht="15.75">
      <c r="A66" s="383">
        <v>37802</v>
      </c>
      <c r="B66" s="6" t="s">
        <v>161</v>
      </c>
      <c r="C66" s="53"/>
      <c r="D66" s="344"/>
      <c r="E66" s="46"/>
      <c r="F66" s="231"/>
      <c r="G66" s="39"/>
      <c r="H66" s="13"/>
      <c r="I66" s="14">
        <f t="shared" si="8"/>
        <v>264836.3285926028</v>
      </c>
      <c r="J66" s="13">
        <f>+$M$298</f>
        <v>16802.75</v>
      </c>
      <c r="K66" s="14">
        <f t="shared" si="0"/>
        <v>35287.171407397225</v>
      </c>
      <c r="L66" s="13">
        <f>+ROUND(K65*$F$304*(A66-A63)/365,2)</f>
        <v>110.15</v>
      </c>
      <c r="M66" s="308">
        <f t="shared" si="9"/>
        <v>5690.8</v>
      </c>
      <c r="N66" s="39"/>
      <c r="O66" s="13">
        <f t="shared" si="1"/>
        <v>0</v>
      </c>
      <c r="P66" s="14">
        <f t="shared" si="2"/>
        <v>-264836.3285926028</v>
      </c>
      <c r="Q66" s="13">
        <f t="shared" si="3"/>
        <v>-16802.75</v>
      </c>
      <c r="R66" s="14">
        <f t="shared" si="4"/>
        <v>-35287.171407397225</v>
      </c>
      <c r="S66" s="14">
        <f t="shared" si="10"/>
        <v>-300123.5</v>
      </c>
      <c r="T66" s="13">
        <f t="shared" si="5"/>
        <v>-110.15</v>
      </c>
      <c r="U66" s="14">
        <f t="shared" si="6"/>
        <v>-5690.8</v>
      </c>
      <c r="V66" s="12">
        <f>+I66+K66+M66+P66+R66+U66</f>
        <v>-4.092726157978177E-11</v>
      </c>
    </row>
    <row r="67" spans="1:22" ht="15.75">
      <c r="A67" s="383"/>
      <c r="B67" s="6" t="s">
        <v>162</v>
      </c>
      <c r="C67" s="53"/>
      <c r="D67" s="344"/>
      <c r="E67" s="46"/>
      <c r="F67" s="231"/>
      <c r="G67" s="39"/>
      <c r="H67" s="13">
        <f>+'Total Billings (L.2.1)'!D35</f>
        <v>14741.308597915679</v>
      </c>
      <c r="I67" s="14">
        <f t="shared" si="8"/>
        <v>279577.6371905185</v>
      </c>
      <c r="J67" s="13"/>
      <c r="K67" s="14">
        <f t="shared" si="0"/>
        <v>35287.171407397225</v>
      </c>
      <c r="L67" s="307"/>
      <c r="M67" s="308">
        <f t="shared" si="9"/>
        <v>5690.8</v>
      </c>
      <c r="N67" s="39"/>
      <c r="O67" s="13">
        <f t="shared" si="1"/>
        <v>-14741.308597915679</v>
      </c>
      <c r="P67" s="14">
        <f t="shared" si="2"/>
        <v>-279577.6371905185</v>
      </c>
      <c r="Q67" s="13">
        <f t="shared" si="3"/>
        <v>0</v>
      </c>
      <c r="R67" s="14">
        <f t="shared" si="4"/>
        <v>-35287.171407397225</v>
      </c>
      <c r="S67" s="14">
        <f t="shared" si="10"/>
        <v>-314864.8085979157</v>
      </c>
      <c r="T67" s="13">
        <f t="shared" si="5"/>
        <v>0</v>
      </c>
      <c r="U67" s="14">
        <f t="shared" si="6"/>
        <v>-5690.8</v>
      </c>
      <c r="V67" s="12">
        <f>+I67+K67+M67+P67+R67+U67</f>
        <v>-4.092726157978177E-11</v>
      </c>
    </row>
    <row r="68" spans="1:22" ht="15.75">
      <c r="A68" s="383"/>
      <c r="B68" s="6" t="s">
        <v>94</v>
      </c>
      <c r="C68" s="53"/>
      <c r="D68" s="344"/>
      <c r="E68" s="46"/>
      <c r="F68" s="231"/>
      <c r="G68" s="39"/>
      <c r="H68" s="13"/>
      <c r="I68" s="14">
        <f t="shared" si="8"/>
        <v>279577.6371905185</v>
      </c>
      <c r="J68" s="13">
        <f>-H67</f>
        <v>-14741.308597915679</v>
      </c>
      <c r="K68" s="14">
        <f t="shared" si="0"/>
        <v>20545.862809481547</v>
      </c>
      <c r="L68" s="4"/>
      <c r="M68" s="308">
        <f t="shared" si="9"/>
        <v>5690.8</v>
      </c>
      <c r="N68" s="39"/>
      <c r="O68" s="13">
        <f t="shared" si="1"/>
        <v>0</v>
      </c>
      <c r="P68" s="14">
        <f t="shared" si="2"/>
        <v>-279577.6371905185</v>
      </c>
      <c r="Q68" s="13">
        <f t="shared" si="3"/>
        <v>14741.308597915679</v>
      </c>
      <c r="R68" s="14">
        <f t="shared" si="4"/>
        <v>-20545.862809481547</v>
      </c>
      <c r="S68" s="14">
        <f t="shared" si="10"/>
        <v>-300123.50000000006</v>
      </c>
      <c r="T68" s="13">
        <f t="shared" si="5"/>
        <v>0</v>
      </c>
      <c r="U68" s="14">
        <f t="shared" si="6"/>
        <v>-5690.8</v>
      </c>
      <c r="V68" s="12"/>
    </row>
    <row r="69" spans="1:22" ht="15.75">
      <c r="A69" s="386"/>
      <c r="B69" s="363" t="s">
        <v>178</v>
      </c>
      <c r="C69" s="357"/>
      <c r="D69" s="347"/>
      <c r="E69" s="357"/>
      <c r="F69" s="321"/>
      <c r="G69" s="39"/>
      <c r="H69" s="337"/>
      <c r="I69" s="337">
        <f t="shared" si="8"/>
        <v>279577.6371905185</v>
      </c>
      <c r="J69" s="337">
        <v>-9002</v>
      </c>
      <c r="K69" s="337">
        <f t="shared" si="0"/>
        <v>11543.862809481547</v>
      </c>
      <c r="L69" s="333"/>
      <c r="M69" s="332">
        <f t="shared" si="9"/>
        <v>5690.8</v>
      </c>
      <c r="N69" s="39"/>
      <c r="O69" s="319">
        <f t="shared" si="1"/>
        <v>0</v>
      </c>
      <c r="P69" s="320">
        <f t="shared" si="2"/>
        <v>-279577.6371905185</v>
      </c>
      <c r="Q69" s="319">
        <f t="shared" si="3"/>
        <v>9002</v>
      </c>
      <c r="R69" s="320">
        <f t="shared" si="4"/>
        <v>-11543.862809481547</v>
      </c>
      <c r="S69" s="320">
        <f t="shared" si="10"/>
        <v>-291121.50000000006</v>
      </c>
      <c r="T69" s="319">
        <f t="shared" si="5"/>
        <v>0</v>
      </c>
      <c r="U69" s="320">
        <f t="shared" si="6"/>
        <v>-5690.8</v>
      </c>
      <c r="V69" s="12"/>
    </row>
    <row r="70" spans="1:22" ht="15.75">
      <c r="A70" s="383">
        <v>37833</v>
      </c>
      <c r="B70" s="6" t="s">
        <v>161</v>
      </c>
      <c r="C70" s="53"/>
      <c r="D70" s="344"/>
      <c r="E70" s="46"/>
      <c r="F70" s="231"/>
      <c r="G70" s="39"/>
      <c r="H70" s="13"/>
      <c r="I70" s="14">
        <f t="shared" si="8"/>
        <v>279577.6371905185</v>
      </c>
      <c r="J70" s="13">
        <f>+$M$298</f>
        <v>16802.75</v>
      </c>
      <c r="K70" s="14">
        <f t="shared" si="0"/>
        <v>28346.612809481547</v>
      </c>
      <c r="L70" s="13">
        <f>+ROUND(K69*$F$304*(A70-A66)/365,2)</f>
        <v>71.08</v>
      </c>
      <c r="M70" s="308">
        <f t="shared" si="9"/>
        <v>5761.88</v>
      </c>
      <c r="N70" s="39"/>
      <c r="O70" s="13">
        <f t="shared" si="1"/>
        <v>0</v>
      </c>
      <c r="P70" s="14">
        <f t="shared" si="2"/>
        <v>-279577.6371905185</v>
      </c>
      <c r="Q70" s="13">
        <f t="shared" si="3"/>
        <v>-16802.75</v>
      </c>
      <c r="R70" s="14">
        <f t="shared" si="4"/>
        <v>-28346.612809481547</v>
      </c>
      <c r="S70" s="14">
        <f t="shared" si="10"/>
        <v>-307924.25000000006</v>
      </c>
      <c r="T70" s="13">
        <f t="shared" si="5"/>
        <v>-71.08</v>
      </c>
      <c r="U70" s="14">
        <f t="shared" si="6"/>
        <v>-5761.88</v>
      </c>
      <c r="V70" s="12"/>
    </row>
    <row r="71" spans="1:22" ht="15.75">
      <c r="A71" s="383"/>
      <c r="B71" s="6" t="s">
        <v>162</v>
      </c>
      <c r="C71" s="53"/>
      <c r="D71" s="344"/>
      <c r="E71" s="46"/>
      <c r="F71" s="231"/>
      <c r="G71" s="39"/>
      <c r="H71" s="18">
        <f>+'Total Billings (L.2.1)'!D36</f>
        <v>17442.44907171779</v>
      </c>
      <c r="I71" s="14">
        <f t="shared" si="8"/>
        <v>297020.0862622363</v>
      </c>
      <c r="J71" s="13"/>
      <c r="K71" s="14">
        <f t="shared" si="0"/>
        <v>28346.612809481547</v>
      </c>
      <c r="L71" s="307"/>
      <c r="M71" s="308">
        <f t="shared" si="9"/>
        <v>5761.88</v>
      </c>
      <c r="N71" s="39"/>
      <c r="O71" s="13">
        <f t="shared" si="1"/>
        <v>-17442.44907171779</v>
      </c>
      <c r="P71" s="14">
        <f t="shared" si="2"/>
        <v>-297020.0862622363</v>
      </c>
      <c r="Q71" s="13">
        <f t="shared" si="3"/>
        <v>0</v>
      </c>
      <c r="R71" s="14">
        <f t="shared" si="4"/>
        <v>-28346.612809481547</v>
      </c>
      <c r="S71" s="14">
        <f t="shared" si="10"/>
        <v>-325366.69907171786</v>
      </c>
      <c r="T71" s="13">
        <f t="shared" si="5"/>
        <v>0</v>
      </c>
      <c r="U71" s="14">
        <f t="shared" si="6"/>
        <v>-5761.88</v>
      </c>
      <c r="V71" s="12"/>
    </row>
    <row r="72" spans="1:22" ht="15.75">
      <c r="A72" s="383"/>
      <c r="B72" s="6" t="s">
        <v>94</v>
      </c>
      <c r="C72" s="53"/>
      <c r="D72" s="344"/>
      <c r="E72" s="46"/>
      <c r="F72" s="231"/>
      <c r="G72" s="39"/>
      <c r="H72" s="13"/>
      <c r="I72" s="14">
        <f t="shared" si="8"/>
        <v>297020.0862622363</v>
      </c>
      <c r="J72" s="13">
        <f>-H71</f>
        <v>-17442.44907171779</v>
      </c>
      <c r="K72" s="14">
        <f t="shared" si="0"/>
        <v>10904.163737763756</v>
      </c>
      <c r="M72" s="308">
        <f t="shared" si="9"/>
        <v>5761.88</v>
      </c>
      <c r="N72" s="39"/>
      <c r="O72" s="13">
        <f t="shared" si="1"/>
        <v>0</v>
      </c>
      <c r="P72" s="14">
        <f t="shared" si="2"/>
        <v>-297020.0862622363</v>
      </c>
      <c r="Q72" s="13">
        <f t="shared" si="3"/>
        <v>17442.44907171779</v>
      </c>
      <c r="R72" s="14">
        <f t="shared" si="4"/>
        <v>-10904.163737763756</v>
      </c>
      <c r="S72" s="14">
        <f t="shared" si="10"/>
        <v>-307924.25000000006</v>
      </c>
      <c r="T72" s="13">
        <f t="shared" si="5"/>
        <v>0</v>
      </c>
      <c r="U72" s="14">
        <f t="shared" si="6"/>
        <v>-5761.88</v>
      </c>
      <c r="V72" s="12"/>
    </row>
    <row r="73" spans="1:22" ht="15.75">
      <c r="A73" s="383">
        <v>37864</v>
      </c>
      <c r="B73" s="6" t="s">
        <v>161</v>
      </c>
      <c r="C73" s="53"/>
      <c r="D73" s="344"/>
      <c r="E73" s="46"/>
      <c r="F73" s="231"/>
      <c r="G73" s="39"/>
      <c r="H73" s="13"/>
      <c r="I73" s="14">
        <f t="shared" si="8"/>
        <v>297020.0862622363</v>
      </c>
      <c r="J73" s="13">
        <f>+$M$298</f>
        <v>16802.75</v>
      </c>
      <c r="K73" s="14">
        <f aca="true" t="shared" si="11" ref="K73:K83">+K72+J73</f>
        <v>27706.913737763756</v>
      </c>
      <c r="L73" s="13">
        <f>+ROUND(K72*$F$304*(A73-A70)/365,2)</f>
        <v>67.14</v>
      </c>
      <c r="M73" s="308">
        <f t="shared" si="9"/>
        <v>5829.02</v>
      </c>
      <c r="N73" s="39"/>
      <c r="O73" s="13">
        <f aca="true" t="shared" si="12" ref="O73:O138">-H73</f>
        <v>0</v>
      </c>
      <c r="P73" s="14">
        <f aca="true" t="shared" si="13" ref="P73:P136">+P72+O73</f>
        <v>-297020.0862622363</v>
      </c>
      <c r="Q73" s="13">
        <f aca="true" t="shared" si="14" ref="Q73:Q138">-J73</f>
        <v>-16802.75</v>
      </c>
      <c r="R73" s="14">
        <f aca="true" t="shared" si="15" ref="R73:R136">+R72+Q73</f>
        <v>-27706.913737763756</v>
      </c>
      <c r="S73" s="14">
        <f t="shared" si="10"/>
        <v>-324727.00000000006</v>
      </c>
      <c r="T73" s="13">
        <f aca="true" t="shared" si="16" ref="T73:T136">-L73</f>
        <v>-67.14</v>
      </c>
      <c r="U73" s="14">
        <f aca="true" t="shared" si="17" ref="U73:U136">+U72+T73</f>
        <v>-5829.02</v>
      </c>
      <c r="V73" s="12"/>
    </row>
    <row r="74" spans="1:22" ht="15.75">
      <c r="A74" s="383"/>
      <c r="B74" s="6" t="s">
        <v>162</v>
      </c>
      <c r="C74" s="53"/>
      <c r="D74" s="344"/>
      <c r="E74" s="46"/>
      <c r="F74" s="231"/>
      <c r="G74" s="39"/>
      <c r="H74" s="18">
        <f>+'Total Billings (L.2.1)'!D37</f>
        <v>17755.940000000002</v>
      </c>
      <c r="I74" s="14">
        <f aca="true" t="shared" si="18" ref="I74:I89">+I73+H74</f>
        <v>314776.0262622363</v>
      </c>
      <c r="J74" s="13"/>
      <c r="K74" s="14">
        <f t="shared" si="11"/>
        <v>27706.913737763756</v>
      </c>
      <c r="L74" s="307"/>
      <c r="M74" s="308">
        <f aca="true" t="shared" si="19" ref="M74:M91">+M73+L74</f>
        <v>5829.02</v>
      </c>
      <c r="N74" s="39"/>
      <c r="O74" s="13">
        <f t="shared" si="12"/>
        <v>-17755.940000000002</v>
      </c>
      <c r="P74" s="14">
        <f t="shared" si="13"/>
        <v>-314776.0262622363</v>
      </c>
      <c r="Q74" s="13">
        <f t="shared" si="14"/>
        <v>0</v>
      </c>
      <c r="R74" s="14">
        <f t="shared" si="15"/>
        <v>-27706.913737763756</v>
      </c>
      <c r="S74" s="14">
        <f aca="true" t="shared" si="20" ref="S74:S138">+R74+P74</f>
        <v>-342482.94000000006</v>
      </c>
      <c r="T74" s="13">
        <f t="shared" si="16"/>
        <v>0</v>
      </c>
      <c r="U74" s="14">
        <f t="shared" si="17"/>
        <v>-5829.02</v>
      </c>
      <c r="V74" s="12"/>
    </row>
    <row r="75" spans="1:22" ht="15.75">
      <c r="A75" s="383"/>
      <c r="B75" s="6" t="s">
        <v>94</v>
      </c>
      <c r="C75" s="53"/>
      <c r="D75" s="344"/>
      <c r="E75" s="46"/>
      <c r="F75" s="231"/>
      <c r="G75" s="39"/>
      <c r="H75" s="18"/>
      <c r="I75" s="14">
        <f t="shared" si="18"/>
        <v>314776.0262622363</v>
      </c>
      <c r="J75" s="13">
        <f>-H74</f>
        <v>-17755.940000000002</v>
      </c>
      <c r="K75" s="14">
        <f t="shared" si="11"/>
        <v>9950.973737763754</v>
      </c>
      <c r="M75" s="308">
        <f t="shared" si="19"/>
        <v>5829.02</v>
      </c>
      <c r="N75" s="39"/>
      <c r="O75" s="13">
        <f t="shared" si="12"/>
        <v>0</v>
      </c>
      <c r="P75" s="14">
        <f t="shared" si="13"/>
        <v>-314776.0262622363</v>
      </c>
      <c r="Q75" s="13">
        <f t="shared" si="14"/>
        <v>17755.940000000002</v>
      </c>
      <c r="R75" s="14">
        <f t="shared" si="15"/>
        <v>-9950.973737763754</v>
      </c>
      <c r="S75" s="14">
        <f t="shared" si="20"/>
        <v>-324727.00000000006</v>
      </c>
      <c r="T75" s="13">
        <f t="shared" si="16"/>
        <v>0</v>
      </c>
      <c r="U75" s="14">
        <f t="shared" si="17"/>
        <v>-5829.02</v>
      </c>
      <c r="V75" s="12"/>
    </row>
    <row r="76" spans="1:22" ht="15.75">
      <c r="A76" s="383">
        <v>37894</v>
      </c>
      <c r="B76" s="6" t="s">
        <v>161</v>
      </c>
      <c r="C76" s="53"/>
      <c r="D76" s="344"/>
      <c r="E76" s="46"/>
      <c r="F76" s="231"/>
      <c r="G76" s="39"/>
      <c r="H76" s="18"/>
      <c r="I76" s="14">
        <f t="shared" si="18"/>
        <v>314776.0262622363</v>
      </c>
      <c r="J76" s="13">
        <f>+$M$298</f>
        <v>16802.75</v>
      </c>
      <c r="K76" s="14">
        <f t="shared" si="11"/>
        <v>26753.723737763754</v>
      </c>
      <c r="L76" s="13">
        <f>+ROUND(K75*$F$304*(A76-A73)/365,2)</f>
        <v>59.3</v>
      </c>
      <c r="M76" s="308">
        <f t="shared" si="19"/>
        <v>5888.320000000001</v>
      </c>
      <c r="N76" s="39"/>
      <c r="O76" s="13">
        <f t="shared" si="12"/>
        <v>0</v>
      </c>
      <c r="P76" s="14">
        <f t="shared" si="13"/>
        <v>-314776.0262622363</v>
      </c>
      <c r="Q76" s="13">
        <f t="shared" si="14"/>
        <v>-16802.75</v>
      </c>
      <c r="R76" s="14">
        <f t="shared" si="15"/>
        <v>-26753.723737763754</v>
      </c>
      <c r="S76" s="14">
        <f t="shared" si="20"/>
        <v>-341529.75000000006</v>
      </c>
      <c r="T76" s="13">
        <f t="shared" si="16"/>
        <v>-59.3</v>
      </c>
      <c r="U76" s="14">
        <f t="shared" si="17"/>
        <v>-5888.320000000001</v>
      </c>
      <c r="V76" s="12"/>
    </row>
    <row r="77" spans="1:22" ht="15.75">
      <c r="A77" s="383"/>
      <c r="B77" s="6" t="s">
        <v>162</v>
      </c>
      <c r="C77" s="53"/>
      <c r="D77" s="344"/>
      <c r="E77" s="46"/>
      <c r="F77" s="231"/>
      <c r="G77" s="39"/>
      <c r="H77" s="18">
        <f>+'Total Billings (L.2.1)'!D38</f>
        <v>17664.28961822394</v>
      </c>
      <c r="I77" s="14">
        <f t="shared" si="18"/>
        <v>332440.31588046026</v>
      </c>
      <c r="J77" s="13"/>
      <c r="K77" s="14">
        <f t="shared" si="11"/>
        <v>26753.723737763754</v>
      </c>
      <c r="L77" s="307"/>
      <c r="M77" s="308">
        <f t="shared" si="19"/>
        <v>5888.320000000001</v>
      </c>
      <c r="N77" s="39"/>
      <c r="O77" s="13">
        <f t="shared" si="12"/>
        <v>-17664.28961822394</v>
      </c>
      <c r="P77" s="14">
        <f t="shared" si="13"/>
        <v>-332440.31588046026</v>
      </c>
      <c r="Q77" s="13">
        <f t="shared" si="14"/>
        <v>0</v>
      </c>
      <c r="R77" s="14">
        <f t="shared" si="15"/>
        <v>-26753.723737763754</v>
      </c>
      <c r="S77" s="14">
        <f t="shared" si="20"/>
        <v>-359194.039618224</v>
      </c>
      <c r="T77" s="13">
        <f t="shared" si="16"/>
        <v>0</v>
      </c>
      <c r="U77" s="14">
        <f t="shared" si="17"/>
        <v>-5888.320000000001</v>
      </c>
      <c r="V77" s="12"/>
    </row>
    <row r="78" spans="1:22" ht="15.75">
      <c r="A78" s="386"/>
      <c r="B78" s="316" t="s">
        <v>94</v>
      </c>
      <c r="C78" s="318"/>
      <c r="D78" s="347"/>
      <c r="E78" s="317"/>
      <c r="F78" s="321"/>
      <c r="G78" s="39"/>
      <c r="H78" s="319"/>
      <c r="I78" s="320">
        <f t="shared" si="18"/>
        <v>332440.31588046026</v>
      </c>
      <c r="J78" s="319">
        <f>-H77</f>
        <v>-17664.28961822394</v>
      </c>
      <c r="K78" s="320">
        <f t="shared" si="11"/>
        <v>9089.434119539816</v>
      </c>
      <c r="L78" s="331"/>
      <c r="M78" s="332">
        <f t="shared" si="19"/>
        <v>5888.320000000001</v>
      </c>
      <c r="N78" s="39"/>
      <c r="O78" s="319">
        <f t="shared" si="12"/>
        <v>0</v>
      </c>
      <c r="P78" s="320">
        <f t="shared" si="13"/>
        <v>-332440.31588046026</v>
      </c>
      <c r="Q78" s="319">
        <f t="shared" si="14"/>
        <v>17664.28961822394</v>
      </c>
      <c r="R78" s="320">
        <f t="shared" si="15"/>
        <v>-9089.434119539816</v>
      </c>
      <c r="S78" s="320">
        <f t="shared" si="20"/>
        <v>-341529.75000000006</v>
      </c>
      <c r="T78" s="319">
        <f t="shared" si="16"/>
        <v>0</v>
      </c>
      <c r="U78" s="320">
        <f t="shared" si="17"/>
        <v>-5888.320000000001</v>
      </c>
      <c r="V78" s="12"/>
    </row>
    <row r="79" spans="1:22" ht="15.75">
      <c r="A79" s="383">
        <v>37925</v>
      </c>
      <c r="B79" s="6" t="s">
        <v>161</v>
      </c>
      <c r="C79" s="53"/>
      <c r="D79" s="344"/>
      <c r="E79" s="46"/>
      <c r="F79" s="231"/>
      <c r="G79" s="39"/>
      <c r="H79" s="13"/>
      <c r="I79" s="14">
        <f t="shared" si="18"/>
        <v>332440.31588046026</v>
      </c>
      <c r="J79" s="13">
        <f>+$M$298</f>
        <v>16802.75</v>
      </c>
      <c r="K79" s="14">
        <f t="shared" si="11"/>
        <v>25892.184119539816</v>
      </c>
      <c r="L79" s="13">
        <f>+ROUND(K78*$F$304*(A79-A76)/365,2)</f>
        <v>55.97</v>
      </c>
      <c r="M79" s="308">
        <f t="shared" si="19"/>
        <v>5944.290000000001</v>
      </c>
      <c r="N79" s="39"/>
      <c r="O79" s="13">
        <f t="shared" si="12"/>
        <v>0</v>
      </c>
      <c r="P79" s="14">
        <f t="shared" si="13"/>
        <v>-332440.31588046026</v>
      </c>
      <c r="Q79" s="13">
        <f t="shared" si="14"/>
        <v>-16802.75</v>
      </c>
      <c r="R79" s="14">
        <f t="shared" si="15"/>
        <v>-25892.184119539816</v>
      </c>
      <c r="S79" s="14">
        <f t="shared" si="20"/>
        <v>-358332.50000000006</v>
      </c>
      <c r="T79" s="13">
        <f t="shared" si="16"/>
        <v>-55.97</v>
      </c>
      <c r="U79" s="14">
        <f t="shared" si="17"/>
        <v>-5944.290000000001</v>
      </c>
      <c r="V79" s="12"/>
    </row>
    <row r="80" spans="1:22" ht="15.75">
      <c r="A80" s="383"/>
      <c r="B80" s="6" t="s">
        <v>162</v>
      </c>
      <c r="C80" s="53"/>
      <c r="D80" s="344"/>
      <c r="E80" s="46"/>
      <c r="F80" s="231"/>
      <c r="G80" s="39"/>
      <c r="H80" s="13">
        <f>+'Total Billings (L.2.1)'!D39</f>
        <v>16489.19</v>
      </c>
      <c r="I80" s="14">
        <f t="shared" si="18"/>
        <v>348929.50588046026</v>
      </c>
      <c r="J80" s="13"/>
      <c r="K80" s="14">
        <f t="shared" si="11"/>
        <v>25892.184119539816</v>
      </c>
      <c r="L80" s="307"/>
      <c r="M80" s="308">
        <f t="shared" si="19"/>
        <v>5944.290000000001</v>
      </c>
      <c r="N80" s="39"/>
      <c r="O80" s="13">
        <f t="shared" si="12"/>
        <v>-16489.19</v>
      </c>
      <c r="P80" s="14">
        <f t="shared" si="13"/>
        <v>-348929.50588046026</v>
      </c>
      <c r="Q80" s="13">
        <f t="shared" si="14"/>
        <v>0</v>
      </c>
      <c r="R80" s="14">
        <f t="shared" si="15"/>
        <v>-25892.184119539816</v>
      </c>
      <c r="S80" s="14">
        <f t="shared" si="20"/>
        <v>-374821.69000000006</v>
      </c>
      <c r="T80" s="13">
        <f t="shared" si="16"/>
        <v>0</v>
      </c>
      <c r="U80" s="14">
        <f t="shared" si="17"/>
        <v>-5944.290000000001</v>
      </c>
      <c r="V80" s="12"/>
    </row>
    <row r="81" spans="1:22" ht="15.75">
      <c r="A81" s="383"/>
      <c r="B81" s="6" t="s">
        <v>94</v>
      </c>
      <c r="C81" s="53"/>
      <c r="D81" s="344"/>
      <c r="E81" s="46"/>
      <c r="F81" s="231"/>
      <c r="G81" s="39"/>
      <c r="H81" s="13"/>
      <c r="I81" s="14">
        <f t="shared" si="18"/>
        <v>348929.50588046026</v>
      </c>
      <c r="J81" s="13">
        <f>-H80</f>
        <v>-16489.19</v>
      </c>
      <c r="K81" s="14">
        <f t="shared" si="11"/>
        <v>9402.994119539817</v>
      </c>
      <c r="M81" s="308">
        <f t="shared" si="19"/>
        <v>5944.290000000001</v>
      </c>
      <c r="N81" s="39"/>
      <c r="O81" s="13">
        <f t="shared" si="12"/>
        <v>0</v>
      </c>
      <c r="P81" s="14">
        <f t="shared" si="13"/>
        <v>-348929.50588046026</v>
      </c>
      <c r="Q81" s="13">
        <f t="shared" si="14"/>
        <v>16489.19</v>
      </c>
      <c r="R81" s="14">
        <f t="shared" si="15"/>
        <v>-9402.994119539817</v>
      </c>
      <c r="S81" s="14">
        <f t="shared" si="20"/>
        <v>-358332.50000000006</v>
      </c>
      <c r="T81" s="13">
        <f t="shared" si="16"/>
        <v>0</v>
      </c>
      <c r="U81" s="14">
        <f t="shared" si="17"/>
        <v>-5944.290000000001</v>
      </c>
      <c r="V81" s="12"/>
    </row>
    <row r="82" spans="1:22" ht="15.75">
      <c r="A82" s="383">
        <v>37955</v>
      </c>
      <c r="B82" s="6" t="s">
        <v>161</v>
      </c>
      <c r="C82" s="53"/>
      <c r="D82" s="344"/>
      <c r="E82" s="46"/>
      <c r="F82" s="231"/>
      <c r="G82" s="39"/>
      <c r="H82" s="13"/>
      <c r="I82" s="14">
        <f t="shared" si="18"/>
        <v>348929.50588046026</v>
      </c>
      <c r="J82" s="13">
        <f>+$M$298</f>
        <v>16802.75</v>
      </c>
      <c r="K82" s="14">
        <f t="shared" si="11"/>
        <v>26205.744119539817</v>
      </c>
      <c r="L82" s="13">
        <f>+ROUND(K81*$F$304*(A82-A79)/365,2)</f>
        <v>56.03</v>
      </c>
      <c r="M82" s="308">
        <f t="shared" si="19"/>
        <v>6000.320000000001</v>
      </c>
      <c r="N82" s="39"/>
      <c r="O82" s="13">
        <f t="shared" si="12"/>
        <v>0</v>
      </c>
      <c r="P82" s="14">
        <f t="shared" si="13"/>
        <v>-348929.50588046026</v>
      </c>
      <c r="Q82" s="13">
        <f t="shared" si="14"/>
        <v>-16802.75</v>
      </c>
      <c r="R82" s="14">
        <f t="shared" si="15"/>
        <v>-26205.744119539817</v>
      </c>
      <c r="S82" s="14">
        <f t="shared" si="20"/>
        <v>-375135.25000000006</v>
      </c>
      <c r="T82" s="13">
        <f t="shared" si="16"/>
        <v>-56.03</v>
      </c>
      <c r="U82" s="14">
        <f t="shared" si="17"/>
        <v>-6000.320000000001</v>
      </c>
      <c r="V82" s="12"/>
    </row>
    <row r="83" spans="1:22" ht="15.75">
      <c r="A83" s="383"/>
      <c r="B83" s="6" t="s">
        <v>162</v>
      </c>
      <c r="C83" s="53"/>
      <c r="D83" s="344"/>
      <c r="E83" s="46"/>
      <c r="F83" s="231"/>
      <c r="G83" s="39"/>
      <c r="H83" s="13">
        <f>+'Total Billings (L.2.1)'!D40</f>
        <v>15492.43</v>
      </c>
      <c r="I83" s="14">
        <f t="shared" si="18"/>
        <v>364421.93588046025</v>
      </c>
      <c r="J83" s="25"/>
      <c r="K83" s="14">
        <f t="shared" si="11"/>
        <v>26205.744119539817</v>
      </c>
      <c r="L83" s="307"/>
      <c r="M83" s="308">
        <f t="shared" si="19"/>
        <v>6000.320000000001</v>
      </c>
      <c r="N83" s="39"/>
      <c r="O83" s="13">
        <f t="shared" si="12"/>
        <v>-15492.43</v>
      </c>
      <c r="P83" s="14">
        <f t="shared" si="13"/>
        <v>-364421.93588046025</v>
      </c>
      <c r="Q83" s="13">
        <f t="shared" si="14"/>
        <v>0</v>
      </c>
      <c r="R83" s="14">
        <f t="shared" si="15"/>
        <v>-26205.744119539817</v>
      </c>
      <c r="S83" s="14">
        <f t="shared" si="20"/>
        <v>-390627.68000000005</v>
      </c>
      <c r="T83" s="13">
        <f t="shared" si="16"/>
        <v>0</v>
      </c>
      <c r="U83" s="14">
        <f t="shared" si="17"/>
        <v>-6000.320000000001</v>
      </c>
      <c r="V83" s="12"/>
    </row>
    <row r="84" spans="1:22" ht="15.75">
      <c r="A84" s="383"/>
      <c r="B84" s="6" t="s">
        <v>94</v>
      </c>
      <c r="C84" s="53"/>
      <c r="D84" s="344"/>
      <c r="E84" s="46"/>
      <c r="F84" s="231"/>
      <c r="G84" s="39"/>
      <c r="H84" s="13"/>
      <c r="I84" s="14">
        <f t="shared" si="18"/>
        <v>364421.93588046025</v>
      </c>
      <c r="J84" s="25">
        <f>-H83</f>
        <v>-15492.43</v>
      </c>
      <c r="K84" s="14">
        <f aca="true" t="shared" si="21" ref="K84:K89">+K83+J84</f>
        <v>10713.314119539817</v>
      </c>
      <c r="M84" s="308">
        <f t="shared" si="19"/>
        <v>6000.320000000001</v>
      </c>
      <c r="N84" s="39"/>
      <c r="O84" s="13">
        <f t="shared" si="12"/>
        <v>0</v>
      </c>
      <c r="P84" s="14">
        <f t="shared" si="13"/>
        <v>-364421.93588046025</v>
      </c>
      <c r="Q84" s="13">
        <f t="shared" si="14"/>
        <v>15492.43</v>
      </c>
      <c r="R84" s="14">
        <f t="shared" si="15"/>
        <v>-10713.314119539817</v>
      </c>
      <c r="S84" s="14">
        <f t="shared" si="20"/>
        <v>-375135.25000000006</v>
      </c>
      <c r="T84" s="13">
        <f t="shared" si="16"/>
        <v>0</v>
      </c>
      <c r="U84" s="14">
        <f t="shared" si="17"/>
        <v>-6000.320000000001</v>
      </c>
      <c r="V84" s="12"/>
    </row>
    <row r="85" spans="1:22" ht="15.75">
      <c r="A85" s="383">
        <v>37986</v>
      </c>
      <c r="B85" s="6" t="s">
        <v>161</v>
      </c>
      <c r="C85" s="53"/>
      <c r="D85" s="344"/>
      <c r="E85" s="46"/>
      <c r="F85" s="231"/>
      <c r="G85" s="39"/>
      <c r="H85" s="13"/>
      <c r="I85" s="14">
        <f t="shared" si="18"/>
        <v>364421.93588046025</v>
      </c>
      <c r="J85" s="13">
        <f>+$M$298</f>
        <v>16802.75</v>
      </c>
      <c r="K85" s="14">
        <f t="shared" si="21"/>
        <v>27516.064119539817</v>
      </c>
      <c r="L85" s="13">
        <f>+ROUND(K84*$F$304*(A85-A82)/365,2)</f>
        <v>65.97</v>
      </c>
      <c r="M85" s="308">
        <f t="shared" si="19"/>
        <v>6066.290000000001</v>
      </c>
      <c r="N85" s="39"/>
      <c r="O85" s="13">
        <f t="shared" si="12"/>
        <v>0</v>
      </c>
      <c r="P85" s="14">
        <f t="shared" si="13"/>
        <v>-364421.93588046025</v>
      </c>
      <c r="Q85" s="13">
        <f t="shared" si="14"/>
        <v>-16802.75</v>
      </c>
      <c r="R85" s="14">
        <f t="shared" si="15"/>
        <v>-27516.064119539817</v>
      </c>
      <c r="S85" s="14">
        <f t="shared" si="20"/>
        <v>-391938.00000000006</v>
      </c>
      <c r="T85" s="13">
        <f t="shared" si="16"/>
        <v>-65.97</v>
      </c>
      <c r="U85" s="14">
        <f t="shared" si="17"/>
        <v>-6066.290000000001</v>
      </c>
      <c r="V85" s="12"/>
    </row>
    <row r="86" spans="1:22" ht="15.75">
      <c r="A86" s="383"/>
      <c r="B86" s="6" t="s">
        <v>162</v>
      </c>
      <c r="C86" s="53"/>
      <c r="D86" s="344"/>
      <c r="E86" s="46"/>
      <c r="F86" s="231"/>
      <c r="G86" s="39"/>
      <c r="H86" s="13">
        <f>+'Total Billings (L.2.1)'!D41</f>
        <v>16883.350000000002</v>
      </c>
      <c r="I86" s="14">
        <f t="shared" si="18"/>
        <v>381305.28588046023</v>
      </c>
      <c r="J86" s="25"/>
      <c r="K86" s="14">
        <f t="shared" si="21"/>
        <v>27516.064119539817</v>
      </c>
      <c r="L86" s="307"/>
      <c r="M86" s="308">
        <f t="shared" si="19"/>
        <v>6066.290000000001</v>
      </c>
      <c r="N86" s="39"/>
      <c r="O86" s="13">
        <f t="shared" si="12"/>
        <v>-16883.350000000002</v>
      </c>
      <c r="P86" s="14">
        <f t="shared" si="13"/>
        <v>-381305.28588046023</v>
      </c>
      <c r="Q86" s="13">
        <f t="shared" si="14"/>
        <v>0</v>
      </c>
      <c r="R86" s="14">
        <f t="shared" si="15"/>
        <v>-27516.064119539817</v>
      </c>
      <c r="S86" s="14">
        <f t="shared" si="20"/>
        <v>-408821.35000000003</v>
      </c>
      <c r="T86" s="13">
        <f t="shared" si="16"/>
        <v>0</v>
      </c>
      <c r="U86" s="14">
        <f t="shared" si="17"/>
        <v>-6066.290000000001</v>
      </c>
      <c r="V86" s="12"/>
    </row>
    <row r="87" spans="1:22" ht="15.75">
      <c r="A87" s="383"/>
      <c r="B87" s="6" t="s">
        <v>94</v>
      </c>
      <c r="C87" s="53"/>
      <c r="D87" s="344"/>
      <c r="E87" s="46"/>
      <c r="F87" s="231"/>
      <c r="G87" s="39"/>
      <c r="H87" s="13"/>
      <c r="I87" s="14">
        <f t="shared" si="18"/>
        <v>381305.28588046023</v>
      </c>
      <c r="J87" s="25">
        <f>-H86</f>
        <v>-16883.350000000002</v>
      </c>
      <c r="K87" s="14">
        <f t="shared" si="21"/>
        <v>10632.714119539814</v>
      </c>
      <c r="M87" s="308">
        <f t="shared" si="19"/>
        <v>6066.290000000001</v>
      </c>
      <c r="N87" s="39"/>
      <c r="O87" s="13">
        <f t="shared" si="12"/>
        <v>0</v>
      </c>
      <c r="P87" s="14">
        <f t="shared" si="13"/>
        <v>-381305.28588046023</v>
      </c>
      <c r="Q87" s="13">
        <f t="shared" si="14"/>
        <v>16883.350000000002</v>
      </c>
      <c r="R87" s="14">
        <f t="shared" si="15"/>
        <v>-10632.714119539814</v>
      </c>
      <c r="S87" s="14">
        <f t="shared" si="20"/>
        <v>-391938.00000000006</v>
      </c>
      <c r="T87" s="13">
        <f t="shared" si="16"/>
        <v>0</v>
      </c>
      <c r="U87" s="14">
        <f t="shared" si="17"/>
        <v>-6066.290000000001</v>
      </c>
      <c r="V87" s="12"/>
    </row>
    <row r="88" spans="1:22" ht="15.75">
      <c r="A88" s="383"/>
      <c r="B88" s="6" t="s">
        <v>143</v>
      </c>
      <c r="C88" s="53"/>
      <c r="D88" s="344"/>
      <c r="E88" s="46"/>
      <c r="F88" s="231"/>
      <c r="G88" s="39"/>
      <c r="H88" s="13">
        <f>+'Total Billings (L.2.1)'!D42</f>
        <v>-22892.70756853043</v>
      </c>
      <c r="I88" s="14">
        <f t="shared" si="18"/>
        <v>358412.5783119298</v>
      </c>
      <c r="J88" s="13"/>
      <c r="K88" s="14">
        <f t="shared" si="21"/>
        <v>10632.714119539814</v>
      </c>
      <c r="L88" s="307"/>
      <c r="M88" s="308">
        <f t="shared" si="19"/>
        <v>6066.290000000001</v>
      </c>
      <c r="N88" s="39"/>
      <c r="O88" s="13">
        <f>-H88</f>
        <v>22892.70756853043</v>
      </c>
      <c r="P88" s="14">
        <f t="shared" si="13"/>
        <v>-358412.5783119298</v>
      </c>
      <c r="Q88" s="13">
        <f>-J88</f>
        <v>0</v>
      </c>
      <c r="R88" s="14">
        <f t="shared" si="15"/>
        <v>-10632.714119539814</v>
      </c>
      <c r="S88" s="14">
        <f t="shared" si="20"/>
        <v>-369045.29243146966</v>
      </c>
      <c r="T88" s="13">
        <f t="shared" si="16"/>
        <v>0</v>
      </c>
      <c r="U88" s="14">
        <f t="shared" si="17"/>
        <v>-6066.290000000001</v>
      </c>
      <c r="V88" s="12"/>
    </row>
    <row r="89" spans="1:22" ht="15.75">
      <c r="A89" s="383"/>
      <c r="B89" s="6" t="s">
        <v>95</v>
      </c>
      <c r="C89" s="53"/>
      <c r="D89" s="344"/>
      <c r="E89" s="46"/>
      <c r="F89" s="231"/>
      <c r="G89" s="39"/>
      <c r="H89" s="13"/>
      <c r="I89" s="14">
        <f t="shared" si="18"/>
        <v>358412.5783119298</v>
      </c>
      <c r="J89" s="13">
        <f>-H88</f>
        <v>22892.70756853043</v>
      </c>
      <c r="K89" s="14">
        <f t="shared" si="21"/>
        <v>33525.421688070244</v>
      </c>
      <c r="L89" s="307"/>
      <c r="M89" s="308">
        <f t="shared" si="19"/>
        <v>6066.290000000001</v>
      </c>
      <c r="N89" s="39"/>
      <c r="O89" s="13">
        <f>-H89</f>
        <v>0</v>
      </c>
      <c r="P89" s="14">
        <f t="shared" si="13"/>
        <v>-358412.5783119298</v>
      </c>
      <c r="Q89" s="13">
        <f>-J89</f>
        <v>-22892.70756853043</v>
      </c>
      <c r="R89" s="14">
        <f t="shared" si="15"/>
        <v>-33525.421688070244</v>
      </c>
      <c r="S89" s="14">
        <f t="shared" si="20"/>
        <v>-391938.00000000006</v>
      </c>
      <c r="T89" s="13">
        <f t="shared" si="16"/>
        <v>0</v>
      </c>
      <c r="U89" s="14">
        <f t="shared" si="17"/>
        <v>-6066.290000000001</v>
      </c>
      <c r="V89" s="12"/>
    </row>
    <row r="90" spans="1:22" ht="15.75">
      <c r="A90" s="383"/>
      <c r="B90" s="6" t="s">
        <v>145</v>
      </c>
      <c r="C90" s="53"/>
      <c r="D90" s="344"/>
      <c r="E90" s="46"/>
      <c r="F90" s="231"/>
      <c r="G90" s="39"/>
      <c r="H90" s="13">
        <f>+'Total Billings (L.2.1)'!D43</f>
        <v>17110.05</v>
      </c>
      <c r="I90" s="14">
        <f aca="true" t="shared" si="22" ref="I90:M105">+I89+H90</f>
        <v>375522.6283119298</v>
      </c>
      <c r="J90" s="25"/>
      <c r="K90" s="14">
        <f t="shared" si="22"/>
        <v>33525.421688070244</v>
      </c>
      <c r="L90" s="307"/>
      <c r="M90" s="308">
        <f t="shared" si="19"/>
        <v>6066.290000000001</v>
      </c>
      <c r="N90" s="39"/>
      <c r="O90" s="13">
        <f t="shared" si="12"/>
        <v>-17110.05</v>
      </c>
      <c r="P90" s="14">
        <f t="shared" si="13"/>
        <v>-375522.6283119298</v>
      </c>
      <c r="Q90" s="13">
        <f t="shared" si="14"/>
        <v>0</v>
      </c>
      <c r="R90" s="14">
        <f t="shared" si="15"/>
        <v>-33525.421688070244</v>
      </c>
      <c r="S90" s="14">
        <f t="shared" si="20"/>
        <v>-409048.05000000005</v>
      </c>
      <c r="T90" s="13">
        <f t="shared" si="16"/>
        <v>0</v>
      </c>
      <c r="U90" s="14">
        <f t="shared" si="17"/>
        <v>-6066.290000000001</v>
      </c>
      <c r="V90" s="12"/>
    </row>
    <row r="91" spans="1:22" ht="15.75">
      <c r="A91" s="383"/>
      <c r="B91" s="6" t="s">
        <v>96</v>
      </c>
      <c r="C91" s="53"/>
      <c r="D91" s="344"/>
      <c r="E91" s="46"/>
      <c r="F91" s="231"/>
      <c r="G91" s="39"/>
      <c r="H91" s="13"/>
      <c r="I91" s="14">
        <f t="shared" si="22"/>
        <v>375522.6283119298</v>
      </c>
      <c r="J91" s="25">
        <f>-H90</f>
        <v>-17110.05</v>
      </c>
      <c r="K91" s="14">
        <f t="shared" si="22"/>
        <v>16415.371688070245</v>
      </c>
      <c r="L91" s="307"/>
      <c r="M91" s="308">
        <f t="shared" si="19"/>
        <v>6066.290000000001</v>
      </c>
      <c r="N91" s="39"/>
      <c r="O91" s="13">
        <f t="shared" si="12"/>
        <v>0</v>
      </c>
      <c r="P91" s="14">
        <f t="shared" si="13"/>
        <v>-375522.6283119298</v>
      </c>
      <c r="Q91" s="13">
        <f t="shared" si="14"/>
        <v>17110.05</v>
      </c>
      <c r="R91" s="14">
        <f t="shared" si="15"/>
        <v>-16415.371688070245</v>
      </c>
      <c r="S91" s="14">
        <f t="shared" si="20"/>
        <v>-391938.00000000006</v>
      </c>
      <c r="T91" s="13">
        <f t="shared" si="16"/>
        <v>0</v>
      </c>
      <c r="U91" s="14">
        <f t="shared" si="17"/>
        <v>-6066.290000000001</v>
      </c>
      <c r="V91" s="12"/>
    </row>
    <row r="92" spans="1:22" ht="15.75">
      <c r="A92" s="322"/>
      <c r="B92" s="334"/>
      <c r="C92" s="325">
        <f>+J85+J82+J79+J76+J73+J70+J66+J63+J60+J57+J54+J51</f>
        <v>201633</v>
      </c>
      <c r="D92" s="348">
        <f>+J69</f>
        <v>-9002</v>
      </c>
      <c r="E92" s="324">
        <f>-(+I92-I49)</f>
        <v>-202544.44892568147</v>
      </c>
      <c r="F92" s="336">
        <f>+M92-M49</f>
        <v>1119.75</v>
      </c>
      <c r="G92" s="39"/>
      <c r="H92" s="326"/>
      <c r="I92" s="327">
        <f t="shared" si="22"/>
        <v>375522.6283119298</v>
      </c>
      <c r="J92" s="326"/>
      <c r="K92" s="327">
        <f t="shared" si="22"/>
        <v>16415.371688070245</v>
      </c>
      <c r="L92" s="335"/>
      <c r="M92" s="327">
        <f t="shared" si="22"/>
        <v>6066.290000000001</v>
      </c>
      <c r="N92" s="39"/>
      <c r="O92" s="326">
        <f t="shared" si="12"/>
        <v>0</v>
      </c>
      <c r="P92" s="327">
        <f t="shared" si="13"/>
        <v>-375522.6283119298</v>
      </c>
      <c r="Q92" s="326">
        <f t="shared" si="14"/>
        <v>0</v>
      </c>
      <c r="R92" s="327">
        <f t="shared" si="15"/>
        <v>-16415.371688070245</v>
      </c>
      <c r="S92" s="327">
        <f t="shared" si="20"/>
        <v>-391938.00000000006</v>
      </c>
      <c r="T92" s="326">
        <f t="shared" si="16"/>
        <v>0</v>
      </c>
      <c r="U92" s="327">
        <f t="shared" si="17"/>
        <v>-6066.290000000001</v>
      </c>
      <c r="V92" s="12"/>
    </row>
    <row r="93" spans="1:22" ht="15.75">
      <c r="A93" s="305" t="s">
        <v>144</v>
      </c>
      <c r="B93" s="6"/>
      <c r="C93" s="54"/>
      <c r="D93" s="345"/>
      <c r="E93" s="50"/>
      <c r="F93" s="232"/>
      <c r="G93" s="39"/>
      <c r="H93" s="13"/>
      <c r="I93" s="14">
        <f t="shared" si="22"/>
        <v>375522.6283119298</v>
      </c>
      <c r="J93" s="25"/>
      <c r="K93" s="14">
        <f t="shared" si="22"/>
        <v>16415.371688070245</v>
      </c>
      <c r="L93" s="309"/>
      <c r="M93" s="308">
        <f t="shared" si="22"/>
        <v>6066.290000000001</v>
      </c>
      <c r="N93" s="39"/>
      <c r="O93" s="13">
        <f t="shared" si="12"/>
        <v>0</v>
      </c>
      <c r="P93" s="14">
        <f t="shared" si="13"/>
        <v>-375522.6283119298</v>
      </c>
      <c r="Q93" s="13">
        <f t="shared" si="14"/>
        <v>0</v>
      </c>
      <c r="R93" s="14">
        <f t="shared" si="15"/>
        <v>-16415.371688070245</v>
      </c>
      <c r="S93" s="14">
        <f t="shared" si="20"/>
        <v>-391938.00000000006</v>
      </c>
      <c r="T93" s="13">
        <f t="shared" si="16"/>
        <v>0</v>
      </c>
      <c r="U93" s="14">
        <f t="shared" si="17"/>
        <v>-6066.290000000001</v>
      </c>
      <c r="V93" s="12"/>
    </row>
    <row r="94" spans="1:22" ht="15.75">
      <c r="A94" s="383">
        <v>38017</v>
      </c>
      <c r="B94" s="6" t="s">
        <v>161</v>
      </c>
      <c r="C94" s="53"/>
      <c r="D94" s="344"/>
      <c r="E94" s="46"/>
      <c r="F94" s="231"/>
      <c r="G94" s="39"/>
      <c r="H94" s="13"/>
      <c r="I94" s="14">
        <f t="shared" si="22"/>
        <v>375522.6283119298</v>
      </c>
      <c r="J94" s="13">
        <f>+$M$298</f>
        <v>16802.75</v>
      </c>
      <c r="K94" s="14">
        <f t="shared" si="22"/>
        <v>33218.12168807024</v>
      </c>
      <c r="L94" s="13">
        <f>+ROUND(K93*$F$304*(A94-A85)/365,2)</f>
        <v>101.08</v>
      </c>
      <c r="M94" s="308">
        <f t="shared" si="22"/>
        <v>6167.370000000001</v>
      </c>
      <c r="N94" s="39"/>
      <c r="O94" s="13">
        <f t="shared" si="12"/>
        <v>0</v>
      </c>
      <c r="P94" s="14">
        <f t="shared" si="13"/>
        <v>-375522.6283119298</v>
      </c>
      <c r="Q94" s="13">
        <f t="shared" si="14"/>
        <v>-16802.75</v>
      </c>
      <c r="R94" s="14">
        <f t="shared" si="15"/>
        <v>-33218.12168807024</v>
      </c>
      <c r="S94" s="14">
        <f t="shared" si="20"/>
        <v>-408740.75000000006</v>
      </c>
      <c r="T94" s="13">
        <f t="shared" si="16"/>
        <v>-101.08</v>
      </c>
      <c r="U94" s="14">
        <f t="shared" si="17"/>
        <v>-6167.370000000001</v>
      </c>
      <c r="V94" s="12"/>
    </row>
    <row r="95" spans="1:22" ht="15.75">
      <c r="A95" s="383"/>
      <c r="B95" s="6" t="s">
        <v>162</v>
      </c>
      <c r="C95" s="53"/>
      <c r="D95" s="344"/>
      <c r="E95" s="46"/>
      <c r="F95" s="231"/>
      <c r="G95" s="39"/>
      <c r="H95" s="13">
        <f>+'Total Billings (L.2.1)'!D52</f>
        <v>16840.579999999998</v>
      </c>
      <c r="I95" s="14">
        <f t="shared" si="22"/>
        <v>392363.20831192983</v>
      </c>
      <c r="J95" s="25"/>
      <c r="K95" s="14">
        <f t="shared" si="22"/>
        <v>33218.12168807024</v>
      </c>
      <c r="L95" s="309"/>
      <c r="M95" s="308">
        <f t="shared" si="22"/>
        <v>6167.370000000001</v>
      </c>
      <c r="N95" s="39"/>
      <c r="O95" s="13">
        <f t="shared" si="12"/>
        <v>-16840.579999999998</v>
      </c>
      <c r="P95" s="14">
        <f t="shared" si="13"/>
        <v>-392363.20831192983</v>
      </c>
      <c r="Q95" s="13">
        <f t="shared" si="14"/>
        <v>0</v>
      </c>
      <c r="R95" s="14">
        <f t="shared" si="15"/>
        <v>-33218.12168807024</v>
      </c>
      <c r="S95" s="14">
        <f t="shared" si="20"/>
        <v>-425581.3300000001</v>
      </c>
      <c r="T95" s="13">
        <f t="shared" si="16"/>
        <v>0</v>
      </c>
      <c r="U95" s="14">
        <f t="shared" si="17"/>
        <v>-6167.370000000001</v>
      </c>
      <c r="V95" s="12"/>
    </row>
    <row r="96" spans="1:22" ht="15.75">
      <c r="A96" s="383"/>
      <c r="B96" s="6" t="s">
        <v>94</v>
      </c>
      <c r="C96" s="53"/>
      <c r="D96" s="344"/>
      <c r="E96" s="46"/>
      <c r="F96" s="231"/>
      <c r="G96" s="39"/>
      <c r="H96" s="13"/>
      <c r="I96" s="14">
        <f t="shared" si="22"/>
        <v>392363.20831192983</v>
      </c>
      <c r="J96" s="25">
        <f>-H95</f>
        <v>-16840.579999999998</v>
      </c>
      <c r="K96" s="14">
        <f t="shared" si="22"/>
        <v>16377.541688070243</v>
      </c>
      <c r="M96" s="308">
        <f t="shared" si="22"/>
        <v>6167.370000000001</v>
      </c>
      <c r="N96" s="39"/>
      <c r="O96" s="13">
        <f t="shared" si="12"/>
        <v>0</v>
      </c>
      <c r="P96" s="14">
        <f t="shared" si="13"/>
        <v>-392363.20831192983</v>
      </c>
      <c r="Q96" s="13">
        <f t="shared" si="14"/>
        <v>16840.579999999998</v>
      </c>
      <c r="R96" s="14">
        <f t="shared" si="15"/>
        <v>-16377.541688070243</v>
      </c>
      <c r="S96" s="14">
        <f t="shared" si="20"/>
        <v>-408740.75000000006</v>
      </c>
      <c r="T96" s="13">
        <f t="shared" si="16"/>
        <v>0</v>
      </c>
      <c r="U96" s="14">
        <f t="shared" si="17"/>
        <v>-6167.370000000001</v>
      </c>
      <c r="V96" s="12"/>
    </row>
    <row r="97" spans="1:22" ht="15.75">
      <c r="A97" s="383">
        <v>38046</v>
      </c>
      <c r="B97" s="6" t="s">
        <v>161</v>
      </c>
      <c r="C97" s="53"/>
      <c r="D97" s="344"/>
      <c r="E97" s="46"/>
      <c r="F97" s="231"/>
      <c r="G97" s="39"/>
      <c r="H97" s="13"/>
      <c r="I97" s="14">
        <f t="shared" si="22"/>
        <v>392363.20831192983</v>
      </c>
      <c r="J97" s="13">
        <f>+$M$298</f>
        <v>16802.75</v>
      </c>
      <c r="K97" s="14">
        <f t="shared" si="22"/>
        <v>33180.29168807024</v>
      </c>
      <c r="L97" s="13">
        <f>+ROUND(K96*$F$304*(A97-A94)/365,2)</f>
        <v>94.34</v>
      </c>
      <c r="M97" s="308">
        <f t="shared" si="22"/>
        <v>6261.710000000001</v>
      </c>
      <c r="N97" s="39"/>
      <c r="O97" s="13">
        <f t="shared" si="12"/>
        <v>0</v>
      </c>
      <c r="P97" s="14">
        <f t="shared" si="13"/>
        <v>-392363.20831192983</v>
      </c>
      <c r="Q97" s="13">
        <f t="shared" si="14"/>
        <v>-16802.75</v>
      </c>
      <c r="R97" s="14">
        <f t="shared" si="15"/>
        <v>-33180.29168807024</v>
      </c>
      <c r="S97" s="14">
        <f t="shared" si="20"/>
        <v>-425543.50000000006</v>
      </c>
      <c r="T97" s="13">
        <f t="shared" si="16"/>
        <v>-94.34</v>
      </c>
      <c r="U97" s="14">
        <f t="shared" si="17"/>
        <v>-6261.710000000001</v>
      </c>
      <c r="V97" s="12"/>
    </row>
    <row r="98" spans="1:22" ht="15.75">
      <c r="A98" s="383"/>
      <c r="B98" s="6" t="s">
        <v>162</v>
      </c>
      <c r="C98" s="53"/>
      <c r="D98" s="344"/>
      <c r="E98" s="46"/>
      <c r="F98" s="231"/>
      <c r="G98" s="39"/>
      <c r="H98" s="13">
        <f>+'Total Billings (L.2.1)'!D53</f>
        <v>18239.75</v>
      </c>
      <c r="I98" s="14">
        <f t="shared" si="22"/>
        <v>410602.95831192983</v>
      </c>
      <c r="J98" s="25"/>
      <c r="K98" s="14">
        <f t="shared" si="22"/>
        <v>33180.29168807024</v>
      </c>
      <c r="L98" s="309"/>
      <c r="M98" s="308">
        <f t="shared" si="22"/>
        <v>6261.710000000001</v>
      </c>
      <c r="N98" s="39"/>
      <c r="O98" s="13">
        <f t="shared" si="12"/>
        <v>-18239.75</v>
      </c>
      <c r="P98" s="14">
        <f t="shared" si="13"/>
        <v>-410602.95831192983</v>
      </c>
      <c r="Q98" s="13">
        <f t="shared" si="14"/>
        <v>0</v>
      </c>
      <c r="R98" s="14">
        <f t="shared" si="15"/>
        <v>-33180.29168807024</v>
      </c>
      <c r="S98" s="14">
        <f t="shared" si="20"/>
        <v>-443783.25000000006</v>
      </c>
      <c r="T98" s="13">
        <f t="shared" si="16"/>
        <v>0</v>
      </c>
      <c r="U98" s="14">
        <f t="shared" si="17"/>
        <v>-6261.710000000001</v>
      </c>
      <c r="V98" s="12"/>
    </row>
    <row r="99" spans="1:22" ht="15.75">
      <c r="A99" s="383"/>
      <c r="B99" s="6" t="s">
        <v>94</v>
      </c>
      <c r="C99" s="53"/>
      <c r="D99" s="344"/>
      <c r="E99" s="46"/>
      <c r="F99" s="231"/>
      <c r="G99" s="39"/>
      <c r="H99" s="13"/>
      <c r="I99" s="14">
        <f t="shared" si="22"/>
        <v>410602.95831192983</v>
      </c>
      <c r="J99" s="25">
        <f>-H98</f>
        <v>-18239.75</v>
      </c>
      <c r="K99" s="14">
        <f t="shared" si="22"/>
        <v>14940.54168807024</v>
      </c>
      <c r="M99" s="308">
        <f t="shared" si="22"/>
        <v>6261.710000000001</v>
      </c>
      <c r="N99" s="39"/>
      <c r="O99" s="13">
        <f t="shared" si="12"/>
        <v>0</v>
      </c>
      <c r="P99" s="14">
        <f t="shared" si="13"/>
        <v>-410602.95831192983</v>
      </c>
      <c r="Q99" s="13">
        <f t="shared" si="14"/>
        <v>18239.75</v>
      </c>
      <c r="R99" s="14">
        <f t="shared" si="15"/>
        <v>-14940.54168807024</v>
      </c>
      <c r="S99" s="14">
        <f t="shared" si="20"/>
        <v>-425543.50000000006</v>
      </c>
      <c r="T99" s="13">
        <f t="shared" si="16"/>
        <v>0</v>
      </c>
      <c r="U99" s="14">
        <f t="shared" si="17"/>
        <v>-6261.710000000001</v>
      </c>
      <c r="V99" s="12"/>
    </row>
    <row r="100" spans="1:22" ht="15.75">
      <c r="A100" s="383">
        <v>38077</v>
      </c>
      <c r="B100" s="6" t="s">
        <v>161</v>
      </c>
      <c r="C100" s="53"/>
      <c r="D100" s="344"/>
      <c r="E100" s="46"/>
      <c r="F100" s="231"/>
      <c r="G100" s="39"/>
      <c r="H100" s="13"/>
      <c r="I100" s="14">
        <f t="shared" si="22"/>
        <v>410602.95831192983</v>
      </c>
      <c r="J100" s="13">
        <f>+$M$298</f>
        <v>16802.75</v>
      </c>
      <c r="K100" s="14">
        <f t="shared" si="22"/>
        <v>31743.29168807024</v>
      </c>
      <c r="L100" s="13">
        <f>+ROUND(K99*$F$304*(A100-A97)/365,2)</f>
        <v>92</v>
      </c>
      <c r="M100" s="308">
        <f t="shared" si="22"/>
        <v>6353.710000000001</v>
      </c>
      <c r="N100" s="39"/>
      <c r="O100" s="13">
        <f t="shared" si="12"/>
        <v>0</v>
      </c>
      <c r="P100" s="14">
        <f t="shared" si="13"/>
        <v>-410602.95831192983</v>
      </c>
      <c r="Q100" s="13">
        <f t="shared" si="14"/>
        <v>-16802.75</v>
      </c>
      <c r="R100" s="14">
        <f t="shared" si="15"/>
        <v>-31743.29168807024</v>
      </c>
      <c r="S100" s="14">
        <f t="shared" si="20"/>
        <v>-442346.25000000006</v>
      </c>
      <c r="T100" s="13">
        <f t="shared" si="16"/>
        <v>-92</v>
      </c>
      <c r="U100" s="14">
        <f t="shared" si="17"/>
        <v>-6353.710000000001</v>
      </c>
      <c r="V100" s="12"/>
    </row>
    <row r="101" spans="1:22" ht="15.75">
      <c r="A101" s="383"/>
      <c r="B101" s="6" t="s">
        <v>162</v>
      </c>
      <c r="C101" s="53"/>
      <c r="D101" s="344"/>
      <c r="E101" s="46"/>
      <c r="F101" s="231"/>
      <c r="G101" s="39"/>
      <c r="H101" s="13">
        <f>+'Total Billings (L.2.1)'!D54</f>
        <v>19227.119999999995</v>
      </c>
      <c r="I101" s="14">
        <f t="shared" si="22"/>
        <v>429830.0783119298</v>
      </c>
      <c r="J101" s="25"/>
      <c r="K101" s="14">
        <f t="shared" si="22"/>
        <v>31743.29168807024</v>
      </c>
      <c r="L101" s="309"/>
      <c r="M101" s="308">
        <f t="shared" si="22"/>
        <v>6353.710000000001</v>
      </c>
      <c r="N101" s="39"/>
      <c r="O101" s="13">
        <f t="shared" si="12"/>
        <v>-19227.119999999995</v>
      </c>
      <c r="P101" s="14">
        <f t="shared" si="13"/>
        <v>-429830.0783119298</v>
      </c>
      <c r="Q101" s="13">
        <f t="shared" si="14"/>
        <v>0</v>
      </c>
      <c r="R101" s="14">
        <f t="shared" si="15"/>
        <v>-31743.29168807024</v>
      </c>
      <c r="S101" s="14">
        <f t="shared" si="20"/>
        <v>-461573.37000000005</v>
      </c>
      <c r="T101" s="13">
        <f t="shared" si="16"/>
        <v>0</v>
      </c>
      <c r="U101" s="14">
        <f t="shared" si="17"/>
        <v>-6353.710000000001</v>
      </c>
      <c r="V101" s="12"/>
    </row>
    <row r="102" spans="1:22" ht="15.75">
      <c r="A102" s="386"/>
      <c r="B102" s="316" t="s">
        <v>94</v>
      </c>
      <c r="C102" s="318"/>
      <c r="D102" s="347"/>
      <c r="E102" s="317"/>
      <c r="F102" s="321"/>
      <c r="G102" s="39"/>
      <c r="H102" s="319"/>
      <c r="I102" s="320">
        <f t="shared" si="22"/>
        <v>429830.0783119298</v>
      </c>
      <c r="J102" s="337">
        <f>-H101</f>
        <v>-19227.119999999995</v>
      </c>
      <c r="K102" s="320">
        <f t="shared" si="22"/>
        <v>12516.171688070244</v>
      </c>
      <c r="L102" s="331"/>
      <c r="M102" s="332">
        <f t="shared" si="22"/>
        <v>6353.710000000001</v>
      </c>
      <c r="N102" s="39"/>
      <c r="O102" s="319">
        <f t="shared" si="12"/>
        <v>0</v>
      </c>
      <c r="P102" s="320">
        <f t="shared" si="13"/>
        <v>-429830.0783119298</v>
      </c>
      <c r="Q102" s="319">
        <f t="shared" si="14"/>
        <v>19227.119999999995</v>
      </c>
      <c r="R102" s="320">
        <f t="shared" si="15"/>
        <v>-12516.171688070244</v>
      </c>
      <c r="S102" s="320">
        <f t="shared" si="20"/>
        <v>-442346.25000000006</v>
      </c>
      <c r="T102" s="319">
        <f t="shared" si="16"/>
        <v>0</v>
      </c>
      <c r="U102" s="320">
        <f t="shared" si="17"/>
        <v>-6353.710000000001</v>
      </c>
      <c r="V102" s="12"/>
    </row>
    <row r="103" spans="1:22" ht="15.75">
      <c r="A103" s="383">
        <v>38107</v>
      </c>
      <c r="B103" s="6" t="s">
        <v>12</v>
      </c>
      <c r="C103" s="53"/>
      <c r="D103" s="344"/>
      <c r="E103" s="46"/>
      <c r="F103" s="231"/>
      <c r="G103" s="39"/>
      <c r="H103" s="13"/>
      <c r="I103" s="14">
        <f t="shared" si="22"/>
        <v>429830.0783119298</v>
      </c>
      <c r="J103" s="13">
        <f>+$M$295</f>
        <v>12878.916666666666</v>
      </c>
      <c r="K103" s="14">
        <f t="shared" si="22"/>
        <v>25395.08835473691</v>
      </c>
      <c r="L103" s="13">
        <f>+ROUND(K102*$F$304*(A103-A100)/365,2)</f>
        <v>74.58</v>
      </c>
      <c r="M103" s="308">
        <f t="shared" si="22"/>
        <v>6428.290000000001</v>
      </c>
      <c r="N103" s="39"/>
      <c r="O103" s="13">
        <f t="shared" si="12"/>
        <v>0</v>
      </c>
      <c r="P103" s="14">
        <f t="shared" si="13"/>
        <v>-429830.0783119298</v>
      </c>
      <c r="Q103" s="13">
        <f t="shared" si="14"/>
        <v>-12878.916666666666</v>
      </c>
      <c r="R103" s="14">
        <f t="shared" si="15"/>
        <v>-25395.08835473691</v>
      </c>
      <c r="S103" s="14">
        <f t="shared" si="20"/>
        <v>-455225.16666666674</v>
      </c>
      <c r="T103" s="13">
        <f t="shared" si="16"/>
        <v>-74.58</v>
      </c>
      <c r="U103" s="14">
        <f t="shared" si="17"/>
        <v>-6428.290000000001</v>
      </c>
      <c r="V103" s="12"/>
    </row>
    <row r="104" spans="1:22" ht="15.75">
      <c r="A104" s="383"/>
      <c r="B104" s="6" t="s">
        <v>162</v>
      </c>
      <c r="C104" s="53"/>
      <c r="D104" s="344"/>
      <c r="E104" s="46"/>
      <c r="F104" s="231"/>
      <c r="G104" s="39"/>
      <c r="H104" s="13">
        <f>+'Total Billings (L.2.1)'!D55</f>
        <v>11621.660000000002</v>
      </c>
      <c r="I104" s="14">
        <f t="shared" si="22"/>
        <v>441451.7383119298</v>
      </c>
      <c r="J104" s="25"/>
      <c r="K104" s="14">
        <f t="shared" si="22"/>
        <v>25395.08835473691</v>
      </c>
      <c r="L104" s="307"/>
      <c r="M104" s="308">
        <f t="shared" si="22"/>
        <v>6428.290000000001</v>
      </c>
      <c r="N104" s="39"/>
      <c r="O104" s="13">
        <f t="shared" si="12"/>
        <v>-11621.660000000002</v>
      </c>
      <c r="P104" s="14">
        <f t="shared" si="13"/>
        <v>-441451.7383119298</v>
      </c>
      <c r="Q104" s="13">
        <f t="shared" si="14"/>
        <v>0</v>
      </c>
      <c r="R104" s="14">
        <f t="shared" si="15"/>
        <v>-25395.08835473691</v>
      </c>
      <c r="S104" s="14">
        <f t="shared" si="20"/>
        <v>-466846.8266666667</v>
      </c>
      <c r="T104" s="13">
        <f t="shared" si="16"/>
        <v>0</v>
      </c>
      <c r="U104" s="14">
        <f t="shared" si="17"/>
        <v>-6428.290000000001</v>
      </c>
      <c r="V104" s="12"/>
    </row>
    <row r="105" spans="1:22" ht="15.75">
      <c r="A105" s="383"/>
      <c r="B105" s="6" t="s">
        <v>94</v>
      </c>
      <c r="C105" s="53"/>
      <c r="D105" s="344"/>
      <c r="E105" s="46"/>
      <c r="F105" s="231"/>
      <c r="G105" s="39"/>
      <c r="H105" s="13"/>
      <c r="I105" s="14">
        <f t="shared" si="22"/>
        <v>441451.7383119298</v>
      </c>
      <c r="J105" s="25">
        <f>-H104</f>
        <v>-11621.660000000002</v>
      </c>
      <c r="K105" s="14">
        <f t="shared" si="22"/>
        <v>13773.428354736907</v>
      </c>
      <c r="M105" s="308">
        <f t="shared" si="22"/>
        <v>6428.290000000001</v>
      </c>
      <c r="N105" s="39"/>
      <c r="O105" s="13">
        <f t="shared" si="12"/>
        <v>0</v>
      </c>
      <c r="P105" s="14">
        <f t="shared" si="13"/>
        <v>-441451.7383119298</v>
      </c>
      <c r="Q105" s="13">
        <f t="shared" si="14"/>
        <v>11621.660000000002</v>
      </c>
      <c r="R105" s="14">
        <f t="shared" si="15"/>
        <v>-13773.428354736907</v>
      </c>
      <c r="S105" s="14">
        <f t="shared" si="20"/>
        <v>-455225.1666666667</v>
      </c>
      <c r="T105" s="13">
        <f t="shared" si="16"/>
        <v>0</v>
      </c>
      <c r="U105" s="14">
        <f t="shared" si="17"/>
        <v>-6428.290000000001</v>
      </c>
      <c r="V105" s="12"/>
    </row>
    <row r="106" spans="1:22" ht="15.75">
      <c r="A106" s="383">
        <v>38138</v>
      </c>
      <c r="B106" s="6" t="s">
        <v>12</v>
      </c>
      <c r="C106" s="53"/>
      <c r="D106" s="344"/>
      <c r="E106" s="46"/>
      <c r="F106" s="231"/>
      <c r="G106" s="39"/>
      <c r="H106" s="13"/>
      <c r="I106" s="14">
        <f aca="true" t="shared" si="23" ref="I106:M121">+I105+H106</f>
        <v>441451.7383119298</v>
      </c>
      <c r="J106" s="25">
        <f>+$M$295</f>
        <v>12878.916666666666</v>
      </c>
      <c r="K106" s="14">
        <f t="shared" si="23"/>
        <v>26652.345021403573</v>
      </c>
      <c r="L106" s="13">
        <f>+ROUND(K105*$F$304*(A106-A103)/365,2)</f>
        <v>84.81</v>
      </c>
      <c r="M106" s="308">
        <f t="shared" si="23"/>
        <v>6513.100000000001</v>
      </c>
      <c r="N106" s="39"/>
      <c r="O106" s="13">
        <f t="shared" si="12"/>
        <v>0</v>
      </c>
      <c r="P106" s="14">
        <f t="shared" si="13"/>
        <v>-441451.7383119298</v>
      </c>
      <c r="Q106" s="13">
        <f t="shared" si="14"/>
        <v>-12878.916666666666</v>
      </c>
      <c r="R106" s="14">
        <f t="shared" si="15"/>
        <v>-26652.345021403573</v>
      </c>
      <c r="S106" s="14">
        <f t="shared" si="20"/>
        <v>-468104.0833333334</v>
      </c>
      <c r="T106" s="13">
        <f t="shared" si="16"/>
        <v>-84.81</v>
      </c>
      <c r="U106" s="14">
        <f t="shared" si="17"/>
        <v>-6513.100000000001</v>
      </c>
      <c r="V106" s="12"/>
    </row>
    <row r="107" spans="1:22" ht="15.75">
      <c r="A107" s="383"/>
      <c r="B107" s="6" t="s">
        <v>162</v>
      </c>
      <c r="C107" s="53"/>
      <c r="D107" s="344"/>
      <c r="E107" s="46"/>
      <c r="F107" s="231"/>
      <c r="G107" s="39"/>
      <c r="H107" s="13">
        <f>+'Total Billings (L.2.1)'!D56</f>
        <v>16209.600000000002</v>
      </c>
      <c r="I107" s="14">
        <f t="shared" si="23"/>
        <v>457661.3383119298</v>
      </c>
      <c r="J107" s="25"/>
      <c r="K107" s="14">
        <f t="shared" si="23"/>
        <v>26652.345021403573</v>
      </c>
      <c r="L107" s="307"/>
      <c r="M107" s="308">
        <f t="shared" si="23"/>
        <v>6513.100000000001</v>
      </c>
      <c r="N107" s="39"/>
      <c r="O107" s="13">
        <f t="shared" si="12"/>
        <v>-16209.600000000002</v>
      </c>
      <c r="P107" s="14">
        <f t="shared" si="13"/>
        <v>-457661.3383119298</v>
      </c>
      <c r="Q107" s="13">
        <f t="shared" si="14"/>
        <v>0</v>
      </c>
      <c r="R107" s="14">
        <f t="shared" si="15"/>
        <v>-26652.345021403573</v>
      </c>
      <c r="S107" s="14">
        <f t="shared" si="20"/>
        <v>-484313.68333333335</v>
      </c>
      <c r="T107" s="13">
        <f t="shared" si="16"/>
        <v>0</v>
      </c>
      <c r="U107" s="14">
        <f t="shared" si="17"/>
        <v>-6513.100000000001</v>
      </c>
      <c r="V107" s="12"/>
    </row>
    <row r="108" spans="1:22" ht="15.75">
      <c r="A108" s="383"/>
      <c r="B108" s="6" t="s">
        <v>94</v>
      </c>
      <c r="C108" s="53"/>
      <c r="D108" s="344"/>
      <c r="E108" s="46"/>
      <c r="F108" s="231"/>
      <c r="G108" s="39"/>
      <c r="H108" s="13"/>
      <c r="I108" s="14">
        <f t="shared" si="23"/>
        <v>457661.3383119298</v>
      </c>
      <c r="J108" s="25">
        <f>-H107</f>
        <v>-16209.600000000002</v>
      </c>
      <c r="K108" s="14">
        <f t="shared" si="23"/>
        <v>10442.74502140357</v>
      </c>
      <c r="M108" s="308">
        <f t="shared" si="23"/>
        <v>6513.100000000001</v>
      </c>
      <c r="N108" s="39"/>
      <c r="O108" s="13">
        <f t="shared" si="12"/>
        <v>0</v>
      </c>
      <c r="P108" s="14">
        <f t="shared" si="13"/>
        <v>-457661.3383119298</v>
      </c>
      <c r="Q108" s="13">
        <f t="shared" si="14"/>
        <v>16209.600000000002</v>
      </c>
      <c r="R108" s="14">
        <f t="shared" si="15"/>
        <v>-10442.74502140357</v>
      </c>
      <c r="S108" s="14">
        <f t="shared" si="20"/>
        <v>-468104.0833333334</v>
      </c>
      <c r="T108" s="13">
        <f t="shared" si="16"/>
        <v>0</v>
      </c>
      <c r="U108" s="14">
        <f t="shared" si="17"/>
        <v>-6513.100000000001</v>
      </c>
      <c r="V108" s="12"/>
    </row>
    <row r="109" spans="1:22" ht="15.75">
      <c r="A109" s="383">
        <v>38168</v>
      </c>
      <c r="B109" s="6" t="s">
        <v>12</v>
      </c>
      <c r="C109" s="53"/>
      <c r="D109" s="344"/>
      <c r="E109" s="46"/>
      <c r="F109" s="231"/>
      <c r="G109" s="39"/>
      <c r="H109" s="13"/>
      <c r="I109" s="14">
        <f t="shared" si="23"/>
        <v>457661.3383119298</v>
      </c>
      <c r="J109" s="25">
        <f>+$M$295</f>
        <v>12878.916666666666</v>
      </c>
      <c r="K109" s="14">
        <f t="shared" si="23"/>
        <v>23321.661688070235</v>
      </c>
      <c r="L109" s="13">
        <f>+ROUND(K108*$F$304*(A109-A106)/365,2)</f>
        <v>62.23</v>
      </c>
      <c r="M109" s="308">
        <f t="shared" si="23"/>
        <v>6575.330000000001</v>
      </c>
      <c r="N109" s="39"/>
      <c r="O109" s="13">
        <f t="shared" si="12"/>
        <v>0</v>
      </c>
      <c r="P109" s="14">
        <f t="shared" si="13"/>
        <v>-457661.3383119298</v>
      </c>
      <c r="Q109" s="13">
        <f t="shared" si="14"/>
        <v>-12878.916666666666</v>
      </c>
      <c r="R109" s="14">
        <f t="shared" si="15"/>
        <v>-23321.661688070235</v>
      </c>
      <c r="S109" s="14">
        <f t="shared" si="20"/>
        <v>-480983</v>
      </c>
      <c r="T109" s="13">
        <f t="shared" si="16"/>
        <v>-62.23</v>
      </c>
      <c r="U109" s="14">
        <f t="shared" si="17"/>
        <v>-6575.330000000001</v>
      </c>
      <c r="V109" s="12"/>
    </row>
    <row r="110" spans="1:22" ht="15.75">
      <c r="A110" s="383"/>
      <c r="B110" s="6" t="s">
        <v>162</v>
      </c>
      <c r="C110" s="53"/>
      <c r="D110" s="344"/>
      <c r="E110" s="46"/>
      <c r="F110" s="231"/>
      <c r="G110" s="39"/>
      <c r="H110" s="13">
        <f>+'Total Billings (L.2.1)'!D57</f>
        <v>12431.419999999998</v>
      </c>
      <c r="I110" s="14">
        <f t="shared" si="23"/>
        <v>470092.75831192976</v>
      </c>
      <c r="J110" s="25"/>
      <c r="K110" s="14">
        <f t="shared" si="23"/>
        <v>23321.661688070235</v>
      </c>
      <c r="L110" s="307"/>
      <c r="M110" s="308">
        <f t="shared" si="23"/>
        <v>6575.330000000001</v>
      </c>
      <c r="N110" s="39"/>
      <c r="O110" s="13">
        <f t="shared" si="12"/>
        <v>-12431.419999999998</v>
      </c>
      <c r="P110" s="14">
        <f t="shared" si="13"/>
        <v>-470092.75831192976</v>
      </c>
      <c r="Q110" s="13">
        <f t="shared" si="14"/>
        <v>0</v>
      </c>
      <c r="R110" s="14">
        <f t="shared" si="15"/>
        <v>-23321.661688070235</v>
      </c>
      <c r="S110" s="14">
        <f t="shared" si="20"/>
        <v>-493414.42</v>
      </c>
      <c r="T110" s="13">
        <f t="shared" si="16"/>
        <v>0</v>
      </c>
      <c r="U110" s="14">
        <f t="shared" si="17"/>
        <v>-6575.330000000001</v>
      </c>
      <c r="V110" s="12"/>
    </row>
    <row r="111" spans="1:22" ht="15.75">
      <c r="A111" s="383"/>
      <c r="B111" s="6" t="s">
        <v>94</v>
      </c>
      <c r="C111" s="53"/>
      <c r="D111" s="344"/>
      <c r="E111" s="46"/>
      <c r="F111" s="231"/>
      <c r="G111" s="39"/>
      <c r="H111" s="13"/>
      <c r="I111" s="14">
        <f t="shared" si="23"/>
        <v>470092.75831192976</v>
      </c>
      <c r="J111" s="25">
        <f>-H110</f>
        <v>-12431.419999999998</v>
      </c>
      <c r="K111" s="14">
        <f t="shared" si="23"/>
        <v>10890.241688070237</v>
      </c>
      <c r="M111" s="308">
        <f t="shared" si="23"/>
        <v>6575.330000000001</v>
      </c>
      <c r="N111" s="39"/>
      <c r="O111" s="13">
        <f t="shared" si="12"/>
        <v>0</v>
      </c>
      <c r="P111" s="14">
        <f t="shared" si="13"/>
        <v>-470092.75831192976</v>
      </c>
      <c r="Q111" s="13">
        <f t="shared" si="14"/>
        <v>12431.419999999998</v>
      </c>
      <c r="R111" s="14">
        <f t="shared" si="15"/>
        <v>-10890.241688070237</v>
      </c>
      <c r="S111" s="14">
        <f t="shared" si="20"/>
        <v>-480983</v>
      </c>
      <c r="T111" s="13">
        <f t="shared" si="16"/>
        <v>0</v>
      </c>
      <c r="U111" s="14">
        <f t="shared" si="17"/>
        <v>-6575.330000000001</v>
      </c>
      <c r="V111" s="12"/>
    </row>
    <row r="112" spans="1:22" ht="15.75">
      <c r="A112" s="386"/>
      <c r="B112" s="363" t="s">
        <v>179</v>
      </c>
      <c r="C112" s="357"/>
      <c r="D112" s="347"/>
      <c r="E112" s="357"/>
      <c r="F112" s="321"/>
      <c r="G112" s="39"/>
      <c r="H112" s="337"/>
      <c r="I112" s="337">
        <f t="shared" si="23"/>
        <v>470092.75831192976</v>
      </c>
      <c r="J112" s="337">
        <v>-9002</v>
      </c>
      <c r="K112" s="337">
        <f t="shared" si="23"/>
        <v>1888.2416880702367</v>
      </c>
      <c r="L112" s="333"/>
      <c r="M112" s="332">
        <f t="shared" si="23"/>
        <v>6575.330000000001</v>
      </c>
      <c r="N112" s="39"/>
      <c r="O112" s="319">
        <f t="shared" si="12"/>
        <v>0</v>
      </c>
      <c r="P112" s="320">
        <f t="shared" si="13"/>
        <v>-470092.75831192976</v>
      </c>
      <c r="Q112" s="319">
        <f t="shared" si="14"/>
        <v>9002</v>
      </c>
      <c r="R112" s="320">
        <f t="shared" si="15"/>
        <v>-1888.2416880702367</v>
      </c>
      <c r="S112" s="320">
        <f t="shared" si="20"/>
        <v>-471981</v>
      </c>
      <c r="T112" s="319">
        <f t="shared" si="16"/>
        <v>0</v>
      </c>
      <c r="U112" s="320">
        <f t="shared" si="17"/>
        <v>-6575.330000000001</v>
      </c>
      <c r="V112" s="12"/>
    </row>
    <row r="113" spans="1:22" ht="15.75">
      <c r="A113" s="409">
        <v>38199</v>
      </c>
      <c r="B113" s="6" t="s">
        <v>12</v>
      </c>
      <c r="C113" s="53"/>
      <c r="D113" s="344"/>
      <c r="E113" s="46"/>
      <c r="F113" s="231"/>
      <c r="G113" s="39"/>
      <c r="H113" s="13"/>
      <c r="I113" s="14">
        <f t="shared" si="23"/>
        <v>470092.75831192976</v>
      </c>
      <c r="J113" s="25">
        <f>+$M$295</f>
        <v>12878.916666666666</v>
      </c>
      <c r="K113" s="14">
        <f t="shared" si="23"/>
        <v>14767.158354736903</v>
      </c>
      <c r="L113" s="13">
        <f>+ROUND(K112*$F$304*(A113-A109)/365,2)</f>
        <v>11.63</v>
      </c>
      <c r="M113" s="308">
        <f t="shared" si="23"/>
        <v>6586.960000000001</v>
      </c>
      <c r="N113" s="39"/>
      <c r="O113" s="13">
        <f t="shared" si="12"/>
        <v>0</v>
      </c>
      <c r="P113" s="14">
        <f t="shared" si="13"/>
        <v>-470092.75831192976</v>
      </c>
      <c r="Q113" s="13">
        <f t="shared" si="14"/>
        <v>-12878.916666666666</v>
      </c>
      <c r="R113" s="14">
        <f t="shared" si="15"/>
        <v>-14767.158354736903</v>
      </c>
      <c r="S113" s="14">
        <f t="shared" si="20"/>
        <v>-484859.9166666667</v>
      </c>
      <c r="T113" s="13">
        <f t="shared" si="16"/>
        <v>-11.63</v>
      </c>
      <c r="U113" s="14">
        <f t="shared" si="17"/>
        <v>-6586.960000000001</v>
      </c>
      <c r="V113" s="12"/>
    </row>
    <row r="114" spans="1:22" ht="15.75">
      <c r="A114" s="383"/>
      <c r="B114" s="6" t="s">
        <v>162</v>
      </c>
      <c r="C114" s="53"/>
      <c r="D114" s="344"/>
      <c r="E114" s="46"/>
      <c r="F114" s="231"/>
      <c r="G114" s="39"/>
      <c r="H114" s="13">
        <f>+'Total Billings (L.2.1)'!D58</f>
        <v>11057.21</v>
      </c>
      <c r="I114" s="14">
        <f t="shared" si="23"/>
        <v>481149.9683119298</v>
      </c>
      <c r="J114" s="25"/>
      <c r="K114" s="14">
        <f t="shared" si="23"/>
        <v>14767.158354736903</v>
      </c>
      <c r="L114" s="307"/>
      <c r="M114" s="308">
        <f t="shared" si="23"/>
        <v>6586.960000000001</v>
      </c>
      <c r="N114" s="39"/>
      <c r="O114" s="13">
        <f t="shared" si="12"/>
        <v>-11057.21</v>
      </c>
      <c r="P114" s="14">
        <f t="shared" si="13"/>
        <v>-481149.9683119298</v>
      </c>
      <c r="Q114" s="13">
        <f t="shared" si="14"/>
        <v>0</v>
      </c>
      <c r="R114" s="14">
        <f t="shared" si="15"/>
        <v>-14767.158354736903</v>
      </c>
      <c r="S114" s="14">
        <f t="shared" si="20"/>
        <v>-495917.1266666667</v>
      </c>
      <c r="T114" s="13">
        <f t="shared" si="16"/>
        <v>0</v>
      </c>
      <c r="U114" s="14">
        <f t="shared" si="17"/>
        <v>-6586.960000000001</v>
      </c>
      <c r="V114" s="12"/>
    </row>
    <row r="115" spans="1:22" ht="15.75">
      <c r="A115" s="383"/>
      <c r="B115" s="6" t="s">
        <v>94</v>
      </c>
      <c r="C115" s="53"/>
      <c r="D115" s="344"/>
      <c r="E115" s="46"/>
      <c r="F115" s="231"/>
      <c r="G115" s="39"/>
      <c r="H115" s="13"/>
      <c r="I115" s="14">
        <f t="shared" si="23"/>
        <v>481149.9683119298</v>
      </c>
      <c r="J115" s="25">
        <f>-H114</f>
        <v>-11057.21</v>
      </c>
      <c r="K115" s="14">
        <f t="shared" si="23"/>
        <v>3709.9483547369036</v>
      </c>
      <c r="M115" s="308">
        <f t="shared" si="23"/>
        <v>6586.960000000001</v>
      </c>
      <c r="N115" s="39"/>
      <c r="O115" s="13">
        <f t="shared" si="12"/>
        <v>0</v>
      </c>
      <c r="P115" s="14">
        <f t="shared" si="13"/>
        <v>-481149.9683119298</v>
      </c>
      <c r="Q115" s="13">
        <f t="shared" si="14"/>
        <v>11057.21</v>
      </c>
      <c r="R115" s="14">
        <f t="shared" si="15"/>
        <v>-3709.9483547369036</v>
      </c>
      <c r="S115" s="14">
        <f t="shared" si="20"/>
        <v>-484859.9166666667</v>
      </c>
      <c r="T115" s="13">
        <f t="shared" si="16"/>
        <v>0</v>
      </c>
      <c r="U115" s="14">
        <f t="shared" si="17"/>
        <v>-6586.960000000001</v>
      </c>
      <c r="V115" s="12"/>
    </row>
    <row r="116" spans="1:22" ht="15.75">
      <c r="A116" s="383">
        <v>38230</v>
      </c>
      <c r="B116" s="6" t="s">
        <v>12</v>
      </c>
      <c r="C116" s="53"/>
      <c r="D116" s="344"/>
      <c r="E116" s="46"/>
      <c r="F116" s="231"/>
      <c r="G116" s="39"/>
      <c r="H116" s="13"/>
      <c r="I116" s="14">
        <f t="shared" si="23"/>
        <v>481149.9683119298</v>
      </c>
      <c r="J116" s="25">
        <f>+$M$295</f>
        <v>12878.916666666666</v>
      </c>
      <c r="K116" s="14">
        <f t="shared" si="23"/>
        <v>16588.86502140357</v>
      </c>
      <c r="L116" s="13">
        <f>+ROUND(K115*$F$304*(A116-A113)/365,2)</f>
        <v>22.84</v>
      </c>
      <c r="M116" s="308">
        <f t="shared" si="23"/>
        <v>6609.800000000001</v>
      </c>
      <c r="N116" s="39"/>
      <c r="O116" s="13">
        <f t="shared" si="12"/>
        <v>0</v>
      </c>
      <c r="P116" s="14">
        <f t="shared" si="13"/>
        <v>-481149.9683119298</v>
      </c>
      <c r="Q116" s="13">
        <f t="shared" si="14"/>
        <v>-12878.916666666666</v>
      </c>
      <c r="R116" s="14">
        <f t="shared" si="15"/>
        <v>-16588.86502140357</v>
      </c>
      <c r="S116" s="14">
        <f t="shared" si="20"/>
        <v>-497738.8333333334</v>
      </c>
      <c r="T116" s="13">
        <f t="shared" si="16"/>
        <v>-22.84</v>
      </c>
      <c r="U116" s="14">
        <f t="shared" si="17"/>
        <v>-6609.800000000001</v>
      </c>
      <c r="V116" s="12"/>
    </row>
    <row r="117" spans="1:22" ht="15.75">
      <c r="A117" s="383"/>
      <c r="B117" s="6" t="s">
        <v>162</v>
      </c>
      <c r="C117" s="53"/>
      <c r="D117" s="344"/>
      <c r="E117" s="46"/>
      <c r="F117" s="231"/>
      <c r="G117" s="39"/>
      <c r="H117" s="13">
        <f>+'Total Billings (L.2.1)'!D59</f>
        <v>14239.84</v>
      </c>
      <c r="I117" s="14">
        <f t="shared" si="23"/>
        <v>495389.8083119298</v>
      </c>
      <c r="J117" s="25"/>
      <c r="K117" s="14">
        <f t="shared" si="23"/>
        <v>16588.86502140357</v>
      </c>
      <c r="L117" s="307"/>
      <c r="M117" s="308">
        <f t="shared" si="23"/>
        <v>6609.800000000001</v>
      </c>
      <c r="N117" s="39"/>
      <c r="O117" s="13">
        <f t="shared" si="12"/>
        <v>-14239.84</v>
      </c>
      <c r="P117" s="14">
        <f t="shared" si="13"/>
        <v>-495389.8083119298</v>
      </c>
      <c r="Q117" s="13">
        <f t="shared" si="14"/>
        <v>0</v>
      </c>
      <c r="R117" s="14">
        <f t="shared" si="15"/>
        <v>-16588.86502140357</v>
      </c>
      <c r="S117" s="14">
        <f t="shared" si="20"/>
        <v>-511978.6733333334</v>
      </c>
      <c r="T117" s="13">
        <f t="shared" si="16"/>
        <v>0</v>
      </c>
      <c r="U117" s="14">
        <f t="shared" si="17"/>
        <v>-6609.800000000001</v>
      </c>
      <c r="V117" s="12"/>
    </row>
    <row r="118" spans="1:22" ht="15.75">
      <c r="A118" s="383"/>
      <c r="B118" s="6" t="s">
        <v>94</v>
      </c>
      <c r="C118" s="53"/>
      <c r="D118" s="344"/>
      <c r="E118" s="46"/>
      <c r="F118" s="231"/>
      <c r="G118" s="39"/>
      <c r="H118" s="13"/>
      <c r="I118" s="14">
        <f t="shared" si="23"/>
        <v>495389.8083119298</v>
      </c>
      <c r="J118" s="25">
        <f>-H117</f>
        <v>-14239.84</v>
      </c>
      <c r="K118" s="14">
        <f t="shared" si="23"/>
        <v>2349.0250214035696</v>
      </c>
      <c r="M118" s="308">
        <f t="shared" si="23"/>
        <v>6609.800000000001</v>
      </c>
      <c r="N118" s="39"/>
      <c r="O118" s="13">
        <f t="shared" si="12"/>
        <v>0</v>
      </c>
      <c r="P118" s="14">
        <f t="shared" si="13"/>
        <v>-495389.8083119298</v>
      </c>
      <c r="Q118" s="13">
        <f t="shared" si="14"/>
        <v>14239.84</v>
      </c>
      <c r="R118" s="14">
        <f t="shared" si="15"/>
        <v>-2349.0250214035696</v>
      </c>
      <c r="S118" s="14">
        <f t="shared" si="20"/>
        <v>-497738.8333333334</v>
      </c>
      <c r="T118" s="13">
        <f t="shared" si="16"/>
        <v>0</v>
      </c>
      <c r="U118" s="14">
        <f t="shared" si="17"/>
        <v>-6609.800000000001</v>
      </c>
      <c r="V118" s="12"/>
    </row>
    <row r="119" spans="1:22" ht="15.75">
      <c r="A119" s="383">
        <v>38260</v>
      </c>
      <c r="B119" s="6" t="s">
        <v>12</v>
      </c>
      <c r="C119" s="53"/>
      <c r="D119" s="344"/>
      <c r="E119" s="46"/>
      <c r="F119" s="231"/>
      <c r="G119" s="39"/>
      <c r="H119" s="13"/>
      <c r="I119" s="14">
        <f t="shared" si="23"/>
        <v>495389.8083119298</v>
      </c>
      <c r="J119" s="25">
        <f>+$M$295</f>
        <v>12878.916666666666</v>
      </c>
      <c r="K119" s="14">
        <f t="shared" si="23"/>
        <v>15227.941688070236</v>
      </c>
      <c r="L119" s="13">
        <f>+ROUND(K118*$F$304*(A119-A116)/365,2)</f>
        <v>14</v>
      </c>
      <c r="M119" s="308">
        <f t="shared" si="23"/>
        <v>6623.800000000001</v>
      </c>
      <c r="N119" s="39"/>
      <c r="O119" s="13">
        <f t="shared" si="12"/>
        <v>0</v>
      </c>
      <c r="P119" s="14">
        <f t="shared" si="13"/>
        <v>-495389.8083119298</v>
      </c>
      <c r="Q119" s="13">
        <f t="shared" si="14"/>
        <v>-12878.916666666666</v>
      </c>
      <c r="R119" s="14">
        <f t="shared" si="15"/>
        <v>-15227.941688070236</v>
      </c>
      <c r="S119" s="14">
        <f t="shared" si="20"/>
        <v>-510617.75000000006</v>
      </c>
      <c r="T119" s="13">
        <f t="shared" si="16"/>
        <v>-14</v>
      </c>
      <c r="U119" s="14">
        <f t="shared" si="17"/>
        <v>-6623.800000000001</v>
      </c>
      <c r="V119" s="12"/>
    </row>
    <row r="120" spans="1:22" ht="15.75">
      <c r="A120" s="383"/>
      <c r="B120" s="6" t="s">
        <v>162</v>
      </c>
      <c r="C120" s="53"/>
      <c r="D120" s="344"/>
      <c r="E120" s="46"/>
      <c r="F120" s="231"/>
      <c r="G120" s="39"/>
      <c r="H120" s="13">
        <f>+'Total Billings (L.2.1)'!D60</f>
        <v>12483.49</v>
      </c>
      <c r="I120" s="14">
        <f t="shared" si="23"/>
        <v>507873.2983119298</v>
      </c>
      <c r="J120" s="25"/>
      <c r="K120" s="14">
        <f t="shared" si="23"/>
        <v>15227.941688070236</v>
      </c>
      <c r="L120" s="307"/>
      <c r="M120" s="308">
        <f t="shared" si="23"/>
        <v>6623.800000000001</v>
      </c>
      <c r="N120" s="39"/>
      <c r="O120" s="13">
        <f t="shared" si="12"/>
        <v>-12483.49</v>
      </c>
      <c r="P120" s="14">
        <f t="shared" si="13"/>
        <v>-507873.2983119298</v>
      </c>
      <c r="Q120" s="13">
        <f t="shared" si="14"/>
        <v>0</v>
      </c>
      <c r="R120" s="14">
        <f t="shared" si="15"/>
        <v>-15227.941688070236</v>
      </c>
      <c r="S120" s="14">
        <f t="shared" si="20"/>
        <v>-523101.24000000005</v>
      </c>
      <c r="T120" s="13">
        <f t="shared" si="16"/>
        <v>0</v>
      </c>
      <c r="U120" s="14">
        <f t="shared" si="17"/>
        <v>-6623.800000000001</v>
      </c>
      <c r="V120" s="12"/>
    </row>
    <row r="121" spans="1:22" ht="15.75">
      <c r="A121" s="386"/>
      <c r="B121" s="316" t="s">
        <v>94</v>
      </c>
      <c r="C121" s="318"/>
      <c r="D121" s="347"/>
      <c r="E121" s="317"/>
      <c r="F121" s="321"/>
      <c r="G121" s="39"/>
      <c r="H121" s="319"/>
      <c r="I121" s="320">
        <f t="shared" si="23"/>
        <v>507873.2983119298</v>
      </c>
      <c r="J121" s="337">
        <f>-H120</f>
        <v>-12483.49</v>
      </c>
      <c r="K121" s="320">
        <f t="shared" si="23"/>
        <v>2744.451688070236</v>
      </c>
      <c r="L121" s="331"/>
      <c r="M121" s="332">
        <f t="shared" si="23"/>
        <v>6623.800000000001</v>
      </c>
      <c r="N121" s="39"/>
      <c r="O121" s="319">
        <f t="shared" si="12"/>
        <v>0</v>
      </c>
      <c r="P121" s="320">
        <f t="shared" si="13"/>
        <v>-507873.2983119298</v>
      </c>
      <c r="Q121" s="319">
        <f t="shared" si="14"/>
        <v>12483.49</v>
      </c>
      <c r="R121" s="320">
        <f t="shared" si="15"/>
        <v>-2744.451688070236</v>
      </c>
      <c r="S121" s="320">
        <f t="shared" si="20"/>
        <v>-510617.75000000006</v>
      </c>
      <c r="T121" s="319">
        <f t="shared" si="16"/>
        <v>0</v>
      </c>
      <c r="U121" s="320">
        <f t="shared" si="17"/>
        <v>-6623.800000000001</v>
      </c>
      <c r="V121" s="12"/>
    </row>
    <row r="122" spans="1:27" ht="15.75">
      <c r="A122" s="409">
        <v>38291</v>
      </c>
      <c r="B122" s="6" t="s">
        <v>12</v>
      </c>
      <c r="C122" s="53"/>
      <c r="D122" s="344"/>
      <c r="E122" s="46"/>
      <c r="F122" s="231"/>
      <c r="G122" s="39"/>
      <c r="H122" s="25"/>
      <c r="I122" s="14">
        <f aca="true" t="shared" si="24" ref="I122:M137">+I121+H122</f>
        <v>507873.2983119298</v>
      </c>
      <c r="J122" s="25">
        <f>+$M$295</f>
        <v>12878.916666666666</v>
      </c>
      <c r="K122" s="14">
        <f t="shared" si="24"/>
        <v>15623.368354736902</v>
      </c>
      <c r="L122" s="13">
        <f>+ROUND(K121*$F$304*(A122-A119)/365,2)</f>
        <v>16.9</v>
      </c>
      <c r="M122" s="308">
        <f t="shared" si="24"/>
        <v>6640.700000000001</v>
      </c>
      <c r="N122" s="39"/>
      <c r="O122" s="13">
        <f t="shared" si="12"/>
        <v>0</v>
      </c>
      <c r="P122" s="14">
        <f t="shared" si="13"/>
        <v>-507873.2983119298</v>
      </c>
      <c r="Q122" s="13">
        <f t="shared" si="14"/>
        <v>-12878.916666666666</v>
      </c>
      <c r="R122" s="14">
        <f t="shared" si="15"/>
        <v>-15623.368354736902</v>
      </c>
      <c r="S122" s="14">
        <f t="shared" si="20"/>
        <v>-523496.6666666667</v>
      </c>
      <c r="T122" s="13">
        <f t="shared" si="16"/>
        <v>-16.9</v>
      </c>
      <c r="U122" s="14">
        <f t="shared" si="17"/>
        <v>-6640.700000000001</v>
      </c>
      <c r="V122" s="26"/>
      <c r="W122" s="17"/>
      <c r="X122" s="17"/>
      <c r="Y122" s="17"/>
      <c r="Z122" s="17"/>
      <c r="AA122" s="17"/>
    </row>
    <row r="123" spans="1:22" ht="15.75">
      <c r="A123" s="383"/>
      <c r="B123" s="6" t="s">
        <v>162</v>
      </c>
      <c r="C123" s="53"/>
      <c r="D123" s="344"/>
      <c r="E123" s="46"/>
      <c r="F123" s="231"/>
      <c r="G123" s="39"/>
      <c r="H123" s="13">
        <f>+'Total Billings (L.2.1)'!D61</f>
        <v>13888.32</v>
      </c>
      <c r="I123" s="14">
        <f t="shared" si="24"/>
        <v>521761.6183119298</v>
      </c>
      <c r="J123" s="25"/>
      <c r="K123" s="14">
        <f t="shared" si="24"/>
        <v>15623.368354736902</v>
      </c>
      <c r="L123" s="307"/>
      <c r="M123" s="308">
        <f t="shared" si="24"/>
        <v>6640.700000000001</v>
      </c>
      <c r="N123" s="39"/>
      <c r="O123" s="13">
        <f t="shared" si="12"/>
        <v>-13888.32</v>
      </c>
      <c r="P123" s="14">
        <f t="shared" si="13"/>
        <v>-521761.6183119298</v>
      </c>
      <c r="Q123" s="13">
        <f t="shared" si="14"/>
        <v>0</v>
      </c>
      <c r="R123" s="14">
        <f t="shared" si="15"/>
        <v>-15623.368354736902</v>
      </c>
      <c r="S123" s="14">
        <f t="shared" si="20"/>
        <v>-537384.9866666667</v>
      </c>
      <c r="T123" s="13">
        <f t="shared" si="16"/>
        <v>0</v>
      </c>
      <c r="U123" s="14">
        <f t="shared" si="17"/>
        <v>-6640.700000000001</v>
      </c>
      <c r="V123" s="12"/>
    </row>
    <row r="124" spans="1:22" ht="15.75">
      <c r="A124" s="383"/>
      <c r="B124" s="6" t="s">
        <v>94</v>
      </c>
      <c r="C124" s="53"/>
      <c r="D124" s="344"/>
      <c r="E124" s="46"/>
      <c r="F124" s="231"/>
      <c r="G124" s="39"/>
      <c r="H124" s="13"/>
      <c r="I124" s="14">
        <f t="shared" si="24"/>
        <v>521761.6183119298</v>
      </c>
      <c r="J124" s="25">
        <f>-H123</f>
        <v>-13888.32</v>
      </c>
      <c r="K124" s="14">
        <f t="shared" si="24"/>
        <v>1735.0483547369022</v>
      </c>
      <c r="M124" s="308">
        <f t="shared" si="24"/>
        <v>6640.700000000001</v>
      </c>
      <c r="N124" s="39"/>
      <c r="O124" s="13">
        <f t="shared" si="12"/>
        <v>0</v>
      </c>
      <c r="P124" s="14">
        <f t="shared" si="13"/>
        <v>-521761.6183119298</v>
      </c>
      <c r="Q124" s="13">
        <f t="shared" si="14"/>
        <v>13888.32</v>
      </c>
      <c r="R124" s="14">
        <f t="shared" si="15"/>
        <v>-1735.0483547369022</v>
      </c>
      <c r="S124" s="14">
        <f t="shared" si="20"/>
        <v>-523496.6666666667</v>
      </c>
      <c r="T124" s="13">
        <f t="shared" si="16"/>
        <v>0</v>
      </c>
      <c r="U124" s="14">
        <f t="shared" si="17"/>
        <v>-6640.700000000001</v>
      </c>
      <c r="V124" s="12"/>
    </row>
    <row r="125" spans="1:22" ht="15.75">
      <c r="A125" s="383">
        <v>38321</v>
      </c>
      <c r="B125" s="6" t="s">
        <v>12</v>
      </c>
      <c r="C125" s="53"/>
      <c r="D125" s="344"/>
      <c r="E125" s="46"/>
      <c r="F125" s="231"/>
      <c r="G125" s="39"/>
      <c r="H125" s="13"/>
      <c r="I125" s="14">
        <f t="shared" si="24"/>
        <v>521761.6183119298</v>
      </c>
      <c r="J125" s="25">
        <f>+$M$295</f>
        <v>12878.916666666666</v>
      </c>
      <c r="K125" s="14">
        <f t="shared" si="24"/>
        <v>14613.965021403568</v>
      </c>
      <c r="L125" s="13">
        <f>+ROUND(K124*$F$304*(A125-A122)/365,2)</f>
        <v>10.34</v>
      </c>
      <c r="M125" s="308">
        <f t="shared" si="24"/>
        <v>6651.040000000001</v>
      </c>
      <c r="N125" s="39"/>
      <c r="O125" s="13">
        <f t="shared" si="12"/>
        <v>0</v>
      </c>
      <c r="P125" s="14">
        <f t="shared" si="13"/>
        <v>-521761.6183119298</v>
      </c>
      <c r="Q125" s="13">
        <f t="shared" si="14"/>
        <v>-12878.916666666666</v>
      </c>
      <c r="R125" s="14">
        <f t="shared" si="15"/>
        <v>-14613.965021403568</v>
      </c>
      <c r="S125" s="14">
        <f t="shared" si="20"/>
        <v>-536375.5833333334</v>
      </c>
      <c r="T125" s="13">
        <f t="shared" si="16"/>
        <v>-10.34</v>
      </c>
      <c r="U125" s="14">
        <f t="shared" si="17"/>
        <v>-6651.040000000001</v>
      </c>
      <c r="V125" s="12"/>
    </row>
    <row r="126" spans="1:22" ht="15.75">
      <c r="A126" s="383"/>
      <c r="B126" s="6" t="s">
        <v>162</v>
      </c>
      <c r="C126" s="53"/>
      <c r="D126" s="344"/>
      <c r="E126" s="46"/>
      <c r="F126" s="231"/>
      <c r="G126" s="39"/>
      <c r="H126" s="13">
        <f>+'Total Billings (L.2.1)'!D62</f>
        <v>11894.68</v>
      </c>
      <c r="I126" s="14">
        <f t="shared" si="24"/>
        <v>533656.2983119298</v>
      </c>
      <c r="J126" s="25"/>
      <c r="K126" s="14">
        <f t="shared" si="24"/>
        <v>14613.965021403568</v>
      </c>
      <c r="L126" s="307"/>
      <c r="M126" s="308">
        <f t="shared" si="24"/>
        <v>6651.040000000001</v>
      </c>
      <c r="N126" s="39"/>
      <c r="O126" s="13">
        <f t="shared" si="12"/>
        <v>-11894.68</v>
      </c>
      <c r="P126" s="14">
        <f t="shared" si="13"/>
        <v>-533656.2983119298</v>
      </c>
      <c r="Q126" s="13">
        <f t="shared" si="14"/>
        <v>0</v>
      </c>
      <c r="R126" s="14">
        <f t="shared" si="15"/>
        <v>-14613.965021403568</v>
      </c>
      <c r="S126" s="14">
        <f t="shared" si="20"/>
        <v>-548270.2633333334</v>
      </c>
      <c r="T126" s="13">
        <f t="shared" si="16"/>
        <v>0</v>
      </c>
      <c r="U126" s="14">
        <f t="shared" si="17"/>
        <v>-6651.040000000001</v>
      </c>
      <c r="V126" s="12"/>
    </row>
    <row r="127" spans="1:22" ht="15.75">
      <c r="A127" s="383"/>
      <c r="B127" s="6" t="s">
        <v>94</v>
      </c>
      <c r="C127" s="53"/>
      <c r="D127" s="344"/>
      <c r="E127" s="46"/>
      <c r="F127" s="231"/>
      <c r="G127" s="39"/>
      <c r="H127" s="13"/>
      <c r="I127" s="14">
        <f t="shared" si="24"/>
        <v>533656.2983119298</v>
      </c>
      <c r="J127" s="25">
        <f>-H126</f>
        <v>-11894.68</v>
      </c>
      <c r="K127" s="14">
        <f t="shared" si="24"/>
        <v>2719.285021403568</v>
      </c>
      <c r="M127" s="308">
        <f t="shared" si="24"/>
        <v>6651.040000000001</v>
      </c>
      <c r="N127" s="39"/>
      <c r="O127" s="13">
        <f t="shared" si="12"/>
        <v>0</v>
      </c>
      <c r="P127" s="14">
        <f t="shared" si="13"/>
        <v>-533656.2983119298</v>
      </c>
      <c r="Q127" s="13">
        <f t="shared" si="14"/>
        <v>11894.68</v>
      </c>
      <c r="R127" s="14">
        <f t="shared" si="15"/>
        <v>-2719.285021403568</v>
      </c>
      <c r="S127" s="14">
        <f t="shared" si="20"/>
        <v>-536375.5833333334</v>
      </c>
      <c r="T127" s="13">
        <f t="shared" si="16"/>
        <v>0</v>
      </c>
      <c r="U127" s="14">
        <f t="shared" si="17"/>
        <v>-6651.040000000001</v>
      </c>
      <c r="V127" s="12"/>
    </row>
    <row r="128" spans="1:22" ht="15.75">
      <c r="A128" s="383">
        <v>38352</v>
      </c>
      <c r="B128" s="227" t="s">
        <v>12</v>
      </c>
      <c r="C128" s="53"/>
      <c r="D128" s="344"/>
      <c r="E128" s="46"/>
      <c r="F128" s="231"/>
      <c r="G128" s="39"/>
      <c r="H128" s="13"/>
      <c r="I128" s="14">
        <f t="shared" si="24"/>
        <v>533656.2983119298</v>
      </c>
      <c r="J128" s="25">
        <f>+$M$295</f>
        <v>12878.916666666666</v>
      </c>
      <c r="K128" s="14">
        <f t="shared" si="24"/>
        <v>15598.201688070234</v>
      </c>
      <c r="L128" s="13">
        <f>+ROUND(K127*$F$304*(A128-A125)/365,2)</f>
        <v>16.74</v>
      </c>
      <c r="M128" s="308">
        <f t="shared" si="24"/>
        <v>6667.780000000001</v>
      </c>
      <c r="N128" s="39"/>
      <c r="O128" s="13">
        <f t="shared" si="12"/>
        <v>0</v>
      </c>
      <c r="P128" s="14">
        <f t="shared" si="13"/>
        <v>-533656.2983119298</v>
      </c>
      <c r="Q128" s="13">
        <f t="shared" si="14"/>
        <v>-12878.916666666666</v>
      </c>
      <c r="R128" s="14">
        <f t="shared" si="15"/>
        <v>-15598.201688070234</v>
      </c>
      <c r="S128" s="14">
        <f t="shared" si="20"/>
        <v>-549254.5</v>
      </c>
      <c r="T128" s="13">
        <f t="shared" si="16"/>
        <v>-16.74</v>
      </c>
      <c r="U128" s="14">
        <f t="shared" si="17"/>
        <v>-6667.780000000001</v>
      </c>
      <c r="V128" s="12"/>
    </row>
    <row r="129" spans="1:22" ht="15.75">
      <c r="A129" s="383"/>
      <c r="B129" s="6" t="s">
        <v>162</v>
      </c>
      <c r="C129" s="53"/>
      <c r="D129" s="344"/>
      <c r="E129" s="46"/>
      <c r="F129" s="231"/>
      <c r="G129" s="39"/>
      <c r="H129" s="13">
        <f>+'Total Billings (L.2.1)'!D63</f>
        <v>13259.609999999999</v>
      </c>
      <c r="I129" s="14">
        <f t="shared" si="24"/>
        <v>546915.9083119298</v>
      </c>
      <c r="J129" s="25"/>
      <c r="K129" s="14">
        <f t="shared" si="24"/>
        <v>15598.201688070234</v>
      </c>
      <c r="L129" s="307"/>
      <c r="M129" s="308">
        <f t="shared" si="24"/>
        <v>6667.780000000001</v>
      </c>
      <c r="N129" s="39"/>
      <c r="O129" s="13">
        <f t="shared" si="12"/>
        <v>-13259.609999999999</v>
      </c>
      <c r="P129" s="14">
        <f t="shared" si="13"/>
        <v>-546915.9083119298</v>
      </c>
      <c r="Q129" s="13">
        <f t="shared" si="14"/>
        <v>0</v>
      </c>
      <c r="R129" s="14">
        <f t="shared" si="15"/>
        <v>-15598.201688070234</v>
      </c>
      <c r="S129" s="14">
        <f t="shared" si="20"/>
        <v>-562514.11</v>
      </c>
      <c r="T129" s="13">
        <f t="shared" si="16"/>
        <v>0</v>
      </c>
      <c r="U129" s="14">
        <f t="shared" si="17"/>
        <v>-6667.780000000001</v>
      </c>
      <c r="V129" s="12"/>
    </row>
    <row r="130" spans="1:22" ht="15.75">
      <c r="A130" s="383"/>
      <c r="B130" s="6" t="s">
        <v>94</v>
      </c>
      <c r="C130" s="53"/>
      <c r="D130" s="344"/>
      <c r="E130" s="46"/>
      <c r="F130" s="231"/>
      <c r="G130" s="39"/>
      <c r="H130" s="13"/>
      <c r="I130" s="14">
        <f t="shared" si="24"/>
        <v>546915.9083119298</v>
      </c>
      <c r="J130" s="25">
        <f>-H129</f>
        <v>-13259.609999999999</v>
      </c>
      <c r="K130" s="14">
        <f t="shared" si="24"/>
        <v>2338.5916880702353</v>
      </c>
      <c r="M130" s="308">
        <f t="shared" si="24"/>
        <v>6667.780000000001</v>
      </c>
      <c r="N130" s="39"/>
      <c r="O130" s="13">
        <f t="shared" si="12"/>
        <v>0</v>
      </c>
      <c r="P130" s="14">
        <f t="shared" si="13"/>
        <v>-546915.9083119298</v>
      </c>
      <c r="Q130" s="13">
        <f t="shared" si="14"/>
        <v>13259.609999999999</v>
      </c>
      <c r="R130" s="14">
        <f t="shared" si="15"/>
        <v>-2338.5916880702353</v>
      </c>
      <c r="S130" s="14">
        <f t="shared" si="20"/>
        <v>-549254.5</v>
      </c>
      <c r="T130" s="13">
        <f t="shared" si="16"/>
        <v>0</v>
      </c>
      <c r="U130" s="14">
        <f t="shared" si="17"/>
        <v>-6667.780000000001</v>
      </c>
      <c r="V130" s="12"/>
    </row>
    <row r="131" spans="1:22" ht="15.75">
      <c r="A131" s="383"/>
      <c r="B131" s="6" t="s">
        <v>146</v>
      </c>
      <c r="C131" s="53"/>
      <c r="D131" s="344"/>
      <c r="E131" s="46"/>
      <c r="F131" s="231"/>
      <c r="G131" s="39"/>
      <c r="H131" s="13">
        <f>+'Total Billings (L.2.1)'!D64</f>
        <v>-17110.05</v>
      </c>
      <c r="I131" s="14">
        <f t="shared" si="24"/>
        <v>529805.8583119297</v>
      </c>
      <c r="J131" s="25"/>
      <c r="K131" s="14">
        <f t="shared" si="24"/>
        <v>2338.5916880702353</v>
      </c>
      <c r="L131" s="309"/>
      <c r="M131" s="308">
        <f t="shared" si="24"/>
        <v>6667.780000000001</v>
      </c>
      <c r="N131" s="39"/>
      <c r="O131" s="13">
        <f>-H131</f>
        <v>17110.05</v>
      </c>
      <c r="P131" s="14">
        <f t="shared" si="13"/>
        <v>-529805.8583119297</v>
      </c>
      <c r="Q131" s="13">
        <f>-J131</f>
        <v>0</v>
      </c>
      <c r="R131" s="14">
        <f t="shared" si="15"/>
        <v>-2338.5916880702353</v>
      </c>
      <c r="S131" s="14">
        <f>+R131+P131</f>
        <v>-532144.45</v>
      </c>
      <c r="T131" s="13">
        <f t="shared" si="16"/>
        <v>0</v>
      </c>
      <c r="U131" s="14">
        <f t="shared" si="17"/>
        <v>-6667.780000000001</v>
      </c>
      <c r="V131" s="12"/>
    </row>
    <row r="132" spans="1:22" ht="15.75">
      <c r="A132" s="383"/>
      <c r="B132" s="6" t="s">
        <v>95</v>
      </c>
      <c r="C132" s="53"/>
      <c r="D132" s="344"/>
      <c r="E132" s="46"/>
      <c r="F132" s="231"/>
      <c r="G132" s="39"/>
      <c r="H132" s="13"/>
      <c r="I132" s="14">
        <f t="shared" si="24"/>
        <v>529805.8583119297</v>
      </c>
      <c r="J132" s="25">
        <f>-H131</f>
        <v>17110.05</v>
      </c>
      <c r="K132" s="14">
        <f t="shared" si="24"/>
        <v>19448.641688070235</v>
      </c>
      <c r="L132" s="309"/>
      <c r="M132" s="308">
        <f t="shared" si="24"/>
        <v>6667.780000000001</v>
      </c>
      <c r="N132" s="39"/>
      <c r="O132" s="13">
        <f>-H132</f>
        <v>0</v>
      </c>
      <c r="P132" s="14">
        <f t="shared" si="13"/>
        <v>-529805.8583119297</v>
      </c>
      <c r="Q132" s="13">
        <f>-J132</f>
        <v>-17110.05</v>
      </c>
      <c r="R132" s="14">
        <f t="shared" si="15"/>
        <v>-19448.641688070235</v>
      </c>
      <c r="S132" s="14">
        <f>+R132+P132</f>
        <v>-549254.5</v>
      </c>
      <c r="T132" s="13">
        <f t="shared" si="16"/>
        <v>0</v>
      </c>
      <c r="U132" s="14">
        <f t="shared" si="17"/>
        <v>-6667.780000000001</v>
      </c>
      <c r="V132" s="12"/>
    </row>
    <row r="133" spans="1:22" ht="15.75">
      <c r="A133" s="383"/>
      <c r="B133" s="6" t="s">
        <v>148</v>
      </c>
      <c r="C133" s="53"/>
      <c r="D133" s="344"/>
      <c r="E133" s="46"/>
      <c r="F133" s="231"/>
      <c r="G133" s="39"/>
      <c r="H133" s="13">
        <f>+'Total Billings (L.2.1)'!D65</f>
        <v>13247.949999999999</v>
      </c>
      <c r="I133" s="14">
        <f t="shared" si="24"/>
        <v>543053.8083119297</v>
      </c>
      <c r="J133" s="25"/>
      <c r="K133" s="14">
        <f t="shared" si="24"/>
        <v>19448.641688070235</v>
      </c>
      <c r="L133" s="307"/>
      <c r="M133" s="308">
        <f t="shared" si="24"/>
        <v>6667.780000000001</v>
      </c>
      <c r="N133" s="39"/>
      <c r="O133" s="13">
        <f t="shared" si="12"/>
        <v>-13247.949999999999</v>
      </c>
      <c r="P133" s="14">
        <f t="shared" si="13"/>
        <v>-543053.8083119297</v>
      </c>
      <c r="Q133" s="13">
        <f t="shared" si="14"/>
        <v>0</v>
      </c>
      <c r="R133" s="14">
        <f t="shared" si="15"/>
        <v>-19448.641688070235</v>
      </c>
      <c r="S133" s="14">
        <f t="shared" si="20"/>
        <v>-562502.45</v>
      </c>
      <c r="T133" s="13">
        <f t="shared" si="16"/>
        <v>0</v>
      </c>
      <c r="U133" s="14">
        <f t="shared" si="17"/>
        <v>-6667.780000000001</v>
      </c>
      <c r="V133" s="12"/>
    </row>
    <row r="134" spans="1:22" ht="15.75">
      <c r="A134" s="383"/>
      <c r="B134" s="6" t="s">
        <v>96</v>
      </c>
      <c r="C134" s="53"/>
      <c r="D134" s="344"/>
      <c r="E134" s="46"/>
      <c r="F134" s="231"/>
      <c r="G134" s="39"/>
      <c r="H134" s="13"/>
      <c r="I134" s="14">
        <f t="shared" si="24"/>
        <v>543053.8083119297</v>
      </c>
      <c r="J134" s="25">
        <f>-H133</f>
        <v>-13247.949999999999</v>
      </c>
      <c r="K134" s="14">
        <f t="shared" si="24"/>
        <v>6200.691688070236</v>
      </c>
      <c r="L134" s="13"/>
      <c r="M134" s="14">
        <f t="shared" si="24"/>
        <v>6667.780000000001</v>
      </c>
      <c r="N134" s="39"/>
      <c r="O134" s="13">
        <f t="shared" si="12"/>
        <v>0</v>
      </c>
      <c r="P134" s="14">
        <f t="shared" si="13"/>
        <v>-543053.8083119297</v>
      </c>
      <c r="Q134" s="13">
        <f t="shared" si="14"/>
        <v>13247.949999999999</v>
      </c>
      <c r="R134" s="14">
        <f t="shared" si="15"/>
        <v>-6200.691688070236</v>
      </c>
      <c r="S134" s="14">
        <f t="shared" si="20"/>
        <v>-549254.4999999999</v>
      </c>
      <c r="T134" s="13">
        <f t="shared" si="16"/>
        <v>0</v>
      </c>
      <c r="U134" s="14">
        <f t="shared" si="17"/>
        <v>-6667.780000000001</v>
      </c>
      <c r="V134" s="12"/>
    </row>
    <row r="135" spans="1:22" ht="15.75">
      <c r="A135" s="322"/>
      <c r="B135" s="334"/>
      <c r="C135" s="325">
        <f>+J94+J97+J100+J103+J106+J109+J113+J116+J119+J122+J125+J128</f>
        <v>166318.5</v>
      </c>
      <c r="D135" s="348">
        <f>+J112</f>
        <v>-9002</v>
      </c>
      <c r="E135" s="324">
        <f>-(I135-I92)</f>
        <v>-167531.17999999988</v>
      </c>
      <c r="F135" s="336">
        <f>+M135-M92</f>
        <v>601.4899999999998</v>
      </c>
      <c r="G135" s="39"/>
      <c r="H135" s="326"/>
      <c r="I135" s="327">
        <f t="shared" si="24"/>
        <v>543053.8083119297</v>
      </c>
      <c r="J135" s="326"/>
      <c r="K135" s="327">
        <f t="shared" si="24"/>
        <v>6200.691688070236</v>
      </c>
      <c r="L135" s="326"/>
      <c r="M135" s="327">
        <f t="shared" si="24"/>
        <v>6667.780000000001</v>
      </c>
      <c r="N135" s="39"/>
      <c r="O135" s="326">
        <f t="shared" si="12"/>
        <v>0</v>
      </c>
      <c r="P135" s="327">
        <f t="shared" si="13"/>
        <v>-543053.8083119297</v>
      </c>
      <c r="Q135" s="326">
        <f t="shared" si="14"/>
        <v>0</v>
      </c>
      <c r="R135" s="327">
        <f t="shared" si="15"/>
        <v>-6200.691688070236</v>
      </c>
      <c r="S135" s="327">
        <f t="shared" si="20"/>
        <v>-549254.4999999999</v>
      </c>
      <c r="T135" s="326">
        <f t="shared" si="16"/>
        <v>0</v>
      </c>
      <c r="U135" s="327">
        <f t="shared" si="17"/>
        <v>-6667.780000000001</v>
      </c>
      <c r="V135" s="12"/>
    </row>
    <row r="136" spans="1:22" ht="15.75">
      <c r="A136" s="305" t="s">
        <v>147</v>
      </c>
      <c r="B136" s="6"/>
      <c r="C136" s="53"/>
      <c r="D136" s="344"/>
      <c r="E136" s="46"/>
      <c r="F136" s="231"/>
      <c r="G136" s="39"/>
      <c r="H136" s="13"/>
      <c r="I136" s="14">
        <f t="shared" si="24"/>
        <v>543053.8083119297</v>
      </c>
      <c r="J136" s="25"/>
      <c r="K136" s="14">
        <f t="shared" si="24"/>
        <v>6200.691688070236</v>
      </c>
      <c r="L136" s="307"/>
      <c r="M136" s="308">
        <f t="shared" si="24"/>
        <v>6667.780000000001</v>
      </c>
      <c r="N136" s="39"/>
      <c r="O136" s="13">
        <f t="shared" si="12"/>
        <v>0</v>
      </c>
      <c r="P136" s="14">
        <f t="shared" si="13"/>
        <v>-543053.8083119297</v>
      </c>
      <c r="Q136" s="13">
        <f t="shared" si="14"/>
        <v>0</v>
      </c>
      <c r="R136" s="14">
        <f t="shared" si="15"/>
        <v>-6200.691688070236</v>
      </c>
      <c r="S136" s="14">
        <f t="shared" si="20"/>
        <v>-549254.4999999999</v>
      </c>
      <c r="T136" s="13">
        <f t="shared" si="16"/>
        <v>0</v>
      </c>
      <c r="U136" s="14">
        <f t="shared" si="17"/>
        <v>-6667.780000000001</v>
      </c>
      <c r="V136" s="12"/>
    </row>
    <row r="137" spans="1:22" ht="15.75">
      <c r="A137" s="383">
        <v>38383</v>
      </c>
      <c r="B137" s="227" t="s">
        <v>12</v>
      </c>
      <c r="C137" s="53"/>
      <c r="D137" s="344"/>
      <c r="E137" s="46"/>
      <c r="F137" s="231"/>
      <c r="G137" s="39"/>
      <c r="H137" s="13"/>
      <c r="I137" s="14">
        <f t="shared" si="24"/>
        <v>543053.8083119297</v>
      </c>
      <c r="J137" s="25">
        <f>+$M$295</f>
        <v>12878.916666666666</v>
      </c>
      <c r="K137" s="14">
        <f t="shared" si="24"/>
        <v>19079.6083547369</v>
      </c>
      <c r="L137" s="13">
        <f>+ROUND(K136*$F$304*(A137-A128)/365,2)</f>
        <v>38.18</v>
      </c>
      <c r="M137" s="308">
        <f t="shared" si="24"/>
        <v>6705.960000000001</v>
      </c>
      <c r="N137" s="39"/>
      <c r="O137" s="13">
        <f t="shared" si="12"/>
        <v>0</v>
      </c>
      <c r="P137" s="14">
        <f aca="true" t="shared" si="25" ref="P137:P200">+P136+O137</f>
        <v>-543053.8083119297</v>
      </c>
      <c r="Q137" s="13">
        <f t="shared" si="14"/>
        <v>-12878.916666666666</v>
      </c>
      <c r="R137" s="14">
        <f aca="true" t="shared" si="26" ref="R137:R200">+R136+Q137</f>
        <v>-19079.6083547369</v>
      </c>
      <c r="S137" s="14">
        <f t="shared" si="20"/>
        <v>-562133.4166666666</v>
      </c>
      <c r="T137" s="13">
        <f aca="true" t="shared" si="27" ref="T137:T200">-L137</f>
        <v>-38.18</v>
      </c>
      <c r="U137" s="14">
        <f aca="true" t="shared" si="28" ref="U137:U200">+U136+T137</f>
        <v>-6705.960000000001</v>
      </c>
      <c r="V137" s="12"/>
    </row>
    <row r="138" spans="1:22" ht="15.75">
      <c r="A138" s="383"/>
      <c r="B138" s="6" t="s">
        <v>162</v>
      </c>
      <c r="C138" s="53"/>
      <c r="D138" s="344"/>
      <c r="E138" s="46"/>
      <c r="F138" s="231"/>
      <c r="G138" s="39"/>
      <c r="H138" s="13">
        <f>+'Total Billings (L.2.1)'!D74</f>
        <v>13466.140000000001</v>
      </c>
      <c r="I138" s="14">
        <f aca="true" t="shared" si="29" ref="I138:M153">+I137+H138</f>
        <v>556519.9483119297</v>
      </c>
      <c r="J138" s="25"/>
      <c r="K138" s="14">
        <f t="shared" si="29"/>
        <v>19079.6083547369</v>
      </c>
      <c r="L138" s="309"/>
      <c r="M138" s="308">
        <f t="shared" si="29"/>
        <v>6705.960000000001</v>
      </c>
      <c r="N138" s="39"/>
      <c r="O138" s="13">
        <f t="shared" si="12"/>
        <v>-13466.140000000001</v>
      </c>
      <c r="P138" s="14">
        <f t="shared" si="25"/>
        <v>-556519.9483119297</v>
      </c>
      <c r="Q138" s="13">
        <f t="shared" si="14"/>
        <v>0</v>
      </c>
      <c r="R138" s="14">
        <f t="shared" si="26"/>
        <v>-19079.6083547369</v>
      </c>
      <c r="S138" s="14">
        <f t="shared" si="20"/>
        <v>-575599.5566666666</v>
      </c>
      <c r="T138" s="13">
        <f t="shared" si="27"/>
        <v>0</v>
      </c>
      <c r="U138" s="14">
        <f t="shared" si="28"/>
        <v>-6705.960000000001</v>
      </c>
      <c r="V138" s="12"/>
    </row>
    <row r="139" spans="1:22" ht="15.75">
      <c r="A139" s="383"/>
      <c r="B139" s="6" t="s">
        <v>94</v>
      </c>
      <c r="C139" s="53"/>
      <c r="D139" s="344"/>
      <c r="E139" s="46"/>
      <c r="F139" s="231"/>
      <c r="G139" s="39"/>
      <c r="H139" s="13"/>
      <c r="I139" s="14">
        <f t="shared" si="29"/>
        <v>556519.9483119297</v>
      </c>
      <c r="J139" s="25">
        <f>-H138</f>
        <v>-13466.140000000001</v>
      </c>
      <c r="K139" s="14">
        <f t="shared" si="29"/>
        <v>5613.4683547369</v>
      </c>
      <c r="M139" s="308">
        <f t="shared" si="29"/>
        <v>6705.960000000001</v>
      </c>
      <c r="N139" s="39"/>
      <c r="O139" s="13">
        <f aca="true" t="shared" si="30" ref="O139:O203">-H139</f>
        <v>0</v>
      </c>
      <c r="P139" s="14">
        <f t="shared" si="25"/>
        <v>-556519.9483119297</v>
      </c>
      <c r="Q139" s="13">
        <f aca="true" t="shared" si="31" ref="Q139:Q203">-J139</f>
        <v>13466.140000000001</v>
      </c>
      <c r="R139" s="14">
        <f t="shared" si="26"/>
        <v>-5613.4683547369</v>
      </c>
      <c r="S139" s="14">
        <f aca="true" t="shared" si="32" ref="S139:S204">+R139+P139</f>
        <v>-562133.4166666666</v>
      </c>
      <c r="T139" s="13">
        <f t="shared" si="27"/>
        <v>0</v>
      </c>
      <c r="U139" s="14">
        <f t="shared" si="28"/>
        <v>-6705.960000000001</v>
      </c>
      <c r="V139" s="12"/>
    </row>
    <row r="140" spans="1:22" ht="15.75">
      <c r="A140" s="383">
        <v>38411</v>
      </c>
      <c r="B140" s="227" t="s">
        <v>12</v>
      </c>
      <c r="C140" s="53"/>
      <c r="D140" s="344"/>
      <c r="E140" s="46"/>
      <c r="F140" s="231"/>
      <c r="G140" s="39"/>
      <c r="H140" s="13"/>
      <c r="I140" s="14">
        <f t="shared" si="29"/>
        <v>556519.9483119297</v>
      </c>
      <c r="J140" s="25">
        <f>+$M$295</f>
        <v>12878.916666666666</v>
      </c>
      <c r="K140" s="14">
        <f t="shared" si="29"/>
        <v>18492.385021403566</v>
      </c>
      <c r="L140" s="13">
        <f>+ROUND(K139*$F$304*(A140-A137)/365,2)</f>
        <v>31.22</v>
      </c>
      <c r="M140" s="308">
        <f t="shared" si="29"/>
        <v>6737.180000000001</v>
      </c>
      <c r="N140" s="39"/>
      <c r="O140" s="13">
        <f t="shared" si="30"/>
        <v>0</v>
      </c>
      <c r="P140" s="14">
        <f t="shared" si="25"/>
        <v>-556519.9483119297</v>
      </c>
      <c r="Q140" s="13">
        <f t="shared" si="31"/>
        <v>-12878.916666666666</v>
      </c>
      <c r="R140" s="14">
        <f t="shared" si="26"/>
        <v>-18492.385021403566</v>
      </c>
      <c r="S140" s="14">
        <f t="shared" si="32"/>
        <v>-575012.3333333333</v>
      </c>
      <c r="T140" s="13">
        <f t="shared" si="27"/>
        <v>-31.22</v>
      </c>
      <c r="U140" s="14">
        <f t="shared" si="28"/>
        <v>-6737.180000000001</v>
      </c>
      <c r="V140" s="12"/>
    </row>
    <row r="141" spans="1:22" ht="15.75">
      <c r="A141" s="383"/>
      <c r="B141" s="6" t="s">
        <v>162</v>
      </c>
      <c r="C141" s="53"/>
      <c r="D141" s="344"/>
      <c r="E141" s="46"/>
      <c r="F141" s="231"/>
      <c r="G141" s="39"/>
      <c r="H141" s="13">
        <f>+'Total Billings (L.2.1)'!D75</f>
        <v>14315.140000000001</v>
      </c>
      <c r="I141" s="14">
        <f t="shared" si="29"/>
        <v>570835.0883119297</v>
      </c>
      <c r="J141" s="25"/>
      <c r="K141" s="14">
        <f t="shared" si="29"/>
        <v>18492.385021403566</v>
      </c>
      <c r="L141" s="309"/>
      <c r="M141" s="308">
        <f t="shared" si="29"/>
        <v>6737.180000000001</v>
      </c>
      <c r="N141" s="39"/>
      <c r="O141" s="13">
        <f t="shared" si="30"/>
        <v>-14315.140000000001</v>
      </c>
      <c r="P141" s="14">
        <f t="shared" si="25"/>
        <v>-570835.0883119297</v>
      </c>
      <c r="Q141" s="13">
        <f t="shared" si="31"/>
        <v>0</v>
      </c>
      <c r="R141" s="14">
        <f t="shared" si="26"/>
        <v>-18492.385021403566</v>
      </c>
      <c r="S141" s="14">
        <f t="shared" si="32"/>
        <v>-589327.4733333333</v>
      </c>
      <c r="T141" s="13">
        <f t="shared" si="27"/>
        <v>0</v>
      </c>
      <c r="U141" s="14">
        <f t="shared" si="28"/>
        <v>-6737.180000000001</v>
      </c>
      <c r="V141" s="12"/>
    </row>
    <row r="142" spans="1:22" ht="15.75">
      <c r="A142" s="383"/>
      <c r="B142" s="6" t="s">
        <v>94</v>
      </c>
      <c r="C142" s="53"/>
      <c r="D142" s="344"/>
      <c r="E142" s="46"/>
      <c r="F142" s="231"/>
      <c r="G142" s="39"/>
      <c r="H142" s="13"/>
      <c r="I142" s="14">
        <f t="shared" si="29"/>
        <v>570835.0883119297</v>
      </c>
      <c r="J142" s="13">
        <f>-H141</f>
        <v>-14315.140000000001</v>
      </c>
      <c r="K142" s="14">
        <f t="shared" si="29"/>
        <v>4177.245021403565</v>
      </c>
      <c r="M142" s="308">
        <f t="shared" si="29"/>
        <v>6737.180000000001</v>
      </c>
      <c r="N142" s="39"/>
      <c r="O142" s="13">
        <f t="shared" si="30"/>
        <v>0</v>
      </c>
      <c r="P142" s="14">
        <f t="shared" si="25"/>
        <v>-570835.0883119297</v>
      </c>
      <c r="Q142" s="13">
        <f t="shared" si="31"/>
        <v>14315.140000000001</v>
      </c>
      <c r="R142" s="14">
        <f t="shared" si="26"/>
        <v>-4177.245021403565</v>
      </c>
      <c r="S142" s="14">
        <f t="shared" si="32"/>
        <v>-575012.3333333333</v>
      </c>
      <c r="T142" s="13">
        <f t="shared" si="27"/>
        <v>0</v>
      </c>
      <c r="U142" s="14">
        <f t="shared" si="28"/>
        <v>-6737.180000000001</v>
      </c>
      <c r="V142" s="12"/>
    </row>
    <row r="143" spans="1:22" ht="15.75">
      <c r="A143" s="383">
        <v>38442</v>
      </c>
      <c r="B143" s="227" t="s">
        <v>12</v>
      </c>
      <c r="C143" s="53"/>
      <c r="D143" s="344"/>
      <c r="E143" s="46"/>
      <c r="F143" s="231"/>
      <c r="G143" s="39"/>
      <c r="H143" s="13"/>
      <c r="I143" s="14">
        <f t="shared" si="29"/>
        <v>570835.0883119297</v>
      </c>
      <c r="J143" s="25">
        <f>+$M$295</f>
        <v>12878.916666666666</v>
      </c>
      <c r="K143" s="14">
        <f t="shared" si="29"/>
        <v>17056.16168807023</v>
      </c>
      <c r="L143" s="13">
        <f>+ROUND(K142*$F$304*(A143-A140)/365,2)</f>
        <v>25.72</v>
      </c>
      <c r="M143" s="308">
        <f t="shared" si="29"/>
        <v>6762.9000000000015</v>
      </c>
      <c r="N143" s="39"/>
      <c r="O143" s="13">
        <f t="shared" si="30"/>
        <v>0</v>
      </c>
      <c r="P143" s="14">
        <f t="shared" si="25"/>
        <v>-570835.0883119297</v>
      </c>
      <c r="Q143" s="13">
        <f t="shared" si="31"/>
        <v>-12878.916666666666</v>
      </c>
      <c r="R143" s="14">
        <f t="shared" si="26"/>
        <v>-17056.16168807023</v>
      </c>
      <c r="S143" s="14">
        <f t="shared" si="32"/>
        <v>-587891.25</v>
      </c>
      <c r="T143" s="13">
        <f t="shared" si="27"/>
        <v>-25.72</v>
      </c>
      <c r="U143" s="14">
        <f t="shared" si="28"/>
        <v>-6762.9000000000015</v>
      </c>
      <c r="V143" s="12"/>
    </row>
    <row r="144" spans="1:22" ht="15.75">
      <c r="A144" s="383"/>
      <c r="B144" s="6" t="s">
        <v>162</v>
      </c>
      <c r="C144" s="53"/>
      <c r="D144" s="344"/>
      <c r="E144" s="46"/>
      <c r="F144" s="231"/>
      <c r="G144" s="39"/>
      <c r="H144" s="13">
        <f>+'Total Billings (L.2.1)'!D76</f>
        <v>14863.83</v>
      </c>
      <c r="I144" s="14">
        <f t="shared" si="29"/>
        <v>585698.9183119297</v>
      </c>
      <c r="J144" s="13"/>
      <c r="K144" s="14">
        <f t="shared" si="29"/>
        <v>17056.16168807023</v>
      </c>
      <c r="L144" s="309"/>
      <c r="M144" s="308">
        <f t="shared" si="29"/>
        <v>6762.9000000000015</v>
      </c>
      <c r="N144" s="39"/>
      <c r="O144" s="13">
        <f t="shared" si="30"/>
        <v>-14863.83</v>
      </c>
      <c r="P144" s="14">
        <f t="shared" si="25"/>
        <v>-585698.9183119297</v>
      </c>
      <c r="Q144" s="13">
        <f t="shared" si="31"/>
        <v>0</v>
      </c>
      <c r="R144" s="14">
        <f t="shared" si="26"/>
        <v>-17056.16168807023</v>
      </c>
      <c r="S144" s="14">
        <f t="shared" si="32"/>
        <v>-602755.08</v>
      </c>
      <c r="T144" s="13">
        <f t="shared" si="27"/>
        <v>0</v>
      </c>
      <c r="U144" s="14">
        <f t="shared" si="28"/>
        <v>-6762.9000000000015</v>
      </c>
      <c r="V144" s="12"/>
    </row>
    <row r="145" spans="1:22" ht="15.75">
      <c r="A145" s="386"/>
      <c r="B145" s="316" t="s">
        <v>94</v>
      </c>
      <c r="C145" s="318"/>
      <c r="D145" s="347"/>
      <c r="E145" s="317"/>
      <c r="F145" s="321"/>
      <c r="G145" s="39"/>
      <c r="H145" s="319"/>
      <c r="I145" s="320">
        <f t="shared" si="29"/>
        <v>585698.9183119297</v>
      </c>
      <c r="J145" s="319">
        <f>-H144</f>
        <v>-14863.83</v>
      </c>
      <c r="K145" s="320">
        <f t="shared" si="29"/>
        <v>2192.3316880702314</v>
      </c>
      <c r="L145" s="331"/>
      <c r="M145" s="332">
        <f t="shared" si="29"/>
        <v>6762.9000000000015</v>
      </c>
      <c r="N145" s="39"/>
      <c r="O145" s="319">
        <f t="shared" si="30"/>
        <v>0</v>
      </c>
      <c r="P145" s="320">
        <f t="shared" si="25"/>
        <v>-585698.9183119297</v>
      </c>
      <c r="Q145" s="319">
        <f t="shared" si="31"/>
        <v>14863.83</v>
      </c>
      <c r="R145" s="320">
        <f t="shared" si="26"/>
        <v>-2192.3316880702314</v>
      </c>
      <c r="S145" s="320">
        <f t="shared" si="32"/>
        <v>-587891.2499999999</v>
      </c>
      <c r="T145" s="319">
        <f t="shared" si="27"/>
        <v>0</v>
      </c>
      <c r="U145" s="320">
        <f t="shared" si="28"/>
        <v>-6762.9000000000015</v>
      </c>
      <c r="V145" s="12"/>
    </row>
    <row r="146" spans="1:22" ht="15.75">
      <c r="A146" s="383">
        <v>38472</v>
      </c>
      <c r="B146" s="6" t="s">
        <v>51</v>
      </c>
      <c r="C146" s="53"/>
      <c r="D146" s="344"/>
      <c r="E146" s="46"/>
      <c r="F146" s="231"/>
      <c r="G146" s="39"/>
      <c r="H146" s="13"/>
      <c r="I146" s="14">
        <f t="shared" si="29"/>
        <v>585698.9183119297</v>
      </c>
      <c r="J146" s="25">
        <f>+$M$300</f>
        <v>7886.833333333333</v>
      </c>
      <c r="K146" s="14">
        <f t="shared" si="29"/>
        <v>10079.165021403565</v>
      </c>
      <c r="L146" s="13">
        <f>+ROUND(K145*$F$304*(A146-A143)/365,2)</f>
        <v>13.06</v>
      </c>
      <c r="M146" s="308">
        <f t="shared" si="29"/>
        <v>6775.960000000002</v>
      </c>
      <c r="N146" s="39"/>
      <c r="O146" s="13">
        <f t="shared" si="30"/>
        <v>0</v>
      </c>
      <c r="P146" s="14">
        <f t="shared" si="25"/>
        <v>-585698.9183119297</v>
      </c>
      <c r="Q146" s="13">
        <f t="shared" si="31"/>
        <v>-7886.833333333333</v>
      </c>
      <c r="R146" s="14">
        <f t="shared" si="26"/>
        <v>-10079.165021403565</v>
      </c>
      <c r="S146" s="14">
        <f t="shared" si="32"/>
        <v>-595778.0833333333</v>
      </c>
      <c r="T146" s="13">
        <f t="shared" si="27"/>
        <v>-13.06</v>
      </c>
      <c r="U146" s="14">
        <f t="shared" si="28"/>
        <v>-6775.960000000002</v>
      </c>
      <c r="V146" s="12"/>
    </row>
    <row r="147" spans="1:22" ht="15.75">
      <c r="A147" s="383"/>
      <c r="B147" s="6" t="s">
        <v>162</v>
      </c>
      <c r="C147" s="53"/>
      <c r="D147" s="344"/>
      <c r="E147" s="46"/>
      <c r="F147" s="231"/>
      <c r="G147" s="39"/>
      <c r="H147" s="13">
        <f>+'Total Billings (L.2.1)'!D77</f>
        <v>12861.78</v>
      </c>
      <c r="I147" s="14">
        <f t="shared" si="29"/>
        <v>598560.6983119297</v>
      </c>
      <c r="J147" s="13"/>
      <c r="K147" s="14">
        <f t="shared" si="29"/>
        <v>10079.165021403565</v>
      </c>
      <c r="L147" s="307"/>
      <c r="M147" s="308">
        <f t="shared" si="29"/>
        <v>6775.960000000002</v>
      </c>
      <c r="N147" s="39"/>
      <c r="O147" s="13">
        <f t="shared" si="30"/>
        <v>-12861.78</v>
      </c>
      <c r="P147" s="14">
        <f t="shared" si="25"/>
        <v>-598560.6983119297</v>
      </c>
      <c r="Q147" s="13">
        <f t="shared" si="31"/>
        <v>0</v>
      </c>
      <c r="R147" s="14">
        <f t="shared" si="26"/>
        <v>-10079.165021403565</v>
      </c>
      <c r="S147" s="14">
        <f t="shared" si="32"/>
        <v>-608639.8633333333</v>
      </c>
      <c r="T147" s="13">
        <f t="shared" si="27"/>
        <v>0</v>
      </c>
      <c r="U147" s="14">
        <f t="shared" si="28"/>
        <v>-6775.960000000002</v>
      </c>
      <c r="V147" s="12"/>
    </row>
    <row r="148" spans="1:22" ht="15.75">
      <c r="A148" s="383"/>
      <c r="B148" s="6" t="s">
        <v>94</v>
      </c>
      <c r="C148" s="53"/>
      <c r="D148" s="344"/>
      <c r="E148" s="46"/>
      <c r="F148" s="231"/>
      <c r="G148" s="39"/>
      <c r="H148" s="13"/>
      <c r="I148" s="14">
        <f t="shared" si="29"/>
        <v>598560.6983119297</v>
      </c>
      <c r="J148" s="13">
        <f>-H147</f>
        <v>-12861.78</v>
      </c>
      <c r="K148" s="14">
        <f t="shared" si="29"/>
        <v>-2782.6149785964353</v>
      </c>
      <c r="M148" s="308">
        <f t="shared" si="29"/>
        <v>6775.960000000002</v>
      </c>
      <c r="N148" s="39"/>
      <c r="O148" s="13">
        <f t="shared" si="30"/>
        <v>0</v>
      </c>
      <c r="P148" s="14">
        <f t="shared" si="25"/>
        <v>-598560.6983119297</v>
      </c>
      <c r="Q148" s="13">
        <f t="shared" si="31"/>
        <v>12861.78</v>
      </c>
      <c r="R148" s="14">
        <f t="shared" si="26"/>
        <v>2782.6149785964353</v>
      </c>
      <c r="S148" s="14">
        <f t="shared" si="32"/>
        <v>-595778.0833333333</v>
      </c>
      <c r="T148" s="13">
        <f t="shared" si="27"/>
        <v>0</v>
      </c>
      <c r="U148" s="14">
        <f t="shared" si="28"/>
        <v>-6775.960000000002</v>
      </c>
      <c r="V148" s="12"/>
    </row>
    <row r="149" spans="1:22" ht="15.75">
      <c r="A149" s="383">
        <v>38503</v>
      </c>
      <c r="B149" s="6" t="s">
        <v>51</v>
      </c>
      <c r="C149" s="53"/>
      <c r="D149" s="344"/>
      <c r="E149" s="46"/>
      <c r="F149" s="231"/>
      <c r="G149" s="39"/>
      <c r="H149" s="13"/>
      <c r="I149" s="14">
        <f t="shared" si="29"/>
        <v>598560.6983119297</v>
      </c>
      <c r="J149" s="25">
        <f>+$M$300</f>
        <v>7886.833333333333</v>
      </c>
      <c r="K149" s="14">
        <f t="shared" si="29"/>
        <v>5104.218354736898</v>
      </c>
      <c r="L149" s="13">
        <f>+ROUND(K148*$F$304*(A149-A146)/365,2)</f>
        <v>-17.13</v>
      </c>
      <c r="M149" s="308">
        <f t="shared" si="29"/>
        <v>6758.830000000002</v>
      </c>
      <c r="N149" s="39"/>
      <c r="O149" s="13">
        <f t="shared" si="30"/>
        <v>0</v>
      </c>
      <c r="P149" s="14">
        <f t="shared" si="25"/>
        <v>-598560.6983119297</v>
      </c>
      <c r="Q149" s="13">
        <f t="shared" si="31"/>
        <v>-7886.833333333333</v>
      </c>
      <c r="R149" s="14">
        <f t="shared" si="26"/>
        <v>-5104.218354736898</v>
      </c>
      <c r="S149" s="14">
        <f t="shared" si="32"/>
        <v>-603664.9166666666</v>
      </c>
      <c r="T149" s="13">
        <f t="shared" si="27"/>
        <v>17.13</v>
      </c>
      <c r="U149" s="14">
        <f t="shared" si="28"/>
        <v>-6758.830000000002</v>
      </c>
      <c r="V149" s="12"/>
    </row>
    <row r="150" spans="1:22" ht="15.75">
      <c r="A150" s="383"/>
      <c r="B150" s="6" t="s">
        <v>162</v>
      </c>
      <c r="C150" s="53"/>
      <c r="D150" s="344"/>
      <c r="E150" s="46"/>
      <c r="F150" s="231"/>
      <c r="G150" s="39"/>
      <c r="H150" s="13">
        <f>+'Total Billings (L.2.1)'!D78</f>
        <v>7197.34</v>
      </c>
      <c r="I150" s="14">
        <f t="shared" si="29"/>
        <v>605758.0383119297</v>
      </c>
      <c r="J150" s="13"/>
      <c r="K150" s="14">
        <f t="shared" si="29"/>
        <v>5104.218354736898</v>
      </c>
      <c r="L150" s="307"/>
      <c r="M150" s="308">
        <f t="shared" si="29"/>
        <v>6758.830000000002</v>
      </c>
      <c r="N150" s="39"/>
      <c r="O150" s="13">
        <f t="shared" si="30"/>
        <v>-7197.34</v>
      </c>
      <c r="P150" s="14">
        <f t="shared" si="25"/>
        <v>-605758.0383119297</v>
      </c>
      <c r="Q150" s="13">
        <f t="shared" si="31"/>
        <v>0</v>
      </c>
      <c r="R150" s="14">
        <f t="shared" si="26"/>
        <v>-5104.218354736898</v>
      </c>
      <c r="S150" s="14">
        <f t="shared" si="32"/>
        <v>-610862.2566666666</v>
      </c>
      <c r="T150" s="13">
        <f t="shared" si="27"/>
        <v>0</v>
      </c>
      <c r="U150" s="14">
        <f t="shared" si="28"/>
        <v>-6758.830000000002</v>
      </c>
      <c r="V150" s="12"/>
    </row>
    <row r="151" spans="1:22" ht="15.75">
      <c r="A151" s="383"/>
      <c r="B151" s="6" t="s">
        <v>94</v>
      </c>
      <c r="C151" s="53"/>
      <c r="D151" s="344"/>
      <c r="E151" s="46"/>
      <c r="F151" s="231"/>
      <c r="G151" s="39"/>
      <c r="H151" s="13"/>
      <c r="I151" s="14">
        <f t="shared" si="29"/>
        <v>605758.0383119297</v>
      </c>
      <c r="J151" s="13">
        <f>-H150</f>
        <v>-7197.34</v>
      </c>
      <c r="K151" s="14">
        <f t="shared" si="29"/>
        <v>-2093.1216452631024</v>
      </c>
      <c r="M151" s="308">
        <f t="shared" si="29"/>
        <v>6758.830000000002</v>
      </c>
      <c r="N151" s="39"/>
      <c r="O151" s="13">
        <f t="shared" si="30"/>
        <v>0</v>
      </c>
      <c r="P151" s="14">
        <f t="shared" si="25"/>
        <v>-605758.0383119297</v>
      </c>
      <c r="Q151" s="13">
        <f t="shared" si="31"/>
        <v>7197.34</v>
      </c>
      <c r="R151" s="14">
        <f t="shared" si="26"/>
        <v>2093.1216452631024</v>
      </c>
      <c r="S151" s="14">
        <f t="shared" si="32"/>
        <v>-603664.9166666666</v>
      </c>
      <c r="T151" s="13">
        <f t="shared" si="27"/>
        <v>0</v>
      </c>
      <c r="U151" s="14">
        <f t="shared" si="28"/>
        <v>-6758.830000000002</v>
      </c>
      <c r="V151" s="12"/>
    </row>
    <row r="152" spans="1:22" ht="15.75">
      <c r="A152" s="383">
        <v>38533</v>
      </c>
      <c r="B152" s="6" t="s">
        <v>51</v>
      </c>
      <c r="C152" s="53"/>
      <c r="D152" s="344"/>
      <c r="E152" s="46"/>
      <c r="F152" s="231"/>
      <c r="G152" s="39"/>
      <c r="H152" s="13"/>
      <c r="I152" s="14">
        <f t="shared" si="29"/>
        <v>605758.0383119297</v>
      </c>
      <c r="J152" s="25">
        <f>+$M$300</f>
        <v>7886.833333333333</v>
      </c>
      <c r="K152" s="14">
        <f t="shared" si="29"/>
        <v>5793.711688070231</v>
      </c>
      <c r="L152" s="13">
        <f>+ROUND(K151*$F$304*(A152-A149)/365,2)</f>
        <v>-12.47</v>
      </c>
      <c r="M152" s="308">
        <f t="shared" si="29"/>
        <v>6746.3600000000015</v>
      </c>
      <c r="N152" s="39"/>
      <c r="O152" s="13">
        <f t="shared" si="30"/>
        <v>0</v>
      </c>
      <c r="P152" s="14">
        <f t="shared" si="25"/>
        <v>-605758.0383119297</v>
      </c>
      <c r="Q152" s="13">
        <f t="shared" si="31"/>
        <v>-7886.833333333333</v>
      </c>
      <c r="R152" s="14">
        <f t="shared" si="26"/>
        <v>-5793.711688070231</v>
      </c>
      <c r="S152" s="14">
        <f t="shared" si="32"/>
        <v>-611551.7499999999</v>
      </c>
      <c r="T152" s="13">
        <f t="shared" si="27"/>
        <v>12.47</v>
      </c>
      <c r="U152" s="14">
        <f t="shared" si="28"/>
        <v>-6746.3600000000015</v>
      </c>
      <c r="V152" s="12"/>
    </row>
    <row r="153" spans="1:22" ht="15.75">
      <c r="A153" s="383"/>
      <c r="B153" s="6" t="s">
        <v>162</v>
      </c>
      <c r="C153" s="53"/>
      <c r="D153" s="344"/>
      <c r="E153" s="46"/>
      <c r="F153" s="231"/>
      <c r="G153" s="39"/>
      <c r="H153" s="13">
        <f>+'Total Billings (L.2.1)'!D79</f>
        <v>6281.47</v>
      </c>
      <c r="I153" s="14">
        <f t="shared" si="29"/>
        <v>612039.5083119296</v>
      </c>
      <c r="J153" s="25"/>
      <c r="K153" s="14">
        <f t="shared" si="29"/>
        <v>5793.711688070231</v>
      </c>
      <c r="L153" s="307"/>
      <c r="M153" s="308">
        <f t="shared" si="29"/>
        <v>6746.3600000000015</v>
      </c>
      <c r="N153" s="39"/>
      <c r="O153" s="13">
        <f t="shared" si="30"/>
        <v>-6281.47</v>
      </c>
      <c r="P153" s="14">
        <f t="shared" si="25"/>
        <v>-612039.5083119296</v>
      </c>
      <c r="Q153" s="13">
        <f t="shared" si="31"/>
        <v>0</v>
      </c>
      <c r="R153" s="14">
        <f t="shared" si="26"/>
        <v>-5793.711688070231</v>
      </c>
      <c r="S153" s="14">
        <f t="shared" si="32"/>
        <v>-617833.2199999999</v>
      </c>
      <c r="T153" s="13">
        <f t="shared" si="27"/>
        <v>0</v>
      </c>
      <c r="U153" s="14">
        <f t="shared" si="28"/>
        <v>-6746.3600000000015</v>
      </c>
      <c r="V153" s="12"/>
    </row>
    <row r="154" spans="1:22" ht="15.75">
      <c r="A154" s="383"/>
      <c r="B154" s="6" t="s">
        <v>94</v>
      </c>
      <c r="C154" s="53"/>
      <c r="D154" s="344"/>
      <c r="E154" s="46"/>
      <c r="F154" s="231"/>
      <c r="G154" s="39"/>
      <c r="H154" s="13"/>
      <c r="I154" s="14">
        <f aca="true" t="shared" si="33" ref="I154:M169">+I153+H154</f>
        <v>612039.5083119296</v>
      </c>
      <c r="J154" s="25">
        <f>-H153</f>
        <v>-6281.47</v>
      </c>
      <c r="K154" s="14">
        <f t="shared" si="33"/>
        <v>-487.75831192976966</v>
      </c>
      <c r="L154" s="4"/>
      <c r="M154" s="308">
        <f t="shared" si="33"/>
        <v>6746.3600000000015</v>
      </c>
      <c r="N154" s="39"/>
      <c r="O154" s="13">
        <f t="shared" si="30"/>
        <v>0</v>
      </c>
      <c r="P154" s="14">
        <f t="shared" si="25"/>
        <v>-612039.5083119296</v>
      </c>
      <c r="Q154" s="13">
        <f t="shared" si="31"/>
        <v>6281.47</v>
      </c>
      <c r="R154" s="14">
        <f t="shared" si="26"/>
        <v>487.75831192976966</v>
      </c>
      <c r="S154" s="14">
        <f t="shared" si="32"/>
        <v>-611551.7499999999</v>
      </c>
      <c r="T154" s="13">
        <f t="shared" si="27"/>
        <v>0</v>
      </c>
      <c r="U154" s="14">
        <f t="shared" si="28"/>
        <v>-6746.3600000000015</v>
      </c>
      <c r="V154" s="12"/>
    </row>
    <row r="155" spans="1:22" ht="15.75">
      <c r="A155" s="386"/>
      <c r="B155" s="363" t="s">
        <v>180</v>
      </c>
      <c r="C155" s="318"/>
      <c r="D155" s="347"/>
      <c r="E155" s="317"/>
      <c r="F155" s="321"/>
      <c r="G155" s="39"/>
      <c r="H155" s="337"/>
      <c r="I155" s="356">
        <f t="shared" si="33"/>
        <v>612039.5083119296</v>
      </c>
      <c r="J155" s="337">
        <v>-21830</v>
      </c>
      <c r="K155" s="356">
        <f t="shared" si="33"/>
        <v>-22317.75831192977</v>
      </c>
      <c r="L155" s="333"/>
      <c r="M155" s="332">
        <f t="shared" si="33"/>
        <v>6746.3600000000015</v>
      </c>
      <c r="N155" s="39"/>
      <c r="O155" s="319">
        <f t="shared" si="30"/>
        <v>0</v>
      </c>
      <c r="P155" s="320">
        <f t="shared" si="25"/>
        <v>-612039.5083119296</v>
      </c>
      <c r="Q155" s="319">
        <f t="shared" si="31"/>
        <v>21830</v>
      </c>
      <c r="R155" s="320">
        <f t="shared" si="26"/>
        <v>22317.75831192977</v>
      </c>
      <c r="S155" s="320">
        <f t="shared" si="32"/>
        <v>-589721.7499999999</v>
      </c>
      <c r="T155" s="319">
        <f t="shared" si="27"/>
        <v>0</v>
      </c>
      <c r="U155" s="320">
        <f t="shared" si="28"/>
        <v>-6746.3600000000015</v>
      </c>
      <c r="V155" s="12"/>
    </row>
    <row r="156" spans="1:22" ht="15.75">
      <c r="A156" s="383">
        <v>38564</v>
      </c>
      <c r="B156" s="6" t="s">
        <v>51</v>
      </c>
      <c r="C156" s="53"/>
      <c r="D156" s="344"/>
      <c r="E156" s="46"/>
      <c r="F156" s="231"/>
      <c r="G156" s="39"/>
      <c r="H156" s="13"/>
      <c r="I156" s="14">
        <f t="shared" si="33"/>
        <v>612039.5083119296</v>
      </c>
      <c r="J156" s="25">
        <f>+$M$300</f>
        <v>7886.833333333333</v>
      </c>
      <c r="K156" s="14">
        <f t="shared" si="33"/>
        <v>-14430.924978596438</v>
      </c>
      <c r="L156" s="13">
        <f>+ROUND(K155*$F$304*(A156-A152)/365,2)</f>
        <v>-137.42</v>
      </c>
      <c r="M156" s="308">
        <f t="shared" si="33"/>
        <v>6608.940000000001</v>
      </c>
      <c r="N156" s="39"/>
      <c r="O156" s="13">
        <f t="shared" si="30"/>
        <v>0</v>
      </c>
      <c r="P156" s="14">
        <f t="shared" si="25"/>
        <v>-612039.5083119296</v>
      </c>
      <c r="Q156" s="13">
        <f t="shared" si="31"/>
        <v>-7886.833333333333</v>
      </c>
      <c r="R156" s="14">
        <f t="shared" si="26"/>
        <v>14430.924978596438</v>
      </c>
      <c r="S156" s="14">
        <f t="shared" si="32"/>
        <v>-597608.5833333333</v>
      </c>
      <c r="T156" s="13">
        <f t="shared" si="27"/>
        <v>137.42</v>
      </c>
      <c r="U156" s="14">
        <f t="shared" si="28"/>
        <v>-6608.940000000001</v>
      </c>
      <c r="V156" s="12"/>
    </row>
    <row r="157" spans="1:22" ht="15.75">
      <c r="A157" s="383"/>
      <c r="B157" s="6" t="s">
        <v>162</v>
      </c>
      <c r="C157" s="53"/>
      <c r="D157" s="344"/>
      <c r="E157" s="46"/>
      <c r="F157" s="231"/>
      <c r="G157" s="39"/>
      <c r="H157" s="13">
        <f>+'Total Billings (L.2.1)'!D80</f>
        <v>9524.460000000001</v>
      </c>
      <c r="I157" s="14">
        <f t="shared" si="33"/>
        <v>621563.9683119296</v>
      </c>
      <c r="J157" s="13"/>
      <c r="K157" s="14">
        <f t="shared" si="33"/>
        <v>-14430.924978596438</v>
      </c>
      <c r="L157" s="307"/>
      <c r="M157" s="308">
        <f t="shared" si="33"/>
        <v>6608.940000000001</v>
      </c>
      <c r="N157" s="39"/>
      <c r="O157" s="13">
        <f t="shared" si="30"/>
        <v>-9524.460000000001</v>
      </c>
      <c r="P157" s="14">
        <f t="shared" si="25"/>
        <v>-621563.9683119296</v>
      </c>
      <c r="Q157" s="13">
        <f t="shared" si="31"/>
        <v>0</v>
      </c>
      <c r="R157" s="14">
        <f t="shared" si="26"/>
        <v>14430.924978596438</v>
      </c>
      <c r="S157" s="14">
        <f t="shared" si="32"/>
        <v>-607133.0433333332</v>
      </c>
      <c r="T157" s="13">
        <f t="shared" si="27"/>
        <v>0</v>
      </c>
      <c r="U157" s="14">
        <f t="shared" si="28"/>
        <v>-6608.940000000001</v>
      </c>
      <c r="V157" s="12"/>
    </row>
    <row r="158" spans="1:22" ht="15.75">
      <c r="A158" s="383"/>
      <c r="B158" s="6" t="s">
        <v>94</v>
      </c>
      <c r="C158" s="53"/>
      <c r="D158" s="344"/>
      <c r="E158" s="46"/>
      <c r="F158" s="231"/>
      <c r="G158" s="39"/>
      <c r="H158" s="13"/>
      <c r="I158" s="14">
        <f t="shared" si="33"/>
        <v>621563.9683119296</v>
      </c>
      <c r="J158" s="13">
        <f>-H157</f>
        <v>-9524.460000000001</v>
      </c>
      <c r="K158" s="14">
        <f t="shared" si="33"/>
        <v>-23955.38497859644</v>
      </c>
      <c r="M158" s="308">
        <f t="shared" si="33"/>
        <v>6608.940000000001</v>
      </c>
      <c r="N158" s="39"/>
      <c r="O158" s="13">
        <f t="shared" si="30"/>
        <v>0</v>
      </c>
      <c r="P158" s="14">
        <f t="shared" si="25"/>
        <v>-621563.9683119296</v>
      </c>
      <c r="Q158" s="13">
        <f t="shared" si="31"/>
        <v>9524.460000000001</v>
      </c>
      <c r="R158" s="14">
        <f t="shared" si="26"/>
        <v>23955.38497859644</v>
      </c>
      <c r="S158" s="14">
        <f t="shared" si="32"/>
        <v>-597608.5833333331</v>
      </c>
      <c r="T158" s="13">
        <f t="shared" si="27"/>
        <v>0</v>
      </c>
      <c r="U158" s="14">
        <f t="shared" si="28"/>
        <v>-6608.940000000001</v>
      </c>
      <c r="V158" s="12"/>
    </row>
    <row r="159" spans="1:22" ht="15.75">
      <c r="A159" s="383">
        <v>38595</v>
      </c>
      <c r="B159" s="6" t="s">
        <v>51</v>
      </c>
      <c r="C159" s="53"/>
      <c r="D159" s="344"/>
      <c r="E159" s="46"/>
      <c r="F159" s="231"/>
      <c r="G159" s="39"/>
      <c r="H159" s="13"/>
      <c r="I159" s="14">
        <f t="shared" si="33"/>
        <v>621563.9683119296</v>
      </c>
      <c r="J159" s="25">
        <f>+$M$300</f>
        <v>7886.833333333333</v>
      </c>
      <c r="K159" s="14">
        <f t="shared" si="33"/>
        <v>-16068.55164526311</v>
      </c>
      <c r="L159" s="13">
        <f>+ROUND(K158*$F$304*(A159-A156)/365,2)</f>
        <v>-147.51</v>
      </c>
      <c r="M159" s="308">
        <f t="shared" si="33"/>
        <v>6461.430000000001</v>
      </c>
      <c r="N159" s="39"/>
      <c r="O159" s="13">
        <f t="shared" si="30"/>
        <v>0</v>
      </c>
      <c r="P159" s="14">
        <f t="shared" si="25"/>
        <v>-621563.9683119296</v>
      </c>
      <c r="Q159" s="13">
        <f t="shared" si="31"/>
        <v>-7886.833333333333</v>
      </c>
      <c r="R159" s="14">
        <f t="shared" si="26"/>
        <v>16068.55164526311</v>
      </c>
      <c r="S159" s="14">
        <f t="shared" si="32"/>
        <v>-605495.4166666665</v>
      </c>
      <c r="T159" s="13">
        <f t="shared" si="27"/>
        <v>147.51</v>
      </c>
      <c r="U159" s="14">
        <f t="shared" si="28"/>
        <v>-6461.430000000001</v>
      </c>
      <c r="V159" s="12"/>
    </row>
    <row r="160" spans="1:22" ht="15.75">
      <c r="A160" s="383"/>
      <c r="B160" s="6" t="s">
        <v>162</v>
      </c>
      <c r="C160" s="53"/>
      <c r="D160" s="344"/>
      <c r="E160" s="46"/>
      <c r="F160" s="231"/>
      <c r="G160" s="39"/>
      <c r="H160" s="13">
        <f>+'Total Billings (L.2.1)'!D81</f>
        <v>10508.249999999998</v>
      </c>
      <c r="I160" s="14">
        <f t="shared" si="33"/>
        <v>632072.2183119296</v>
      </c>
      <c r="J160" s="13"/>
      <c r="K160" s="14">
        <f t="shared" si="33"/>
        <v>-16068.55164526311</v>
      </c>
      <c r="L160" s="307"/>
      <c r="M160" s="308">
        <f t="shared" si="33"/>
        <v>6461.430000000001</v>
      </c>
      <c r="N160" s="39"/>
      <c r="O160" s="13">
        <f t="shared" si="30"/>
        <v>-10508.249999999998</v>
      </c>
      <c r="P160" s="14">
        <f t="shared" si="25"/>
        <v>-632072.2183119296</v>
      </c>
      <c r="Q160" s="13">
        <f t="shared" si="31"/>
        <v>0</v>
      </c>
      <c r="R160" s="14">
        <f t="shared" si="26"/>
        <v>16068.55164526311</v>
      </c>
      <c r="S160" s="14">
        <f t="shared" si="32"/>
        <v>-616003.6666666665</v>
      </c>
      <c r="T160" s="13">
        <f t="shared" si="27"/>
        <v>0</v>
      </c>
      <c r="U160" s="14">
        <f t="shared" si="28"/>
        <v>-6461.430000000001</v>
      </c>
      <c r="V160" s="12"/>
    </row>
    <row r="161" spans="1:22" ht="15.75">
      <c r="A161" s="383"/>
      <c r="B161" s="6" t="s">
        <v>94</v>
      </c>
      <c r="C161" s="53"/>
      <c r="D161" s="344"/>
      <c r="E161" s="46"/>
      <c r="F161" s="231"/>
      <c r="G161" s="39"/>
      <c r="H161" s="13"/>
      <c r="I161" s="14">
        <f t="shared" si="33"/>
        <v>632072.2183119296</v>
      </c>
      <c r="J161" s="13">
        <f>-H160</f>
        <v>-10508.249999999998</v>
      </c>
      <c r="K161" s="14">
        <f t="shared" si="33"/>
        <v>-26576.801645263105</v>
      </c>
      <c r="M161" s="308">
        <f t="shared" si="33"/>
        <v>6461.430000000001</v>
      </c>
      <c r="N161" s="39"/>
      <c r="O161" s="13">
        <f t="shared" si="30"/>
        <v>0</v>
      </c>
      <c r="P161" s="14">
        <f t="shared" si="25"/>
        <v>-632072.2183119296</v>
      </c>
      <c r="Q161" s="13">
        <f t="shared" si="31"/>
        <v>10508.249999999998</v>
      </c>
      <c r="R161" s="14">
        <f t="shared" si="26"/>
        <v>26576.801645263105</v>
      </c>
      <c r="S161" s="14">
        <f t="shared" si="32"/>
        <v>-605495.4166666665</v>
      </c>
      <c r="T161" s="13">
        <f t="shared" si="27"/>
        <v>0</v>
      </c>
      <c r="U161" s="14">
        <f t="shared" si="28"/>
        <v>-6461.430000000001</v>
      </c>
      <c r="V161" s="12"/>
    </row>
    <row r="162" spans="1:22" ht="15.75">
      <c r="A162" s="383">
        <v>38625</v>
      </c>
      <c r="B162" s="6" t="s">
        <v>51</v>
      </c>
      <c r="C162" s="53"/>
      <c r="D162" s="344"/>
      <c r="E162" s="46"/>
      <c r="F162" s="231"/>
      <c r="G162" s="39"/>
      <c r="H162" s="13"/>
      <c r="I162" s="14">
        <f t="shared" si="33"/>
        <v>632072.2183119296</v>
      </c>
      <c r="J162" s="25">
        <f>+$M$300</f>
        <v>7886.833333333333</v>
      </c>
      <c r="K162" s="14">
        <f t="shared" si="33"/>
        <v>-18689.968311929773</v>
      </c>
      <c r="L162" s="13">
        <f>+ROUND(K161*$F$304*(A162-A159)/365,2)</f>
        <v>-158.37</v>
      </c>
      <c r="M162" s="308">
        <f t="shared" si="33"/>
        <v>6303.060000000001</v>
      </c>
      <c r="N162" s="39"/>
      <c r="O162" s="13">
        <f t="shared" si="30"/>
        <v>0</v>
      </c>
      <c r="P162" s="14">
        <f t="shared" si="25"/>
        <v>-632072.2183119296</v>
      </c>
      <c r="Q162" s="13">
        <f t="shared" si="31"/>
        <v>-7886.833333333333</v>
      </c>
      <c r="R162" s="14">
        <f t="shared" si="26"/>
        <v>18689.968311929773</v>
      </c>
      <c r="S162" s="14">
        <f t="shared" si="32"/>
        <v>-613382.2499999999</v>
      </c>
      <c r="T162" s="13">
        <f t="shared" si="27"/>
        <v>158.37</v>
      </c>
      <c r="U162" s="14">
        <f t="shared" si="28"/>
        <v>-6303.060000000001</v>
      </c>
      <c r="V162" s="12"/>
    </row>
    <row r="163" spans="1:22" ht="15.75">
      <c r="A163" s="383"/>
      <c r="B163" s="6" t="s">
        <v>162</v>
      </c>
      <c r="C163" s="53"/>
      <c r="D163" s="344"/>
      <c r="E163" s="46"/>
      <c r="F163" s="231"/>
      <c r="G163" s="39"/>
      <c r="H163" s="13">
        <f>+'Total Billings (L.2.1)'!D82</f>
        <v>7693.63</v>
      </c>
      <c r="I163" s="14">
        <f t="shared" si="33"/>
        <v>639765.8483119296</v>
      </c>
      <c r="J163" s="13"/>
      <c r="K163" s="14">
        <f t="shared" si="33"/>
        <v>-18689.968311929773</v>
      </c>
      <c r="L163" s="307"/>
      <c r="M163" s="308">
        <f t="shared" si="33"/>
        <v>6303.060000000001</v>
      </c>
      <c r="N163" s="39"/>
      <c r="O163" s="13">
        <f t="shared" si="30"/>
        <v>-7693.63</v>
      </c>
      <c r="P163" s="14">
        <f t="shared" si="25"/>
        <v>-639765.8483119296</v>
      </c>
      <c r="Q163" s="13">
        <f t="shared" si="31"/>
        <v>0</v>
      </c>
      <c r="R163" s="14">
        <f t="shared" si="26"/>
        <v>18689.968311929773</v>
      </c>
      <c r="S163" s="14">
        <f t="shared" si="32"/>
        <v>-621075.8799999999</v>
      </c>
      <c r="T163" s="13">
        <f t="shared" si="27"/>
        <v>0</v>
      </c>
      <c r="U163" s="14">
        <f t="shared" si="28"/>
        <v>-6303.060000000001</v>
      </c>
      <c r="V163" s="12"/>
    </row>
    <row r="164" spans="1:22" ht="15.75">
      <c r="A164" s="386"/>
      <c r="B164" s="316" t="s">
        <v>94</v>
      </c>
      <c r="C164" s="318"/>
      <c r="D164" s="347"/>
      <c r="E164" s="317"/>
      <c r="F164" s="321"/>
      <c r="G164" s="39"/>
      <c r="H164" s="319"/>
      <c r="I164" s="320">
        <f t="shared" si="33"/>
        <v>639765.8483119296</v>
      </c>
      <c r="J164" s="319">
        <f>-H163</f>
        <v>-7693.63</v>
      </c>
      <c r="K164" s="320">
        <f t="shared" si="33"/>
        <v>-26383.598311929774</v>
      </c>
      <c r="L164" s="331"/>
      <c r="M164" s="332">
        <f t="shared" si="33"/>
        <v>6303.060000000001</v>
      </c>
      <c r="N164" s="39"/>
      <c r="O164" s="319">
        <f t="shared" si="30"/>
        <v>0</v>
      </c>
      <c r="P164" s="320">
        <f t="shared" si="25"/>
        <v>-639765.8483119296</v>
      </c>
      <c r="Q164" s="319">
        <f t="shared" si="31"/>
        <v>7693.63</v>
      </c>
      <c r="R164" s="320">
        <f t="shared" si="26"/>
        <v>26383.598311929774</v>
      </c>
      <c r="S164" s="320">
        <f t="shared" si="32"/>
        <v>-613382.2499999999</v>
      </c>
      <c r="T164" s="319">
        <f t="shared" si="27"/>
        <v>0</v>
      </c>
      <c r="U164" s="320">
        <f t="shared" si="28"/>
        <v>-6303.060000000001</v>
      </c>
      <c r="V164" s="12"/>
    </row>
    <row r="165" spans="1:22" ht="15.75">
      <c r="A165" s="383">
        <v>38656</v>
      </c>
      <c r="B165" s="6" t="s">
        <v>51</v>
      </c>
      <c r="C165" s="53"/>
      <c r="D165" s="344"/>
      <c r="E165" s="46"/>
      <c r="F165" s="231"/>
      <c r="G165" s="39"/>
      <c r="H165" s="13"/>
      <c r="I165" s="14">
        <f t="shared" si="33"/>
        <v>639765.8483119296</v>
      </c>
      <c r="J165" s="25">
        <f>+$M$300</f>
        <v>7886.833333333333</v>
      </c>
      <c r="K165" s="14">
        <f t="shared" si="33"/>
        <v>-18496.764978596442</v>
      </c>
      <c r="L165" s="13">
        <f>+ROUND(K164*$F$304*(A165-A162)/365,2)</f>
        <v>-162.46</v>
      </c>
      <c r="M165" s="308">
        <f t="shared" si="33"/>
        <v>6140.600000000001</v>
      </c>
      <c r="N165" s="39"/>
      <c r="O165" s="13">
        <f t="shared" si="30"/>
        <v>0</v>
      </c>
      <c r="P165" s="14">
        <f t="shared" si="25"/>
        <v>-639765.8483119296</v>
      </c>
      <c r="Q165" s="13">
        <f t="shared" si="31"/>
        <v>-7886.833333333333</v>
      </c>
      <c r="R165" s="14">
        <f t="shared" si="26"/>
        <v>18496.764978596442</v>
      </c>
      <c r="S165" s="14">
        <f t="shared" si="32"/>
        <v>-621269.0833333331</v>
      </c>
      <c r="T165" s="13">
        <f t="shared" si="27"/>
        <v>162.46</v>
      </c>
      <c r="U165" s="14">
        <f t="shared" si="28"/>
        <v>-6140.600000000001</v>
      </c>
      <c r="V165" s="12"/>
    </row>
    <row r="166" spans="1:22" ht="15.75">
      <c r="A166" s="383"/>
      <c r="B166" s="6" t="s">
        <v>162</v>
      </c>
      <c r="C166" s="53"/>
      <c r="D166" s="344"/>
      <c r="E166" s="46"/>
      <c r="F166" s="231"/>
      <c r="G166" s="39"/>
      <c r="H166" s="13">
        <f>+'Total Billings (L.2.1)'!D83</f>
        <v>8097.02</v>
      </c>
      <c r="I166" s="14">
        <f t="shared" si="33"/>
        <v>647862.8683119296</v>
      </c>
      <c r="J166" s="13"/>
      <c r="K166" s="14">
        <f t="shared" si="33"/>
        <v>-18496.764978596442</v>
      </c>
      <c r="L166" s="307"/>
      <c r="M166" s="308">
        <f t="shared" si="33"/>
        <v>6140.600000000001</v>
      </c>
      <c r="N166" s="39"/>
      <c r="O166" s="13">
        <f t="shared" si="30"/>
        <v>-8097.02</v>
      </c>
      <c r="P166" s="14">
        <f t="shared" si="25"/>
        <v>-647862.8683119296</v>
      </c>
      <c r="Q166" s="13">
        <f t="shared" si="31"/>
        <v>0</v>
      </c>
      <c r="R166" s="14">
        <f t="shared" si="26"/>
        <v>18496.764978596442</v>
      </c>
      <c r="S166" s="14">
        <f t="shared" si="32"/>
        <v>-629366.1033333332</v>
      </c>
      <c r="T166" s="13">
        <f t="shared" si="27"/>
        <v>0</v>
      </c>
      <c r="U166" s="14">
        <f t="shared" si="28"/>
        <v>-6140.600000000001</v>
      </c>
      <c r="V166" s="12"/>
    </row>
    <row r="167" spans="1:22" ht="15.75">
      <c r="A167" s="383"/>
      <c r="B167" s="6" t="s">
        <v>94</v>
      </c>
      <c r="C167" s="53"/>
      <c r="D167" s="344"/>
      <c r="E167" s="46"/>
      <c r="F167" s="231"/>
      <c r="G167" s="39"/>
      <c r="H167" s="13"/>
      <c r="I167" s="14">
        <f t="shared" si="33"/>
        <v>647862.8683119296</v>
      </c>
      <c r="J167" s="13">
        <f>-H166</f>
        <v>-8097.02</v>
      </c>
      <c r="K167" s="14">
        <f t="shared" si="33"/>
        <v>-26593.784978596443</v>
      </c>
      <c r="M167" s="308">
        <f t="shared" si="33"/>
        <v>6140.600000000001</v>
      </c>
      <c r="N167" s="39"/>
      <c r="O167" s="13">
        <f t="shared" si="30"/>
        <v>0</v>
      </c>
      <c r="P167" s="14">
        <f t="shared" si="25"/>
        <v>-647862.8683119296</v>
      </c>
      <c r="Q167" s="13">
        <f t="shared" si="31"/>
        <v>8097.02</v>
      </c>
      <c r="R167" s="14">
        <f t="shared" si="26"/>
        <v>26593.784978596443</v>
      </c>
      <c r="S167" s="14">
        <f t="shared" si="32"/>
        <v>-621269.0833333331</v>
      </c>
      <c r="T167" s="13">
        <f t="shared" si="27"/>
        <v>0</v>
      </c>
      <c r="U167" s="14">
        <f t="shared" si="28"/>
        <v>-6140.600000000001</v>
      </c>
      <c r="V167" s="12"/>
    </row>
    <row r="168" spans="1:22" ht="15.75">
      <c r="A168" s="383">
        <v>38686</v>
      </c>
      <c r="B168" s="6" t="s">
        <v>51</v>
      </c>
      <c r="C168" s="53"/>
      <c r="D168" s="344"/>
      <c r="E168" s="46"/>
      <c r="F168" s="231"/>
      <c r="G168" s="39"/>
      <c r="H168" s="13"/>
      <c r="I168" s="14">
        <f t="shared" si="33"/>
        <v>647862.8683119296</v>
      </c>
      <c r="J168" s="25">
        <f>+$M$300</f>
        <v>7886.833333333333</v>
      </c>
      <c r="K168" s="14">
        <f t="shared" si="33"/>
        <v>-18706.95164526311</v>
      </c>
      <c r="L168" s="13">
        <f>+ROUND(K167*$F$304*(A168-A165)/365,2)</f>
        <v>-158.47</v>
      </c>
      <c r="M168" s="308">
        <f t="shared" si="33"/>
        <v>5982.130000000001</v>
      </c>
      <c r="N168" s="39"/>
      <c r="O168" s="13">
        <f t="shared" si="30"/>
        <v>0</v>
      </c>
      <c r="P168" s="14">
        <f t="shared" si="25"/>
        <v>-647862.8683119296</v>
      </c>
      <c r="Q168" s="13">
        <f t="shared" si="31"/>
        <v>-7886.833333333333</v>
      </c>
      <c r="R168" s="14">
        <f t="shared" si="26"/>
        <v>18706.95164526311</v>
      </c>
      <c r="S168" s="14">
        <f t="shared" si="32"/>
        <v>-629155.9166666665</v>
      </c>
      <c r="T168" s="13">
        <f t="shared" si="27"/>
        <v>158.47</v>
      </c>
      <c r="U168" s="14">
        <f t="shared" si="28"/>
        <v>-5982.130000000001</v>
      </c>
      <c r="V168" s="12"/>
    </row>
    <row r="169" spans="1:22" ht="15.75">
      <c r="A169" s="383"/>
      <c r="B169" s="6" t="s">
        <v>162</v>
      </c>
      <c r="C169" s="53"/>
      <c r="D169" s="344"/>
      <c r="E169" s="46"/>
      <c r="F169" s="231"/>
      <c r="G169" s="39"/>
      <c r="H169" s="13">
        <f>+'Total Billings (L.2.1)'!D84</f>
        <v>7145.7300000000005</v>
      </c>
      <c r="I169" s="14">
        <f t="shared" si="33"/>
        <v>655008.5983119296</v>
      </c>
      <c r="J169" s="13"/>
      <c r="K169" s="14">
        <f t="shared" si="33"/>
        <v>-18706.95164526311</v>
      </c>
      <c r="L169" s="307"/>
      <c r="M169" s="308">
        <f t="shared" si="33"/>
        <v>5982.130000000001</v>
      </c>
      <c r="N169" s="39"/>
      <c r="O169" s="13">
        <f t="shared" si="30"/>
        <v>-7145.7300000000005</v>
      </c>
      <c r="P169" s="14">
        <f t="shared" si="25"/>
        <v>-655008.5983119296</v>
      </c>
      <c r="Q169" s="13">
        <f t="shared" si="31"/>
        <v>0</v>
      </c>
      <c r="R169" s="14">
        <f t="shared" si="26"/>
        <v>18706.95164526311</v>
      </c>
      <c r="S169" s="14">
        <f t="shared" si="32"/>
        <v>-636301.6466666665</v>
      </c>
      <c r="T169" s="13">
        <f t="shared" si="27"/>
        <v>0</v>
      </c>
      <c r="U169" s="14">
        <f t="shared" si="28"/>
        <v>-5982.130000000001</v>
      </c>
      <c r="V169" s="12"/>
    </row>
    <row r="170" spans="1:22" ht="15.75">
      <c r="A170" s="383"/>
      <c r="B170" s="6" t="s">
        <v>94</v>
      </c>
      <c r="C170" s="53"/>
      <c r="D170" s="344"/>
      <c r="E170" s="46"/>
      <c r="F170" s="231"/>
      <c r="G170" s="39"/>
      <c r="H170" s="13"/>
      <c r="I170" s="14">
        <f aca="true" t="shared" si="34" ref="I170:M185">+I169+H170</f>
        <v>655008.5983119296</v>
      </c>
      <c r="J170" s="13">
        <f>-H169</f>
        <v>-7145.7300000000005</v>
      </c>
      <c r="K170" s="14">
        <f t="shared" si="34"/>
        <v>-25852.68164526311</v>
      </c>
      <c r="M170" s="308">
        <f t="shared" si="34"/>
        <v>5982.130000000001</v>
      </c>
      <c r="N170" s="39"/>
      <c r="O170" s="13">
        <f t="shared" si="30"/>
        <v>0</v>
      </c>
      <c r="P170" s="14">
        <f t="shared" si="25"/>
        <v>-655008.5983119296</v>
      </c>
      <c r="Q170" s="13">
        <f t="shared" si="31"/>
        <v>7145.7300000000005</v>
      </c>
      <c r="R170" s="14">
        <f t="shared" si="26"/>
        <v>25852.68164526311</v>
      </c>
      <c r="S170" s="14">
        <f t="shared" si="32"/>
        <v>-629155.9166666665</v>
      </c>
      <c r="T170" s="13">
        <f t="shared" si="27"/>
        <v>0</v>
      </c>
      <c r="U170" s="14">
        <f t="shared" si="28"/>
        <v>-5982.130000000001</v>
      </c>
      <c r="V170" s="12"/>
    </row>
    <row r="171" spans="1:22" ht="15.75">
      <c r="A171" s="383">
        <v>38717</v>
      </c>
      <c r="B171" s="6" t="s">
        <v>51</v>
      </c>
      <c r="C171" s="53"/>
      <c r="D171" s="344"/>
      <c r="E171" s="46"/>
      <c r="F171" s="231"/>
      <c r="G171" s="39"/>
      <c r="H171" s="13"/>
      <c r="I171" s="14">
        <f t="shared" si="34"/>
        <v>655008.5983119296</v>
      </c>
      <c r="J171" s="25">
        <f>+$M$300</f>
        <v>7886.833333333333</v>
      </c>
      <c r="K171" s="14">
        <f t="shared" si="34"/>
        <v>-17965.848311929778</v>
      </c>
      <c r="L171" s="13">
        <f>+ROUND(K170*$F$304*(A171-A168)/365,2)</f>
        <v>-159.19</v>
      </c>
      <c r="M171" s="308">
        <f t="shared" si="34"/>
        <v>5822.940000000001</v>
      </c>
      <c r="N171" s="39"/>
      <c r="O171" s="13">
        <f t="shared" si="30"/>
        <v>0</v>
      </c>
      <c r="P171" s="14">
        <f t="shared" si="25"/>
        <v>-655008.5983119296</v>
      </c>
      <c r="Q171" s="13">
        <f t="shared" si="31"/>
        <v>-7886.833333333333</v>
      </c>
      <c r="R171" s="14">
        <f t="shared" si="26"/>
        <v>17965.848311929778</v>
      </c>
      <c r="S171" s="14">
        <f t="shared" si="32"/>
        <v>-637042.7499999999</v>
      </c>
      <c r="T171" s="13">
        <f t="shared" si="27"/>
        <v>159.19</v>
      </c>
      <c r="U171" s="14">
        <f t="shared" si="28"/>
        <v>-5822.940000000001</v>
      </c>
      <c r="V171" s="12"/>
    </row>
    <row r="172" spans="1:22" ht="15.75">
      <c r="A172" s="383"/>
      <c r="B172" s="6" t="s">
        <v>162</v>
      </c>
      <c r="C172" s="53"/>
      <c r="D172" s="344"/>
      <c r="E172" s="46"/>
      <c r="F172" s="231"/>
      <c r="G172" s="39"/>
      <c r="H172" s="13">
        <f>+'Total Billings (L.2.1)'!D85</f>
        <v>7124.54</v>
      </c>
      <c r="I172" s="14">
        <f t="shared" si="34"/>
        <v>662133.1383119297</v>
      </c>
      <c r="J172" s="13"/>
      <c r="K172" s="14">
        <f t="shared" si="34"/>
        <v>-17965.848311929778</v>
      </c>
      <c r="L172" s="307"/>
      <c r="M172" s="308">
        <f t="shared" si="34"/>
        <v>5822.940000000001</v>
      </c>
      <c r="N172" s="39"/>
      <c r="O172" s="13">
        <f t="shared" si="30"/>
        <v>-7124.54</v>
      </c>
      <c r="P172" s="14">
        <f t="shared" si="25"/>
        <v>-662133.1383119297</v>
      </c>
      <c r="Q172" s="13">
        <f t="shared" si="31"/>
        <v>0</v>
      </c>
      <c r="R172" s="14">
        <f t="shared" si="26"/>
        <v>17965.848311929778</v>
      </c>
      <c r="S172" s="14">
        <f t="shared" si="32"/>
        <v>-644167.2899999999</v>
      </c>
      <c r="T172" s="13">
        <f t="shared" si="27"/>
        <v>0</v>
      </c>
      <c r="U172" s="14">
        <f t="shared" si="28"/>
        <v>-5822.940000000001</v>
      </c>
      <c r="V172" s="12"/>
    </row>
    <row r="173" spans="1:22" ht="15.75">
      <c r="A173" s="383"/>
      <c r="B173" s="6" t="s">
        <v>94</v>
      </c>
      <c r="C173" s="53"/>
      <c r="D173" s="344"/>
      <c r="E173" s="46"/>
      <c r="F173" s="231"/>
      <c r="G173" s="39"/>
      <c r="H173" s="13"/>
      <c r="I173" s="14">
        <f t="shared" si="34"/>
        <v>662133.1383119297</v>
      </c>
      <c r="J173" s="13">
        <f>-H172</f>
        <v>-7124.54</v>
      </c>
      <c r="K173" s="14">
        <f t="shared" si="34"/>
        <v>-25090.38831192978</v>
      </c>
      <c r="M173" s="308">
        <f t="shared" si="34"/>
        <v>5822.940000000001</v>
      </c>
      <c r="N173" s="39"/>
      <c r="O173" s="13">
        <f t="shared" si="30"/>
        <v>0</v>
      </c>
      <c r="P173" s="14">
        <f t="shared" si="25"/>
        <v>-662133.1383119297</v>
      </c>
      <c r="Q173" s="13">
        <f t="shared" si="31"/>
        <v>7124.54</v>
      </c>
      <c r="R173" s="14">
        <f t="shared" si="26"/>
        <v>25090.38831192978</v>
      </c>
      <c r="S173" s="14">
        <f t="shared" si="32"/>
        <v>-637042.7499999999</v>
      </c>
      <c r="T173" s="13">
        <f t="shared" si="27"/>
        <v>0</v>
      </c>
      <c r="U173" s="14">
        <f t="shared" si="28"/>
        <v>-5822.940000000001</v>
      </c>
      <c r="V173" s="12"/>
    </row>
    <row r="174" spans="1:22" ht="15.75">
      <c r="A174" s="383"/>
      <c r="B174" s="6" t="s">
        <v>151</v>
      </c>
      <c r="C174" s="53"/>
      <c r="D174" s="344"/>
      <c r="E174" s="46"/>
      <c r="F174" s="231"/>
      <c r="G174" s="39"/>
      <c r="H174" s="13">
        <f>+'Total Billings (L.2.1)'!D86</f>
        <v>-13247.949999999999</v>
      </c>
      <c r="I174" s="14">
        <f t="shared" si="34"/>
        <v>648885.1883119297</v>
      </c>
      <c r="J174" s="13"/>
      <c r="K174" s="14">
        <f t="shared" si="34"/>
        <v>-25090.38831192978</v>
      </c>
      <c r="L174" s="309"/>
      <c r="M174" s="308">
        <f t="shared" si="34"/>
        <v>5822.940000000001</v>
      </c>
      <c r="N174" s="39"/>
      <c r="O174" s="13">
        <f>-H174</f>
        <v>13247.949999999999</v>
      </c>
      <c r="P174" s="14">
        <f t="shared" si="25"/>
        <v>-648885.1883119297</v>
      </c>
      <c r="Q174" s="13">
        <f>-J174</f>
        <v>0</v>
      </c>
      <c r="R174" s="14">
        <f t="shared" si="26"/>
        <v>25090.38831192978</v>
      </c>
      <c r="S174" s="14">
        <f>+R174+P174</f>
        <v>-623794.7999999999</v>
      </c>
      <c r="T174" s="13">
        <f t="shared" si="27"/>
        <v>0</v>
      </c>
      <c r="U174" s="14">
        <f t="shared" si="28"/>
        <v>-5822.940000000001</v>
      </c>
      <c r="V174" s="12"/>
    </row>
    <row r="175" spans="1:22" ht="15.75">
      <c r="A175" s="383"/>
      <c r="B175" s="6" t="s">
        <v>95</v>
      </c>
      <c r="C175" s="53"/>
      <c r="D175" s="344"/>
      <c r="E175" s="46"/>
      <c r="F175" s="231"/>
      <c r="G175" s="39"/>
      <c r="H175" s="13"/>
      <c r="I175" s="14">
        <f t="shared" si="34"/>
        <v>648885.1883119297</v>
      </c>
      <c r="J175" s="25">
        <f>-H174</f>
        <v>13247.949999999999</v>
      </c>
      <c r="K175" s="14">
        <f t="shared" si="34"/>
        <v>-11842.43831192978</v>
      </c>
      <c r="L175" s="309"/>
      <c r="M175" s="308">
        <f t="shared" si="34"/>
        <v>5822.940000000001</v>
      </c>
      <c r="N175" s="39"/>
      <c r="O175" s="13">
        <f>-H175</f>
        <v>0</v>
      </c>
      <c r="P175" s="14">
        <f t="shared" si="25"/>
        <v>-648885.1883119297</v>
      </c>
      <c r="Q175" s="13">
        <f>-J175</f>
        <v>-13247.949999999999</v>
      </c>
      <c r="R175" s="14">
        <f t="shared" si="26"/>
        <v>11842.43831192978</v>
      </c>
      <c r="S175" s="14">
        <f>+R175+P175</f>
        <v>-637042.7499999999</v>
      </c>
      <c r="T175" s="13">
        <f t="shared" si="27"/>
        <v>0</v>
      </c>
      <c r="U175" s="14">
        <f t="shared" si="28"/>
        <v>-5822.940000000001</v>
      </c>
      <c r="V175" s="12"/>
    </row>
    <row r="176" spans="1:22" ht="15.75">
      <c r="A176" s="383"/>
      <c r="B176" s="6" t="s">
        <v>149</v>
      </c>
      <c r="C176" s="53"/>
      <c r="D176" s="344"/>
      <c r="E176" s="46"/>
      <c r="F176" s="231"/>
      <c r="G176" s="39"/>
      <c r="H176" s="28">
        <f>+'Total Billings (L.2.1)'!D87</f>
        <v>8980.449999999999</v>
      </c>
      <c r="I176" s="14">
        <f t="shared" si="34"/>
        <v>657865.6383119297</v>
      </c>
      <c r="J176" s="25"/>
      <c r="K176" s="14">
        <f t="shared" si="34"/>
        <v>-11842.43831192978</v>
      </c>
      <c r="L176" s="13"/>
      <c r="M176" s="14">
        <f t="shared" si="34"/>
        <v>5822.940000000001</v>
      </c>
      <c r="N176" s="39"/>
      <c r="O176" s="13">
        <f aca="true" t="shared" si="35" ref="O176:O183">-H176</f>
        <v>-8980.449999999999</v>
      </c>
      <c r="P176" s="14">
        <f t="shared" si="25"/>
        <v>-657865.6383119297</v>
      </c>
      <c r="Q176" s="13">
        <f aca="true" t="shared" si="36" ref="Q176:Q183">-J176</f>
        <v>0</v>
      </c>
      <c r="R176" s="14">
        <f t="shared" si="26"/>
        <v>11842.43831192978</v>
      </c>
      <c r="S176" s="14">
        <f aca="true" t="shared" si="37" ref="S176:S183">+R176+P176</f>
        <v>-646023.1999999998</v>
      </c>
      <c r="T176" s="13">
        <f t="shared" si="27"/>
        <v>0</v>
      </c>
      <c r="U176" s="14">
        <f t="shared" si="28"/>
        <v>-5822.940000000001</v>
      </c>
      <c r="V176" s="12"/>
    </row>
    <row r="177" spans="1:22" ht="15.75">
      <c r="A177" s="383"/>
      <c r="B177" s="6" t="s">
        <v>96</v>
      </c>
      <c r="C177" s="53"/>
      <c r="D177" s="344"/>
      <c r="E177" s="46"/>
      <c r="F177" s="231"/>
      <c r="G177" s="39"/>
      <c r="H177" s="28"/>
      <c r="I177" s="14">
        <f t="shared" si="34"/>
        <v>657865.6383119297</v>
      </c>
      <c r="J177" s="13">
        <f>-H176</f>
        <v>-8980.449999999999</v>
      </c>
      <c r="K177" s="14">
        <f t="shared" si="34"/>
        <v>-20822.88831192978</v>
      </c>
      <c r="L177" s="13"/>
      <c r="M177" s="14">
        <f t="shared" si="34"/>
        <v>5822.940000000001</v>
      </c>
      <c r="N177" s="39"/>
      <c r="O177" s="13">
        <f t="shared" si="35"/>
        <v>0</v>
      </c>
      <c r="P177" s="14">
        <f t="shared" si="25"/>
        <v>-657865.6383119297</v>
      </c>
      <c r="Q177" s="13">
        <f t="shared" si="36"/>
        <v>8980.449999999999</v>
      </c>
      <c r="R177" s="14">
        <f t="shared" si="26"/>
        <v>20822.88831192978</v>
      </c>
      <c r="S177" s="14">
        <f t="shared" si="37"/>
        <v>-637042.7499999999</v>
      </c>
      <c r="T177" s="13">
        <f t="shared" si="27"/>
        <v>0</v>
      </c>
      <c r="U177" s="14">
        <f t="shared" si="28"/>
        <v>-5822.940000000001</v>
      </c>
      <c r="V177" s="12"/>
    </row>
    <row r="178" spans="1:22" ht="15.75">
      <c r="A178" s="322"/>
      <c r="B178" s="334"/>
      <c r="C178" s="325">
        <f>+J137+J140+J143+J146+J149+J152+J156+J159+J162+J165+J168+J171</f>
        <v>109618.24999999999</v>
      </c>
      <c r="D178" s="348">
        <f>+J155</f>
        <v>-21830</v>
      </c>
      <c r="E178" s="324">
        <f>-(+I178-I135)</f>
        <v>-114811.82999999996</v>
      </c>
      <c r="F178" s="336">
        <f>+M178-M135</f>
        <v>-844.8399999999992</v>
      </c>
      <c r="G178" s="39"/>
      <c r="H178" s="326"/>
      <c r="I178" s="327">
        <f t="shared" si="34"/>
        <v>657865.6383119297</v>
      </c>
      <c r="J178" s="326"/>
      <c r="K178" s="327">
        <f t="shared" si="34"/>
        <v>-20822.88831192978</v>
      </c>
      <c r="L178" s="326"/>
      <c r="M178" s="327">
        <f t="shared" si="34"/>
        <v>5822.940000000001</v>
      </c>
      <c r="N178" s="39"/>
      <c r="O178" s="326">
        <f t="shared" si="35"/>
        <v>0</v>
      </c>
      <c r="P178" s="327">
        <f t="shared" si="25"/>
        <v>-657865.6383119297</v>
      </c>
      <c r="Q178" s="326">
        <f t="shared" si="36"/>
        <v>0</v>
      </c>
      <c r="R178" s="327">
        <f t="shared" si="26"/>
        <v>20822.88831192978</v>
      </c>
      <c r="S178" s="327">
        <f t="shared" si="37"/>
        <v>-637042.7499999999</v>
      </c>
      <c r="T178" s="326">
        <f t="shared" si="27"/>
        <v>0</v>
      </c>
      <c r="U178" s="327">
        <f t="shared" si="28"/>
        <v>-5822.940000000001</v>
      </c>
      <c r="V178" s="12"/>
    </row>
    <row r="179" spans="1:22" ht="15.75">
      <c r="A179" s="305" t="s">
        <v>153</v>
      </c>
      <c r="B179" s="6"/>
      <c r="C179" s="53"/>
      <c r="D179" s="344"/>
      <c r="E179" s="46"/>
      <c r="F179" s="231"/>
      <c r="G179" s="39"/>
      <c r="H179" s="28"/>
      <c r="I179" s="14">
        <f t="shared" si="34"/>
        <v>657865.6383119297</v>
      </c>
      <c r="J179" s="13"/>
      <c r="K179" s="14">
        <f t="shared" si="34"/>
        <v>-20822.88831192978</v>
      </c>
      <c r="L179" s="21"/>
      <c r="M179" s="14">
        <f t="shared" si="34"/>
        <v>5822.940000000001</v>
      </c>
      <c r="N179" s="39"/>
      <c r="O179" s="13">
        <f t="shared" si="35"/>
        <v>0</v>
      </c>
      <c r="P179" s="14">
        <f t="shared" si="25"/>
        <v>-657865.6383119297</v>
      </c>
      <c r="Q179" s="13">
        <f t="shared" si="36"/>
        <v>0</v>
      </c>
      <c r="R179" s="14">
        <f t="shared" si="26"/>
        <v>20822.88831192978</v>
      </c>
      <c r="S179" s="14">
        <f t="shared" si="37"/>
        <v>-637042.7499999999</v>
      </c>
      <c r="T179" s="13">
        <f t="shared" si="27"/>
        <v>0</v>
      </c>
      <c r="U179" s="14">
        <f t="shared" si="28"/>
        <v>-5822.940000000001</v>
      </c>
      <c r="V179" s="12"/>
    </row>
    <row r="180" spans="1:22" ht="15.75">
      <c r="A180" s="383">
        <v>38748</v>
      </c>
      <c r="B180" s="6" t="s">
        <v>51</v>
      </c>
      <c r="C180" s="53"/>
      <c r="D180" s="344"/>
      <c r="E180" s="46"/>
      <c r="F180" s="231"/>
      <c r="G180" s="39"/>
      <c r="H180" s="25"/>
      <c r="I180" s="14">
        <f t="shared" si="34"/>
        <v>657865.6383119297</v>
      </c>
      <c r="J180" s="25">
        <f>+$M$300</f>
        <v>7886.833333333333</v>
      </c>
      <c r="K180" s="14">
        <f t="shared" si="34"/>
        <v>-12936.054978596447</v>
      </c>
      <c r="L180" s="13">
        <f>+ROUND(K179*$F$304*(A180-A171)/365,2)</f>
        <v>-128.22</v>
      </c>
      <c r="M180" s="308">
        <f t="shared" si="34"/>
        <v>5694.720000000001</v>
      </c>
      <c r="N180" s="39"/>
      <c r="O180" s="13">
        <f t="shared" si="35"/>
        <v>0</v>
      </c>
      <c r="P180" s="14">
        <f t="shared" si="25"/>
        <v>-657865.6383119297</v>
      </c>
      <c r="Q180" s="13">
        <f t="shared" si="36"/>
        <v>-7886.833333333333</v>
      </c>
      <c r="R180" s="14">
        <f t="shared" si="26"/>
        <v>12936.054978596447</v>
      </c>
      <c r="S180" s="14">
        <f t="shared" si="37"/>
        <v>-644929.5833333333</v>
      </c>
      <c r="T180" s="13">
        <f t="shared" si="27"/>
        <v>128.22</v>
      </c>
      <c r="U180" s="14">
        <f t="shared" si="28"/>
        <v>-5694.720000000001</v>
      </c>
      <c r="V180" s="12"/>
    </row>
    <row r="181" spans="1:22" ht="15.75">
      <c r="A181" s="383"/>
      <c r="B181" s="6" t="s">
        <v>162</v>
      </c>
      <c r="C181" s="53"/>
      <c r="D181" s="344"/>
      <c r="E181" s="46"/>
      <c r="F181" s="231"/>
      <c r="G181" s="39"/>
      <c r="H181" s="25">
        <f>+'Total Billings (L.2.1)'!D95</f>
        <v>8595.509999999998</v>
      </c>
      <c r="I181" s="14">
        <f t="shared" si="34"/>
        <v>666461.1483119297</v>
      </c>
      <c r="J181" s="13"/>
      <c r="K181" s="14">
        <f t="shared" si="34"/>
        <v>-12936.054978596447</v>
      </c>
      <c r="L181" s="307"/>
      <c r="M181" s="308">
        <f t="shared" si="34"/>
        <v>5694.720000000001</v>
      </c>
      <c r="N181" s="39"/>
      <c r="O181" s="13">
        <f t="shared" si="35"/>
        <v>-8595.509999999998</v>
      </c>
      <c r="P181" s="14">
        <f t="shared" si="25"/>
        <v>-666461.1483119297</v>
      </c>
      <c r="Q181" s="13">
        <f t="shared" si="36"/>
        <v>0</v>
      </c>
      <c r="R181" s="14">
        <f t="shared" si="26"/>
        <v>12936.054978596447</v>
      </c>
      <c r="S181" s="14">
        <f t="shared" si="37"/>
        <v>-653525.0933333333</v>
      </c>
      <c r="T181" s="13">
        <f t="shared" si="27"/>
        <v>0</v>
      </c>
      <c r="U181" s="14">
        <f t="shared" si="28"/>
        <v>-5694.720000000001</v>
      </c>
      <c r="V181" s="12"/>
    </row>
    <row r="182" spans="1:22" ht="15.75">
      <c r="A182" s="383"/>
      <c r="B182" s="6" t="s">
        <v>94</v>
      </c>
      <c r="C182" s="53"/>
      <c r="D182" s="344"/>
      <c r="E182" s="46"/>
      <c r="F182" s="231"/>
      <c r="G182" s="39"/>
      <c r="H182" s="25"/>
      <c r="I182" s="14">
        <f t="shared" si="34"/>
        <v>666461.1483119297</v>
      </c>
      <c r="J182" s="25">
        <f>-H181</f>
        <v>-8595.509999999998</v>
      </c>
      <c r="K182" s="14">
        <f t="shared" si="34"/>
        <v>-21531.564978596445</v>
      </c>
      <c r="M182" s="308">
        <f t="shared" si="34"/>
        <v>5694.720000000001</v>
      </c>
      <c r="N182" s="39"/>
      <c r="O182" s="13">
        <f t="shared" si="35"/>
        <v>0</v>
      </c>
      <c r="P182" s="14">
        <f t="shared" si="25"/>
        <v>-666461.1483119297</v>
      </c>
      <c r="Q182" s="13">
        <f t="shared" si="36"/>
        <v>8595.509999999998</v>
      </c>
      <c r="R182" s="14">
        <f t="shared" si="26"/>
        <v>21531.564978596445</v>
      </c>
      <c r="S182" s="14">
        <f t="shared" si="37"/>
        <v>-644929.5833333333</v>
      </c>
      <c r="T182" s="13">
        <f t="shared" si="27"/>
        <v>0</v>
      </c>
      <c r="U182" s="14">
        <f t="shared" si="28"/>
        <v>-5694.720000000001</v>
      </c>
      <c r="V182" s="12"/>
    </row>
    <row r="183" spans="1:22" ht="15.75">
      <c r="A183" s="383">
        <v>38776</v>
      </c>
      <c r="B183" s="6" t="s">
        <v>51</v>
      </c>
      <c r="C183" s="53"/>
      <c r="D183" s="344"/>
      <c r="E183" s="46"/>
      <c r="F183" s="231"/>
      <c r="G183" s="39"/>
      <c r="H183" s="25"/>
      <c r="I183" s="14">
        <f t="shared" si="34"/>
        <v>666461.1483119297</v>
      </c>
      <c r="J183" s="25">
        <f>+$M$300</f>
        <v>7886.833333333333</v>
      </c>
      <c r="K183" s="14">
        <f t="shared" si="34"/>
        <v>-13644.731645263113</v>
      </c>
      <c r="L183" s="13">
        <f>+ROUND(K182*$F$304*(A183-A180)/365,2)</f>
        <v>-119.75</v>
      </c>
      <c r="M183" s="308">
        <f t="shared" si="34"/>
        <v>5574.970000000001</v>
      </c>
      <c r="N183" s="39"/>
      <c r="O183" s="13">
        <f t="shared" si="35"/>
        <v>0</v>
      </c>
      <c r="P183" s="14">
        <f t="shared" si="25"/>
        <v>-666461.1483119297</v>
      </c>
      <c r="Q183" s="13">
        <f t="shared" si="36"/>
        <v>-7886.833333333333</v>
      </c>
      <c r="R183" s="14">
        <f t="shared" si="26"/>
        <v>13644.731645263113</v>
      </c>
      <c r="S183" s="14">
        <f t="shared" si="37"/>
        <v>-652816.4166666665</v>
      </c>
      <c r="T183" s="13">
        <f t="shared" si="27"/>
        <v>119.75</v>
      </c>
      <c r="U183" s="14">
        <f t="shared" si="28"/>
        <v>-5574.970000000001</v>
      </c>
      <c r="V183" s="12"/>
    </row>
    <row r="184" spans="1:22" ht="15.75">
      <c r="A184" s="383"/>
      <c r="B184" s="6" t="s">
        <v>162</v>
      </c>
      <c r="C184" s="53"/>
      <c r="D184" s="344"/>
      <c r="E184" s="46"/>
      <c r="F184" s="231"/>
      <c r="G184" s="39"/>
      <c r="H184" s="25">
        <f>+'Total Billings (L.2.1)'!D96</f>
        <v>8806.810000000003</v>
      </c>
      <c r="I184" s="14">
        <f t="shared" si="34"/>
        <v>675267.9583119297</v>
      </c>
      <c r="J184" s="25"/>
      <c r="K184" s="14">
        <f t="shared" si="34"/>
        <v>-13644.731645263113</v>
      </c>
      <c r="L184" s="307"/>
      <c r="M184" s="308">
        <f t="shared" si="34"/>
        <v>5574.970000000001</v>
      </c>
      <c r="N184" s="39"/>
      <c r="O184" s="13">
        <f t="shared" si="30"/>
        <v>-8806.810000000003</v>
      </c>
      <c r="P184" s="14">
        <f t="shared" si="25"/>
        <v>-675267.9583119297</v>
      </c>
      <c r="Q184" s="13">
        <f t="shared" si="31"/>
        <v>0</v>
      </c>
      <c r="R184" s="14">
        <f t="shared" si="26"/>
        <v>13644.731645263113</v>
      </c>
      <c r="S184" s="14">
        <f t="shared" si="32"/>
        <v>-661623.2266666666</v>
      </c>
      <c r="T184" s="13">
        <f t="shared" si="27"/>
        <v>0</v>
      </c>
      <c r="U184" s="14">
        <f t="shared" si="28"/>
        <v>-5574.970000000001</v>
      </c>
      <c r="V184" s="12"/>
    </row>
    <row r="185" spans="1:22" ht="15.75">
      <c r="A185" s="383"/>
      <c r="B185" s="6" t="s">
        <v>94</v>
      </c>
      <c r="C185" s="53"/>
      <c r="D185" s="344"/>
      <c r="E185" s="46"/>
      <c r="F185" s="231"/>
      <c r="G185" s="39"/>
      <c r="H185" s="25"/>
      <c r="I185" s="14">
        <f t="shared" si="34"/>
        <v>675267.9583119297</v>
      </c>
      <c r="J185" s="25">
        <f>-H184</f>
        <v>-8806.810000000003</v>
      </c>
      <c r="K185" s="14">
        <f t="shared" si="34"/>
        <v>-22451.541645263118</v>
      </c>
      <c r="M185" s="308">
        <f t="shared" si="34"/>
        <v>5574.970000000001</v>
      </c>
      <c r="N185" s="39"/>
      <c r="O185" s="13">
        <f t="shared" si="30"/>
        <v>0</v>
      </c>
      <c r="P185" s="14">
        <f t="shared" si="25"/>
        <v>-675267.9583119297</v>
      </c>
      <c r="Q185" s="13">
        <f t="shared" si="31"/>
        <v>8806.810000000003</v>
      </c>
      <c r="R185" s="14">
        <f t="shared" si="26"/>
        <v>22451.541645263118</v>
      </c>
      <c r="S185" s="14">
        <f t="shared" si="32"/>
        <v>-652816.4166666666</v>
      </c>
      <c r="T185" s="13">
        <f t="shared" si="27"/>
        <v>0</v>
      </c>
      <c r="U185" s="14">
        <f t="shared" si="28"/>
        <v>-5574.970000000001</v>
      </c>
      <c r="V185" s="12"/>
    </row>
    <row r="186" spans="1:22" ht="15.75">
      <c r="A186" s="383">
        <v>38807</v>
      </c>
      <c r="B186" s="6" t="s">
        <v>51</v>
      </c>
      <c r="C186" s="53"/>
      <c r="D186" s="344"/>
      <c r="E186" s="46"/>
      <c r="F186" s="231"/>
      <c r="G186" s="39"/>
      <c r="H186" s="25"/>
      <c r="I186" s="14">
        <f aca="true" t="shared" si="38" ref="I186:M201">+I185+H186</f>
        <v>675267.9583119297</v>
      </c>
      <c r="J186" s="25">
        <f>+$M$300</f>
        <v>7886.833333333333</v>
      </c>
      <c r="K186" s="14">
        <f t="shared" si="38"/>
        <v>-14564.708311929786</v>
      </c>
      <c r="L186" s="13">
        <f>+ROUND(K185*$F$304*(A186-A183)/365,2)</f>
        <v>-138.25</v>
      </c>
      <c r="M186" s="308">
        <f t="shared" si="38"/>
        <v>5436.720000000001</v>
      </c>
      <c r="N186" s="39"/>
      <c r="O186" s="13">
        <f t="shared" si="30"/>
        <v>0</v>
      </c>
      <c r="P186" s="14">
        <f t="shared" si="25"/>
        <v>-675267.9583119297</v>
      </c>
      <c r="Q186" s="13">
        <f t="shared" si="31"/>
        <v>-7886.833333333333</v>
      </c>
      <c r="R186" s="14">
        <f t="shared" si="26"/>
        <v>14564.708311929786</v>
      </c>
      <c r="S186" s="14">
        <f t="shared" si="32"/>
        <v>-660703.2499999999</v>
      </c>
      <c r="T186" s="13">
        <f t="shared" si="27"/>
        <v>138.25</v>
      </c>
      <c r="U186" s="14">
        <f t="shared" si="28"/>
        <v>-5436.720000000001</v>
      </c>
      <c r="V186" s="12"/>
    </row>
    <row r="187" spans="1:22" ht="15.75">
      <c r="A187" s="383"/>
      <c r="B187" s="6" t="s">
        <v>162</v>
      </c>
      <c r="C187" s="53"/>
      <c r="D187" s="344"/>
      <c r="E187" s="46"/>
      <c r="F187" s="231"/>
      <c r="G187" s="39"/>
      <c r="H187" s="25">
        <f>+'Total Billings (L.2.1)'!D97</f>
        <v>8615.06</v>
      </c>
      <c r="I187" s="14">
        <f t="shared" si="38"/>
        <v>683883.0183119298</v>
      </c>
      <c r="J187" s="25"/>
      <c r="K187" s="14">
        <f t="shared" si="38"/>
        <v>-14564.708311929786</v>
      </c>
      <c r="L187" s="307"/>
      <c r="M187" s="308">
        <f t="shared" si="38"/>
        <v>5436.720000000001</v>
      </c>
      <c r="N187" s="39"/>
      <c r="O187" s="13">
        <f t="shared" si="30"/>
        <v>-8615.06</v>
      </c>
      <c r="P187" s="14">
        <f t="shared" si="25"/>
        <v>-683883.0183119298</v>
      </c>
      <c r="Q187" s="13">
        <f t="shared" si="31"/>
        <v>0</v>
      </c>
      <c r="R187" s="14">
        <f t="shared" si="26"/>
        <v>14564.708311929786</v>
      </c>
      <c r="S187" s="14">
        <f t="shared" si="32"/>
        <v>-669318.3099999999</v>
      </c>
      <c r="T187" s="13">
        <f t="shared" si="27"/>
        <v>0</v>
      </c>
      <c r="U187" s="14">
        <f t="shared" si="28"/>
        <v>-5436.720000000001</v>
      </c>
      <c r="V187" s="12"/>
    </row>
    <row r="188" spans="1:22" ht="15.75">
      <c r="A188" s="386"/>
      <c r="B188" s="316" t="s">
        <v>94</v>
      </c>
      <c r="C188" s="318"/>
      <c r="D188" s="347"/>
      <c r="E188" s="317"/>
      <c r="F188" s="321"/>
      <c r="G188" s="39"/>
      <c r="H188" s="337"/>
      <c r="I188" s="320">
        <f t="shared" si="38"/>
        <v>683883.0183119298</v>
      </c>
      <c r="J188" s="337">
        <f>-H187</f>
        <v>-8615.06</v>
      </c>
      <c r="K188" s="320">
        <f t="shared" si="38"/>
        <v>-23179.768311929787</v>
      </c>
      <c r="L188" s="331"/>
      <c r="M188" s="332">
        <f t="shared" si="38"/>
        <v>5436.720000000001</v>
      </c>
      <c r="N188" s="39"/>
      <c r="O188" s="319">
        <f t="shared" si="30"/>
        <v>0</v>
      </c>
      <c r="P188" s="320">
        <f t="shared" si="25"/>
        <v>-683883.0183119298</v>
      </c>
      <c r="Q188" s="319">
        <f t="shared" si="31"/>
        <v>8615.06</v>
      </c>
      <c r="R188" s="320">
        <f t="shared" si="26"/>
        <v>23179.768311929787</v>
      </c>
      <c r="S188" s="320">
        <f t="shared" si="32"/>
        <v>-660703.25</v>
      </c>
      <c r="T188" s="319">
        <f t="shared" si="27"/>
        <v>0</v>
      </c>
      <c r="U188" s="320">
        <f t="shared" si="28"/>
        <v>-5436.720000000001</v>
      </c>
      <c r="V188" s="12"/>
    </row>
    <row r="189" spans="1:22" ht="15.75">
      <c r="A189" s="383">
        <v>38837</v>
      </c>
      <c r="B189" s="6" t="s">
        <v>51</v>
      </c>
      <c r="C189" s="53"/>
      <c r="D189" s="344"/>
      <c r="E189" s="46"/>
      <c r="F189" s="231"/>
      <c r="G189" s="39"/>
      <c r="H189" s="25"/>
      <c r="I189" s="14">
        <f t="shared" si="38"/>
        <v>683883.0183119298</v>
      </c>
      <c r="J189" s="25">
        <f>+$M$300</f>
        <v>7886.833333333333</v>
      </c>
      <c r="K189" s="14">
        <f t="shared" si="38"/>
        <v>-15292.934978596455</v>
      </c>
      <c r="L189" s="13">
        <f>+ROUND(K188*$F$304*(A189-A186)/365,2)</f>
        <v>-138.13</v>
      </c>
      <c r="M189" s="308">
        <f t="shared" si="38"/>
        <v>5298.590000000001</v>
      </c>
      <c r="N189" s="39"/>
      <c r="O189" s="13">
        <f t="shared" si="30"/>
        <v>0</v>
      </c>
      <c r="P189" s="14">
        <f t="shared" si="25"/>
        <v>-683883.0183119298</v>
      </c>
      <c r="Q189" s="13">
        <f t="shared" si="31"/>
        <v>-7886.833333333333</v>
      </c>
      <c r="R189" s="14">
        <f t="shared" si="26"/>
        <v>15292.934978596455</v>
      </c>
      <c r="S189" s="14">
        <f t="shared" si="32"/>
        <v>-668590.0833333334</v>
      </c>
      <c r="T189" s="13">
        <f t="shared" si="27"/>
        <v>138.13</v>
      </c>
      <c r="U189" s="14">
        <f t="shared" si="28"/>
        <v>-5298.590000000001</v>
      </c>
      <c r="V189" s="12"/>
    </row>
    <row r="190" spans="1:22" ht="15.75">
      <c r="A190" s="383"/>
      <c r="B190" s="6" t="s">
        <v>163</v>
      </c>
      <c r="C190" s="53"/>
      <c r="D190" s="344"/>
      <c r="E190" s="46"/>
      <c r="F190" s="231"/>
      <c r="G190" s="39"/>
      <c r="H190" s="25">
        <f>+'Total Billings (L.2.1)'!D98</f>
        <v>6703.519999999999</v>
      </c>
      <c r="I190" s="14">
        <f t="shared" si="38"/>
        <v>690586.5383119298</v>
      </c>
      <c r="J190" s="25"/>
      <c r="K190" s="14">
        <f t="shared" si="38"/>
        <v>-15292.934978596455</v>
      </c>
      <c r="L190" s="307"/>
      <c r="M190" s="308">
        <f t="shared" si="38"/>
        <v>5298.590000000001</v>
      </c>
      <c r="N190" s="39"/>
      <c r="O190" s="13">
        <f t="shared" si="30"/>
        <v>-6703.519999999999</v>
      </c>
      <c r="P190" s="14">
        <f t="shared" si="25"/>
        <v>-690586.5383119298</v>
      </c>
      <c r="Q190" s="13">
        <f t="shared" si="31"/>
        <v>0</v>
      </c>
      <c r="R190" s="14">
        <f t="shared" si="26"/>
        <v>15292.934978596455</v>
      </c>
      <c r="S190" s="14">
        <f t="shared" si="32"/>
        <v>-675293.6033333334</v>
      </c>
      <c r="T190" s="13">
        <f t="shared" si="27"/>
        <v>0</v>
      </c>
      <c r="U190" s="14">
        <f t="shared" si="28"/>
        <v>-5298.590000000001</v>
      </c>
      <c r="V190" s="12"/>
    </row>
    <row r="191" spans="1:22" ht="15.75">
      <c r="A191" s="383"/>
      <c r="B191" s="6" t="s">
        <v>94</v>
      </c>
      <c r="C191" s="53"/>
      <c r="D191" s="344"/>
      <c r="E191" s="46"/>
      <c r="F191" s="231"/>
      <c r="G191" s="39"/>
      <c r="H191" s="25"/>
      <c r="I191" s="14">
        <f t="shared" si="38"/>
        <v>690586.5383119298</v>
      </c>
      <c r="J191" s="25">
        <f>-H190</f>
        <v>-6703.519999999999</v>
      </c>
      <c r="K191" s="14">
        <f t="shared" si="38"/>
        <v>-21996.454978596455</v>
      </c>
      <c r="L191" s="4"/>
      <c r="M191" s="308">
        <f t="shared" si="38"/>
        <v>5298.590000000001</v>
      </c>
      <c r="N191" s="39"/>
      <c r="O191" s="13">
        <f t="shared" si="30"/>
        <v>0</v>
      </c>
      <c r="P191" s="14">
        <f t="shared" si="25"/>
        <v>-690586.5383119298</v>
      </c>
      <c r="Q191" s="13">
        <f t="shared" si="31"/>
        <v>6703.519999999999</v>
      </c>
      <c r="R191" s="14">
        <f t="shared" si="26"/>
        <v>21996.454978596455</v>
      </c>
      <c r="S191" s="14">
        <f t="shared" si="32"/>
        <v>-668590.0833333334</v>
      </c>
      <c r="T191" s="13">
        <f t="shared" si="27"/>
        <v>0</v>
      </c>
      <c r="U191" s="14">
        <f t="shared" si="28"/>
        <v>-5298.590000000001</v>
      </c>
      <c r="V191" s="12"/>
    </row>
    <row r="192" spans="1:22" s="17" customFormat="1" ht="15.75">
      <c r="A192" s="383"/>
      <c r="B192" s="6" t="s">
        <v>152</v>
      </c>
      <c r="C192" s="53"/>
      <c r="D192" s="344"/>
      <c r="E192" s="46"/>
      <c r="F192" s="231"/>
      <c r="G192" s="39"/>
      <c r="H192" s="25">
        <f>+'Total Billings (L.2.1)'!D99</f>
        <v>-8980.449999999999</v>
      </c>
      <c r="I192" s="14">
        <f t="shared" si="38"/>
        <v>681606.0883119298</v>
      </c>
      <c r="J192" s="25"/>
      <c r="K192" s="14">
        <f t="shared" si="38"/>
        <v>-21996.454978596455</v>
      </c>
      <c r="L192" s="310"/>
      <c r="M192" s="308">
        <f t="shared" si="38"/>
        <v>5298.590000000001</v>
      </c>
      <c r="N192" s="39"/>
      <c r="O192" s="13">
        <f t="shared" si="30"/>
        <v>8980.449999999999</v>
      </c>
      <c r="P192" s="14">
        <f t="shared" si="25"/>
        <v>-681606.0883119298</v>
      </c>
      <c r="Q192" s="13">
        <f t="shared" si="31"/>
        <v>0</v>
      </c>
      <c r="R192" s="14">
        <f t="shared" si="26"/>
        <v>21996.454978596455</v>
      </c>
      <c r="S192" s="14">
        <f t="shared" si="32"/>
        <v>-659609.6333333334</v>
      </c>
      <c r="T192" s="13">
        <f t="shared" si="27"/>
        <v>0</v>
      </c>
      <c r="U192" s="14">
        <f t="shared" si="28"/>
        <v>-5298.590000000001</v>
      </c>
      <c r="V192" s="26"/>
    </row>
    <row r="193" spans="1:22" ht="15.75">
      <c r="A193" s="383"/>
      <c r="B193" s="6" t="s">
        <v>95</v>
      </c>
      <c r="C193" s="53"/>
      <c r="D193" s="344"/>
      <c r="E193" s="46"/>
      <c r="F193" s="231"/>
      <c r="G193" s="39"/>
      <c r="H193" s="25"/>
      <c r="I193" s="14">
        <f t="shared" si="38"/>
        <v>681606.0883119298</v>
      </c>
      <c r="J193" s="25">
        <f>-H192</f>
        <v>8980.449999999999</v>
      </c>
      <c r="K193" s="14">
        <f t="shared" si="38"/>
        <v>-13016.004978596457</v>
      </c>
      <c r="L193" s="307"/>
      <c r="M193" s="308">
        <f t="shared" si="38"/>
        <v>5298.590000000001</v>
      </c>
      <c r="N193" s="39"/>
      <c r="O193" s="13">
        <f t="shared" si="30"/>
        <v>0</v>
      </c>
      <c r="P193" s="14">
        <f t="shared" si="25"/>
        <v>-681606.0883119298</v>
      </c>
      <c r="Q193" s="13">
        <f t="shared" si="31"/>
        <v>-8980.449999999999</v>
      </c>
      <c r="R193" s="14">
        <f t="shared" si="26"/>
        <v>13016.004978596457</v>
      </c>
      <c r="S193" s="14">
        <f t="shared" si="32"/>
        <v>-668590.0833333334</v>
      </c>
      <c r="T193" s="13">
        <f t="shared" si="27"/>
        <v>0</v>
      </c>
      <c r="U193" s="14">
        <f t="shared" si="28"/>
        <v>-5298.590000000001</v>
      </c>
      <c r="V193" s="12"/>
    </row>
    <row r="194" spans="1:22" s="17" customFormat="1" ht="15.75">
      <c r="A194" s="383"/>
      <c r="B194" s="6" t="s">
        <v>150</v>
      </c>
      <c r="C194" s="53"/>
      <c r="D194" s="344"/>
      <c r="E194" s="46"/>
      <c r="F194" s="231"/>
      <c r="G194" s="39"/>
      <c r="H194" s="25">
        <f>+'Total Billings (L.2.1)'!D113</f>
        <v>7049.0599999999995</v>
      </c>
      <c r="I194" s="14">
        <f t="shared" si="38"/>
        <v>688655.1483119299</v>
      </c>
      <c r="J194" s="25"/>
      <c r="K194" s="14">
        <f t="shared" si="38"/>
        <v>-13016.004978596457</v>
      </c>
      <c r="L194" s="310"/>
      <c r="M194" s="308">
        <f t="shared" si="38"/>
        <v>5298.590000000001</v>
      </c>
      <c r="N194" s="39"/>
      <c r="O194" s="13">
        <f t="shared" si="30"/>
        <v>-7049.0599999999995</v>
      </c>
      <c r="P194" s="14">
        <f t="shared" si="25"/>
        <v>-688655.1483119299</v>
      </c>
      <c r="Q194" s="13">
        <f t="shared" si="31"/>
        <v>0</v>
      </c>
      <c r="R194" s="14">
        <f t="shared" si="26"/>
        <v>13016.004978596457</v>
      </c>
      <c r="S194" s="14">
        <f t="shared" si="32"/>
        <v>-675639.1433333334</v>
      </c>
      <c r="T194" s="13">
        <f t="shared" si="27"/>
        <v>0</v>
      </c>
      <c r="U194" s="14">
        <f t="shared" si="28"/>
        <v>-5298.590000000001</v>
      </c>
      <c r="V194" s="26"/>
    </row>
    <row r="195" spans="1:22" ht="15.75">
      <c r="A195" s="383"/>
      <c r="B195" s="6" t="s">
        <v>96</v>
      </c>
      <c r="C195" s="53"/>
      <c r="D195" s="344"/>
      <c r="E195" s="46"/>
      <c r="F195" s="231"/>
      <c r="G195" s="39"/>
      <c r="H195" s="25"/>
      <c r="I195" s="14">
        <f t="shared" si="38"/>
        <v>688655.1483119299</v>
      </c>
      <c r="J195" s="25">
        <f>-H194</f>
        <v>-7049.0599999999995</v>
      </c>
      <c r="K195" s="14">
        <f t="shared" si="38"/>
        <v>-20065.064978596456</v>
      </c>
      <c r="L195" s="307"/>
      <c r="M195" s="308">
        <f t="shared" si="38"/>
        <v>5298.590000000001</v>
      </c>
      <c r="N195" s="39"/>
      <c r="O195" s="13">
        <f t="shared" si="30"/>
        <v>0</v>
      </c>
      <c r="P195" s="14">
        <f t="shared" si="25"/>
        <v>-688655.1483119299</v>
      </c>
      <c r="Q195" s="13">
        <f t="shared" si="31"/>
        <v>7049.0599999999995</v>
      </c>
      <c r="R195" s="14">
        <f t="shared" si="26"/>
        <v>20065.064978596456</v>
      </c>
      <c r="S195" s="14">
        <f t="shared" si="32"/>
        <v>-668590.0833333335</v>
      </c>
      <c r="T195" s="13">
        <f t="shared" si="27"/>
        <v>0</v>
      </c>
      <c r="U195" s="14">
        <f t="shared" si="28"/>
        <v>-5298.590000000001</v>
      </c>
      <c r="V195" s="12"/>
    </row>
    <row r="196" spans="1:22" ht="15.75">
      <c r="A196" s="410"/>
      <c r="B196" s="368" t="s">
        <v>181</v>
      </c>
      <c r="C196" s="369">
        <f>+J180+J183+J186+J189</f>
        <v>31547.333333333332</v>
      </c>
      <c r="D196" s="370">
        <f>+J196</f>
        <v>40718</v>
      </c>
      <c r="E196" s="371">
        <f>-(+I196-I178)</f>
        <v>-30789.510000000242</v>
      </c>
      <c r="F196" s="372">
        <f>+M196-M178</f>
        <v>-524.3500000000004</v>
      </c>
      <c r="G196" s="373"/>
      <c r="H196" s="374"/>
      <c r="I196" s="375">
        <f t="shared" si="38"/>
        <v>688655.1483119299</v>
      </c>
      <c r="J196" s="374">
        <v>40718</v>
      </c>
      <c r="K196" s="375">
        <f t="shared" si="38"/>
        <v>20652.935021403544</v>
      </c>
      <c r="L196" s="376"/>
      <c r="M196" s="377">
        <f t="shared" si="38"/>
        <v>5298.590000000001</v>
      </c>
      <c r="N196" s="373"/>
      <c r="O196" s="378">
        <f t="shared" si="30"/>
        <v>0</v>
      </c>
      <c r="P196" s="379">
        <f t="shared" si="25"/>
        <v>-688655.1483119299</v>
      </c>
      <c r="Q196" s="378">
        <f t="shared" si="31"/>
        <v>-40718</v>
      </c>
      <c r="R196" s="379">
        <f t="shared" si="26"/>
        <v>-20652.935021403544</v>
      </c>
      <c r="S196" s="379">
        <f t="shared" si="32"/>
        <v>-709308.0833333335</v>
      </c>
      <c r="T196" s="378">
        <f t="shared" si="27"/>
        <v>0</v>
      </c>
      <c r="U196" s="379">
        <f t="shared" si="28"/>
        <v>-5298.590000000001</v>
      </c>
      <c r="V196" s="12"/>
    </row>
    <row r="197" spans="1:22" ht="15.75">
      <c r="A197" s="383">
        <v>38868</v>
      </c>
      <c r="B197" s="6" t="s">
        <v>92</v>
      </c>
      <c r="C197" s="53"/>
      <c r="D197" s="344"/>
      <c r="E197" s="46"/>
      <c r="F197" s="231"/>
      <c r="G197" s="39"/>
      <c r="H197" s="25"/>
      <c r="I197" s="14">
        <f t="shared" si="38"/>
        <v>688655.1483119299</v>
      </c>
      <c r="J197" s="25"/>
      <c r="K197" s="14">
        <f t="shared" si="38"/>
        <v>20652.935021403544</v>
      </c>
      <c r="L197" s="13">
        <f>+ROUND(K196*$F$305*(A197-A189)/365,2)</f>
        <v>72.62</v>
      </c>
      <c r="M197" s="308">
        <f t="shared" si="38"/>
        <v>5371.210000000001</v>
      </c>
      <c r="N197" s="39"/>
      <c r="O197" s="13">
        <f t="shared" si="30"/>
        <v>0</v>
      </c>
      <c r="P197" s="14">
        <f t="shared" si="25"/>
        <v>-688655.1483119299</v>
      </c>
      <c r="Q197" s="13">
        <f t="shared" si="31"/>
        <v>0</v>
      </c>
      <c r="R197" s="14">
        <f t="shared" si="26"/>
        <v>-20652.935021403544</v>
      </c>
      <c r="S197" s="14">
        <f t="shared" si="32"/>
        <v>-709308.0833333335</v>
      </c>
      <c r="T197" s="13">
        <f t="shared" si="27"/>
        <v>-72.62</v>
      </c>
      <c r="U197" s="14">
        <f t="shared" si="28"/>
        <v>-5371.210000000001</v>
      </c>
      <c r="V197" s="12"/>
    </row>
    <row r="198" spans="1:22" ht="15.75">
      <c r="A198" s="383"/>
      <c r="B198" s="6" t="s">
        <v>93</v>
      </c>
      <c r="C198" s="53"/>
      <c r="D198" s="344"/>
      <c r="E198" s="46"/>
      <c r="F198" s="231"/>
      <c r="G198" s="39"/>
      <c r="H198" s="25"/>
      <c r="I198" s="14">
        <f t="shared" si="38"/>
        <v>688655.1483119299</v>
      </c>
      <c r="J198" s="25"/>
      <c r="K198" s="14">
        <f t="shared" si="38"/>
        <v>20652.935021403544</v>
      </c>
      <c r="L198" s="307"/>
      <c r="M198" s="308">
        <f t="shared" si="38"/>
        <v>5371.210000000001</v>
      </c>
      <c r="N198" s="39"/>
      <c r="O198" s="13">
        <f t="shared" si="30"/>
        <v>0</v>
      </c>
      <c r="P198" s="14">
        <f t="shared" si="25"/>
        <v>-688655.1483119299</v>
      </c>
      <c r="Q198" s="13">
        <f t="shared" si="31"/>
        <v>0</v>
      </c>
      <c r="R198" s="14">
        <f t="shared" si="26"/>
        <v>-20652.935021403544</v>
      </c>
      <c r="S198" s="14">
        <f t="shared" si="32"/>
        <v>-709308.0833333335</v>
      </c>
      <c r="T198" s="13">
        <f t="shared" si="27"/>
        <v>0</v>
      </c>
      <c r="U198" s="14">
        <f t="shared" si="28"/>
        <v>-5371.210000000001</v>
      </c>
      <c r="V198" s="12"/>
    </row>
    <row r="199" spans="1:22" ht="15.75">
      <c r="A199" s="383"/>
      <c r="B199" s="6" t="s">
        <v>94</v>
      </c>
      <c r="C199" s="53"/>
      <c r="D199" s="344"/>
      <c r="E199" s="46"/>
      <c r="F199" s="231"/>
      <c r="G199" s="39"/>
      <c r="H199" s="25"/>
      <c r="I199" s="14">
        <f t="shared" si="38"/>
        <v>688655.1483119299</v>
      </c>
      <c r="J199" s="25">
        <f>-H198</f>
        <v>0</v>
      </c>
      <c r="K199" s="14">
        <f t="shared" si="38"/>
        <v>20652.935021403544</v>
      </c>
      <c r="M199" s="308">
        <f t="shared" si="38"/>
        <v>5371.210000000001</v>
      </c>
      <c r="N199" s="39"/>
      <c r="O199" s="13">
        <f t="shared" si="30"/>
        <v>0</v>
      </c>
      <c r="P199" s="14">
        <f t="shared" si="25"/>
        <v>-688655.1483119299</v>
      </c>
      <c r="Q199" s="13">
        <f t="shared" si="31"/>
        <v>0</v>
      </c>
      <c r="R199" s="14">
        <f t="shared" si="26"/>
        <v>-20652.935021403544</v>
      </c>
      <c r="S199" s="14">
        <f t="shared" si="32"/>
        <v>-709308.0833333335</v>
      </c>
      <c r="T199" s="13">
        <f t="shared" si="27"/>
        <v>0</v>
      </c>
      <c r="U199" s="14">
        <f t="shared" si="28"/>
        <v>-5371.210000000001</v>
      </c>
      <c r="V199" s="12"/>
    </row>
    <row r="200" spans="1:22" ht="15.75">
      <c r="A200" s="383">
        <v>38898</v>
      </c>
      <c r="B200" s="6" t="s">
        <v>92</v>
      </c>
      <c r="C200" s="53"/>
      <c r="D200" s="344"/>
      <c r="E200" s="46"/>
      <c r="F200" s="231"/>
      <c r="G200" s="39"/>
      <c r="H200" s="25"/>
      <c r="I200" s="14">
        <f t="shared" si="38"/>
        <v>688655.1483119299</v>
      </c>
      <c r="J200" s="25"/>
      <c r="K200" s="14">
        <f t="shared" si="38"/>
        <v>20652.935021403544</v>
      </c>
      <c r="L200" s="13">
        <f>+ROUND(K199*$F$305*(A200-A197)/365,2)</f>
        <v>70.28</v>
      </c>
      <c r="M200" s="308">
        <f t="shared" si="38"/>
        <v>5441.490000000001</v>
      </c>
      <c r="N200" s="39"/>
      <c r="O200" s="13">
        <f t="shared" si="30"/>
        <v>0</v>
      </c>
      <c r="P200" s="14">
        <f t="shared" si="25"/>
        <v>-688655.1483119299</v>
      </c>
      <c r="Q200" s="13">
        <f t="shared" si="31"/>
        <v>0</v>
      </c>
      <c r="R200" s="14">
        <f t="shared" si="26"/>
        <v>-20652.935021403544</v>
      </c>
      <c r="S200" s="14">
        <f t="shared" si="32"/>
        <v>-709308.0833333335</v>
      </c>
      <c r="T200" s="13">
        <f t="shared" si="27"/>
        <v>-70.28</v>
      </c>
      <c r="U200" s="14">
        <f t="shared" si="28"/>
        <v>-5441.490000000001</v>
      </c>
      <c r="V200" s="12"/>
    </row>
    <row r="201" spans="1:22" ht="15.75">
      <c r="A201" s="383"/>
      <c r="B201" s="6" t="s">
        <v>93</v>
      </c>
      <c r="C201" s="53"/>
      <c r="D201" s="344"/>
      <c r="E201" s="46"/>
      <c r="F201" s="231"/>
      <c r="G201" s="39"/>
      <c r="H201" s="25"/>
      <c r="I201" s="14">
        <f>+I200+H201</f>
        <v>688655.1483119299</v>
      </c>
      <c r="J201" s="25"/>
      <c r="K201" s="14">
        <f>+K200+J201</f>
        <v>20652.935021403544</v>
      </c>
      <c r="L201" s="307"/>
      <c r="M201" s="308">
        <f t="shared" si="38"/>
        <v>5441.490000000001</v>
      </c>
      <c r="N201" s="39"/>
      <c r="O201" s="13">
        <f t="shared" si="30"/>
        <v>0</v>
      </c>
      <c r="P201" s="14">
        <f>+P200+O201</f>
        <v>-688655.1483119299</v>
      </c>
      <c r="Q201" s="13">
        <f t="shared" si="31"/>
        <v>0</v>
      </c>
      <c r="R201" s="14">
        <f>+R200+Q201</f>
        <v>-20652.935021403544</v>
      </c>
      <c r="S201" s="14">
        <f t="shared" si="32"/>
        <v>-709308.0833333335</v>
      </c>
      <c r="T201" s="13">
        <f aca="true" t="shared" si="39" ref="T201:T264">-L201</f>
        <v>0</v>
      </c>
      <c r="U201" s="14">
        <f aca="true" t="shared" si="40" ref="U201:U264">+U200+T201</f>
        <v>-5441.490000000001</v>
      </c>
      <c r="V201" s="12"/>
    </row>
    <row r="202" spans="1:22" ht="15.75">
      <c r="A202" s="386"/>
      <c r="B202" s="316" t="s">
        <v>94</v>
      </c>
      <c r="C202" s="318"/>
      <c r="D202" s="347"/>
      <c r="E202" s="317"/>
      <c r="F202" s="321"/>
      <c r="G202" s="39"/>
      <c r="H202" s="337"/>
      <c r="I202" s="320">
        <f aca="true" t="shared" si="41" ref="I202:K203">+I201+H202</f>
        <v>688655.1483119299</v>
      </c>
      <c r="J202" s="337">
        <f>-H201</f>
        <v>0</v>
      </c>
      <c r="K202" s="320">
        <f t="shared" si="41"/>
        <v>20652.935021403544</v>
      </c>
      <c r="L202" s="333"/>
      <c r="M202" s="332">
        <f aca="true" t="shared" si="42" ref="M202:M265">+M201+L202</f>
        <v>5441.490000000001</v>
      </c>
      <c r="N202" s="39"/>
      <c r="O202" s="319">
        <f t="shared" si="30"/>
        <v>0</v>
      </c>
      <c r="P202" s="320">
        <f aca="true" t="shared" si="43" ref="P202:P265">+P201+O202</f>
        <v>-688655.1483119299</v>
      </c>
      <c r="Q202" s="319">
        <f t="shared" si="31"/>
        <v>0</v>
      </c>
      <c r="R202" s="320">
        <f aca="true" t="shared" si="44" ref="R202:R265">+R201+Q202</f>
        <v>-20652.935021403544</v>
      </c>
      <c r="S202" s="320">
        <f t="shared" si="32"/>
        <v>-709308.0833333335</v>
      </c>
      <c r="T202" s="319">
        <f t="shared" si="39"/>
        <v>0</v>
      </c>
      <c r="U202" s="320">
        <f t="shared" si="40"/>
        <v>-5441.490000000001</v>
      </c>
      <c r="V202" s="12"/>
    </row>
    <row r="203" spans="1:22" ht="15.75">
      <c r="A203" s="304">
        <v>38929</v>
      </c>
      <c r="B203" s="6" t="s">
        <v>92</v>
      </c>
      <c r="C203" s="53"/>
      <c r="D203" s="344"/>
      <c r="E203" s="46"/>
      <c r="F203" s="231"/>
      <c r="G203" s="39"/>
      <c r="H203" s="25"/>
      <c r="I203" s="14">
        <f t="shared" si="41"/>
        <v>688655.1483119299</v>
      </c>
      <c r="J203" s="25"/>
      <c r="K203" s="14">
        <f t="shared" si="41"/>
        <v>20652.935021403544</v>
      </c>
      <c r="L203" s="13">
        <f>+ROUND(K202*$F$306*(A203-A200)/365,2)</f>
        <v>80.51</v>
      </c>
      <c r="M203" s="308">
        <f t="shared" si="42"/>
        <v>5522.000000000001</v>
      </c>
      <c r="N203" s="39"/>
      <c r="O203" s="13">
        <f t="shared" si="30"/>
        <v>0</v>
      </c>
      <c r="P203" s="14">
        <f t="shared" si="43"/>
        <v>-688655.1483119299</v>
      </c>
      <c r="Q203" s="13">
        <f t="shared" si="31"/>
        <v>0</v>
      </c>
      <c r="R203" s="14">
        <f t="shared" si="44"/>
        <v>-20652.935021403544</v>
      </c>
      <c r="S203" s="14">
        <f t="shared" si="32"/>
        <v>-709308.0833333335</v>
      </c>
      <c r="T203" s="13">
        <f t="shared" si="39"/>
        <v>-80.51</v>
      </c>
      <c r="U203" s="14">
        <f t="shared" si="40"/>
        <v>-5522.000000000001</v>
      </c>
      <c r="V203" s="12"/>
    </row>
    <row r="204" spans="1:22" ht="15.75">
      <c r="A204" s="304">
        <v>38960</v>
      </c>
      <c r="B204" s="6" t="s">
        <v>92</v>
      </c>
      <c r="C204" s="53"/>
      <c r="D204" s="344"/>
      <c r="E204" s="46"/>
      <c r="F204" s="231"/>
      <c r="G204" s="39"/>
      <c r="H204" s="25"/>
      <c r="I204" s="14">
        <f>+I203+H204</f>
        <v>688655.1483119299</v>
      </c>
      <c r="J204" s="25"/>
      <c r="K204" s="14">
        <f>+K203+J204</f>
        <v>20652.935021403544</v>
      </c>
      <c r="L204" s="13">
        <f>+ROUND(K203*$F$306*(A204-A203)/365,2)</f>
        <v>80.51</v>
      </c>
      <c r="M204" s="308">
        <f t="shared" si="42"/>
        <v>5602.510000000001</v>
      </c>
      <c r="N204" s="39"/>
      <c r="O204" s="13">
        <f aca="true" t="shared" si="45" ref="O204:O267">-H204</f>
        <v>0</v>
      </c>
      <c r="P204" s="14">
        <f t="shared" si="43"/>
        <v>-688655.1483119299</v>
      </c>
      <c r="Q204" s="13">
        <f aca="true" t="shared" si="46" ref="Q204:Q267">-J204</f>
        <v>0</v>
      </c>
      <c r="R204" s="14">
        <f t="shared" si="44"/>
        <v>-20652.935021403544</v>
      </c>
      <c r="S204" s="14">
        <f t="shared" si="32"/>
        <v>-709308.0833333335</v>
      </c>
      <c r="T204" s="13">
        <f t="shared" si="39"/>
        <v>-80.51</v>
      </c>
      <c r="U204" s="14">
        <f t="shared" si="40"/>
        <v>-5602.510000000001</v>
      </c>
      <c r="V204" s="12"/>
    </row>
    <row r="205" spans="1:22" ht="15.75">
      <c r="A205" s="315">
        <v>38990</v>
      </c>
      <c r="B205" s="316" t="s">
        <v>92</v>
      </c>
      <c r="C205" s="318"/>
      <c r="D205" s="347"/>
      <c r="E205" s="317"/>
      <c r="F205" s="321"/>
      <c r="G205" s="39"/>
      <c r="H205" s="337"/>
      <c r="I205" s="320">
        <f aca="true" t="shared" si="47" ref="I205:I268">+I204+H205</f>
        <v>688655.1483119299</v>
      </c>
      <c r="J205" s="337"/>
      <c r="K205" s="320">
        <f aca="true" t="shared" si="48" ref="K205:K268">+K204+J205</f>
        <v>20652.935021403544</v>
      </c>
      <c r="L205" s="319">
        <f>+ROUND(K204*$F$306*(A205-A204)/365,2)</f>
        <v>77.92</v>
      </c>
      <c r="M205" s="332">
        <f t="shared" si="42"/>
        <v>5680.430000000001</v>
      </c>
      <c r="N205" s="39"/>
      <c r="O205" s="319">
        <f t="shared" si="45"/>
        <v>0</v>
      </c>
      <c r="P205" s="320">
        <f t="shared" si="43"/>
        <v>-688655.1483119299</v>
      </c>
      <c r="Q205" s="319">
        <f t="shared" si="46"/>
        <v>0</v>
      </c>
      <c r="R205" s="320">
        <f t="shared" si="44"/>
        <v>-20652.935021403544</v>
      </c>
      <c r="S205" s="320">
        <f aca="true" t="shared" si="49" ref="S205:S268">+R205+P205</f>
        <v>-709308.0833333335</v>
      </c>
      <c r="T205" s="319">
        <f t="shared" si="39"/>
        <v>-77.92</v>
      </c>
      <c r="U205" s="320">
        <f t="shared" si="40"/>
        <v>-5680.430000000001</v>
      </c>
      <c r="V205" s="12"/>
    </row>
    <row r="206" spans="1:22" ht="15.75">
      <c r="A206" s="304">
        <v>39021</v>
      </c>
      <c r="B206" s="6" t="s">
        <v>92</v>
      </c>
      <c r="C206" s="53"/>
      <c r="D206" s="344"/>
      <c r="E206" s="46"/>
      <c r="F206" s="233" t="s">
        <v>160</v>
      </c>
      <c r="G206" s="39"/>
      <c r="H206" s="25"/>
      <c r="I206" s="14">
        <f t="shared" si="47"/>
        <v>688655.1483119299</v>
      </c>
      <c r="J206" s="25"/>
      <c r="K206" s="14">
        <f t="shared" si="48"/>
        <v>20652.935021403544</v>
      </c>
      <c r="L206" s="13">
        <f>+ROUND(K205*$F$306*(A206-A205)/365,2)</f>
        <v>80.51</v>
      </c>
      <c r="M206" s="308">
        <f t="shared" si="42"/>
        <v>5760.940000000001</v>
      </c>
      <c r="N206" s="39"/>
      <c r="O206" s="13">
        <f t="shared" si="45"/>
        <v>0</v>
      </c>
      <c r="P206" s="14">
        <f t="shared" si="43"/>
        <v>-688655.1483119299</v>
      </c>
      <c r="Q206" s="13">
        <f t="shared" si="46"/>
        <v>0</v>
      </c>
      <c r="R206" s="14">
        <f t="shared" si="44"/>
        <v>-20652.935021403544</v>
      </c>
      <c r="S206" s="14">
        <f t="shared" si="49"/>
        <v>-709308.0833333335</v>
      </c>
      <c r="T206" s="13">
        <f t="shared" si="39"/>
        <v>-80.51</v>
      </c>
      <c r="U206" s="14">
        <f t="shared" si="40"/>
        <v>-5760.940000000001</v>
      </c>
      <c r="V206" s="12"/>
    </row>
    <row r="207" spans="1:22" ht="15.75">
      <c r="A207" s="304">
        <v>39051</v>
      </c>
      <c r="B207" s="6" t="s">
        <v>92</v>
      </c>
      <c r="C207" s="53"/>
      <c r="D207" s="344"/>
      <c r="E207" s="46"/>
      <c r="F207" s="232">
        <f>+M209-M196</f>
        <v>620.7800000000007</v>
      </c>
      <c r="G207" s="39"/>
      <c r="H207" s="13"/>
      <c r="I207" s="14">
        <f t="shared" si="47"/>
        <v>688655.1483119299</v>
      </c>
      <c r="J207" s="25"/>
      <c r="K207" s="14">
        <f t="shared" si="48"/>
        <v>20652.935021403544</v>
      </c>
      <c r="L207" s="13">
        <f>+ROUND(K206*$F$306*(A207-A206)/365,2)</f>
        <v>77.92</v>
      </c>
      <c r="M207" s="308">
        <f t="shared" si="42"/>
        <v>5838.8600000000015</v>
      </c>
      <c r="N207" s="39"/>
      <c r="O207" s="13">
        <f t="shared" si="45"/>
        <v>0</v>
      </c>
      <c r="P207" s="14">
        <f t="shared" si="43"/>
        <v>-688655.1483119299</v>
      </c>
      <c r="Q207" s="13">
        <f t="shared" si="46"/>
        <v>0</v>
      </c>
      <c r="R207" s="14">
        <f t="shared" si="44"/>
        <v>-20652.935021403544</v>
      </c>
      <c r="S207" s="14">
        <f t="shared" si="49"/>
        <v>-709308.0833333335</v>
      </c>
      <c r="T207" s="13">
        <f t="shared" si="39"/>
        <v>-77.92</v>
      </c>
      <c r="U207" s="14">
        <f t="shared" si="40"/>
        <v>-5838.8600000000015</v>
      </c>
      <c r="V207" s="12"/>
    </row>
    <row r="208" spans="1:22" ht="15.75">
      <c r="A208" s="304">
        <v>39082</v>
      </c>
      <c r="B208" s="6" t="s">
        <v>92</v>
      </c>
      <c r="C208" s="53"/>
      <c r="D208" s="344"/>
      <c r="E208" s="46"/>
      <c r="F208" s="234" t="s">
        <v>85</v>
      </c>
      <c r="G208" s="39"/>
      <c r="H208" s="13"/>
      <c r="I208" s="14">
        <f t="shared" si="47"/>
        <v>688655.1483119299</v>
      </c>
      <c r="J208" s="25"/>
      <c r="K208" s="14">
        <f t="shared" si="48"/>
        <v>20652.935021403544</v>
      </c>
      <c r="L208" s="13">
        <f>+ROUND(K207*$F$306*(A208-A207)/365,2)</f>
        <v>80.51</v>
      </c>
      <c r="M208" s="308">
        <f t="shared" si="42"/>
        <v>5919.370000000002</v>
      </c>
      <c r="N208" s="39"/>
      <c r="O208" s="13">
        <f t="shared" si="45"/>
        <v>0</v>
      </c>
      <c r="P208" s="14">
        <f t="shared" si="43"/>
        <v>-688655.1483119299</v>
      </c>
      <c r="Q208" s="13">
        <f t="shared" si="46"/>
        <v>0</v>
      </c>
      <c r="R208" s="14">
        <f t="shared" si="44"/>
        <v>-20652.935021403544</v>
      </c>
      <c r="S208" s="14">
        <f t="shared" si="49"/>
        <v>-709308.0833333335</v>
      </c>
      <c r="T208" s="13">
        <f t="shared" si="39"/>
        <v>-80.51</v>
      </c>
      <c r="U208" s="14">
        <f t="shared" si="40"/>
        <v>-5919.370000000002</v>
      </c>
      <c r="V208" s="12"/>
    </row>
    <row r="209" spans="1:22" ht="15.75">
      <c r="A209" s="322"/>
      <c r="B209" s="334"/>
      <c r="C209" s="339"/>
      <c r="D209" s="350"/>
      <c r="E209" s="338"/>
      <c r="F209" s="336">
        <f>+M209-M178</f>
        <v>96.43000000000029</v>
      </c>
      <c r="G209" s="39"/>
      <c r="H209" s="326"/>
      <c r="I209" s="327">
        <f t="shared" si="47"/>
        <v>688655.1483119299</v>
      </c>
      <c r="J209" s="326"/>
      <c r="K209" s="327">
        <f t="shared" si="48"/>
        <v>20652.935021403544</v>
      </c>
      <c r="L209" s="340"/>
      <c r="M209" s="341">
        <f t="shared" si="42"/>
        <v>5919.370000000002</v>
      </c>
      <c r="N209" s="39"/>
      <c r="O209" s="326">
        <f t="shared" si="45"/>
        <v>0</v>
      </c>
      <c r="P209" s="327">
        <f t="shared" si="43"/>
        <v>-688655.1483119299</v>
      </c>
      <c r="Q209" s="326">
        <f t="shared" si="46"/>
        <v>0</v>
      </c>
      <c r="R209" s="327">
        <f t="shared" si="44"/>
        <v>-20652.935021403544</v>
      </c>
      <c r="S209" s="327">
        <f t="shared" si="49"/>
        <v>-709308.0833333335</v>
      </c>
      <c r="T209" s="326">
        <f t="shared" si="39"/>
        <v>0</v>
      </c>
      <c r="U209" s="327">
        <f t="shared" si="40"/>
        <v>-5919.370000000002</v>
      </c>
      <c r="V209" s="12"/>
    </row>
    <row r="210" spans="1:22" ht="15.75">
      <c r="A210" s="305" t="s">
        <v>154</v>
      </c>
      <c r="B210" s="6"/>
      <c r="C210" s="53"/>
      <c r="D210" s="344"/>
      <c r="E210" s="46"/>
      <c r="F210" s="232"/>
      <c r="G210" s="39"/>
      <c r="H210" s="13"/>
      <c r="I210" s="14">
        <f t="shared" si="47"/>
        <v>688655.1483119299</v>
      </c>
      <c r="J210" s="25"/>
      <c r="K210" s="14">
        <f t="shared" si="48"/>
        <v>20652.935021403544</v>
      </c>
      <c r="M210" s="308">
        <f t="shared" si="42"/>
        <v>5919.370000000002</v>
      </c>
      <c r="N210" s="39"/>
      <c r="O210" s="13">
        <f t="shared" si="45"/>
        <v>0</v>
      </c>
      <c r="P210" s="14">
        <f t="shared" si="43"/>
        <v>-688655.1483119299</v>
      </c>
      <c r="Q210" s="13">
        <f t="shared" si="46"/>
        <v>0</v>
      </c>
      <c r="R210" s="14">
        <f t="shared" si="44"/>
        <v>-20652.935021403544</v>
      </c>
      <c r="S210" s="14">
        <f t="shared" si="49"/>
        <v>-709308.0833333335</v>
      </c>
      <c r="T210" s="13">
        <f t="shared" si="39"/>
        <v>0</v>
      </c>
      <c r="U210" s="14">
        <f t="shared" si="40"/>
        <v>-5919.370000000002</v>
      </c>
      <c r="V210" s="12"/>
    </row>
    <row r="211" spans="1:22" ht="15.75">
      <c r="A211" s="304">
        <v>39113</v>
      </c>
      <c r="B211" s="6" t="s">
        <v>92</v>
      </c>
      <c r="C211" s="53"/>
      <c r="D211" s="344"/>
      <c r="E211" s="46"/>
      <c r="F211" s="234"/>
      <c r="G211" s="39"/>
      <c r="H211" s="13"/>
      <c r="I211" s="14">
        <f t="shared" si="47"/>
        <v>688655.1483119299</v>
      </c>
      <c r="J211" s="25"/>
      <c r="K211" s="14">
        <f t="shared" si="48"/>
        <v>20652.935021403544</v>
      </c>
      <c r="L211" s="13">
        <f>+ROUND(K210*$F$306*(A211-A208)/365,2)</f>
        <v>80.51</v>
      </c>
      <c r="M211" s="308">
        <f t="shared" si="42"/>
        <v>5999.880000000002</v>
      </c>
      <c r="N211" s="39"/>
      <c r="O211" s="13">
        <f t="shared" si="45"/>
        <v>0</v>
      </c>
      <c r="P211" s="14">
        <f t="shared" si="43"/>
        <v>-688655.1483119299</v>
      </c>
      <c r="Q211" s="13">
        <f t="shared" si="46"/>
        <v>0</v>
      </c>
      <c r="R211" s="14">
        <f t="shared" si="44"/>
        <v>-20652.935021403544</v>
      </c>
      <c r="S211" s="14">
        <f t="shared" si="49"/>
        <v>-709308.0833333335</v>
      </c>
      <c r="T211" s="13">
        <f t="shared" si="39"/>
        <v>-80.51</v>
      </c>
      <c r="U211" s="14">
        <f t="shared" si="40"/>
        <v>-5999.880000000002</v>
      </c>
      <c r="V211" s="12"/>
    </row>
    <row r="212" spans="1:22" ht="15.75">
      <c r="A212" s="304">
        <v>39141</v>
      </c>
      <c r="B212" s="6" t="s">
        <v>92</v>
      </c>
      <c r="C212" s="53"/>
      <c r="D212" s="344"/>
      <c r="E212" s="46"/>
      <c r="F212" s="231"/>
      <c r="G212" s="39"/>
      <c r="H212" s="13"/>
      <c r="I212" s="14">
        <f t="shared" si="47"/>
        <v>688655.1483119299</v>
      </c>
      <c r="J212" s="25"/>
      <c r="K212" s="14">
        <f t="shared" si="48"/>
        <v>20652.935021403544</v>
      </c>
      <c r="L212" s="13">
        <f aca="true" t="shared" si="50" ref="L212:L219">+ROUND(K211*$F$306*(A212-A211)/365,2)</f>
        <v>72.72</v>
      </c>
      <c r="M212" s="308">
        <f t="shared" si="42"/>
        <v>6072.600000000002</v>
      </c>
      <c r="N212" s="39"/>
      <c r="O212" s="13">
        <f t="shared" si="45"/>
        <v>0</v>
      </c>
      <c r="P212" s="14">
        <f t="shared" si="43"/>
        <v>-688655.1483119299</v>
      </c>
      <c r="Q212" s="13">
        <f t="shared" si="46"/>
        <v>0</v>
      </c>
      <c r="R212" s="14">
        <f t="shared" si="44"/>
        <v>-20652.935021403544</v>
      </c>
      <c r="S212" s="14">
        <f t="shared" si="49"/>
        <v>-709308.0833333335</v>
      </c>
      <c r="T212" s="13">
        <f t="shared" si="39"/>
        <v>-72.72</v>
      </c>
      <c r="U212" s="14">
        <f t="shared" si="40"/>
        <v>-6072.600000000002</v>
      </c>
      <c r="V212" s="12"/>
    </row>
    <row r="213" spans="1:22" ht="15.75">
      <c r="A213" s="315">
        <v>39172</v>
      </c>
      <c r="B213" s="316" t="s">
        <v>92</v>
      </c>
      <c r="C213" s="318"/>
      <c r="D213" s="347"/>
      <c r="E213" s="317"/>
      <c r="F213" s="321"/>
      <c r="G213" s="39"/>
      <c r="H213" s="319"/>
      <c r="I213" s="320">
        <f t="shared" si="47"/>
        <v>688655.1483119299</v>
      </c>
      <c r="J213" s="337"/>
      <c r="K213" s="320">
        <f t="shared" si="48"/>
        <v>20652.935021403544</v>
      </c>
      <c r="L213" s="319">
        <f t="shared" si="50"/>
        <v>80.51</v>
      </c>
      <c r="M213" s="332">
        <f t="shared" si="42"/>
        <v>6153.110000000002</v>
      </c>
      <c r="N213" s="39"/>
      <c r="O213" s="319">
        <f t="shared" si="45"/>
        <v>0</v>
      </c>
      <c r="P213" s="320">
        <f t="shared" si="43"/>
        <v>-688655.1483119299</v>
      </c>
      <c r="Q213" s="319">
        <f t="shared" si="46"/>
        <v>0</v>
      </c>
      <c r="R213" s="320">
        <f t="shared" si="44"/>
        <v>-20652.935021403544</v>
      </c>
      <c r="S213" s="320">
        <f t="shared" si="49"/>
        <v>-709308.0833333335</v>
      </c>
      <c r="T213" s="319">
        <f t="shared" si="39"/>
        <v>-80.51</v>
      </c>
      <c r="U213" s="320">
        <f t="shared" si="40"/>
        <v>-6153.110000000002</v>
      </c>
      <c r="V213" s="12"/>
    </row>
    <row r="214" spans="1:22" ht="15.75">
      <c r="A214" s="304">
        <v>39202</v>
      </c>
      <c r="B214" s="6" t="s">
        <v>92</v>
      </c>
      <c r="C214" s="53"/>
      <c r="D214" s="344"/>
      <c r="E214" s="46"/>
      <c r="F214" s="231"/>
      <c r="G214" s="39"/>
      <c r="H214" s="13"/>
      <c r="I214" s="14">
        <f t="shared" si="47"/>
        <v>688655.1483119299</v>
      </c>
      <c r="J214" s="25"/>
      <c r="K214" s="14">
        <f t="shared" si="48"/>
        <v>20652.935021403544</v>
      </c>
      <c r="L214" s="13">
        <f t="shared" si="50"/>
        <v>77.92</v>
      </c>
      <c r="M214" s="308">
        <f t="shared" si="42"/>
        <v>6231.0300000000025</v>
      </c>
      <c r="N214" s="39"/>
      <c r="O214" s="13">
        <f t="shared" si="45"/>
        <v>0</v>
      </c>
      <c r="P214" s="14">
        <f t="shared" si="43"/>
        <v>-688655.1483119299</v>
      </c>
      <c r="Q214" s="13">
        <f t="shared" si="46"/>
        <v>0</v>
      </c>
      <c r="R214" s="14">
        <f t="shared" si="44"/>
        <v>-20652.935021403544</v>
      </c>
      <c r="S214" s="14">
        <f t="shared" si="49"/>
        <v>-709308.0833333335</v>
      </c>
      <c r="T214" s="13">
        <f t="shared" si="39"/>
        <v>-77.92</v>
      </c>
      <c r="U214" s="14">
        <f t="shared" si="40"/>
        <v>-6231.0300000000025</v>
      </c>
      <c r="V214" s="12"/>
    </row>
    <row r="215" spans="1:22" ht="15.75">
      <c r="A215" s="304">
        <v>39233</v>
      </c>
      <c r="B215" s="6" t="s">
        <v>92</v>
      </c>
      <c r="C215" s="53"/>
      <c r="D215" s="344"/>
      <c r="E215" s="46"/>
      <c r="F215" s="231"/>
      <c r="G215" s="39"/>
      <c r="H215" s="13"/>
      <c r="I215" s="14">
        <f t="shared" si="47"/>
        <v>688655.1483119299</v>
      </c>
      <c r="J215" s="25"/>
      <c r="K215" s="14">
        <f t="shared" si="48"/>
        <v>20652.935021403544</v>
      </c>
      <c r="L215" s="13">
        <f t="shared" si="50"/>
        <v>80.51</v>
      </c>
      <c r="M215" s="308">
        <f t="shared" si="42"/>
        <v>6311.540000000003</v>
      </c>
      <c r="N215" s="39"/>
      <c r="O215" s="13">
        <f t="shared" si="45"/>
        <v>0</v>
      </c>
      <c r="P215" s="14">
        <f t="shared" si="43"/>
        <v>-688655.1483119299</v>
      </c>
      <c r="Q215" s="13">
        <f t="shared" si="46"/>
        <v>0</v>
      </c>
      <c r="R215" s="14">
        <f t="shared" si="44"/>
        <v>-20652.935021403544</v>
      </c>
      <c r="S215" s="14">
        <f t="shared" si="49"/>
        <v>-709308.0833333335</v>
      </c>
      <c r="T215" s="13">
        <f t="shared" si="39"/>
        <v>-80.51</v>
      </c>
      <c r="U215" s="14">
        <f t="shared" si="40"/>
        <v>-6311.540000000003</v>
      </c>
      <c r="V215" s="12"/>
    </row>
    <row r="216" spans="1:22" ht="15.75">
      <c r="A216" s="315">
        <v>39263</v>
      </c>
      <c r="B216" s="316" t="s">
        <v>92</v>
      </c>
      <c r="C216" s="318"/>
      <c r="D216" s="347"/>
      <c r="E216" s="317"/>
      <c r="F216" s="321"/>
      <c r="G216" s="39"/>
      <c r="H216" s="319"/>
      <c r="I216" s="320">
        <f t="shared" si="47"/>
        <v>688655.1483119299</v>
      </c>
      <c r="J216" s="337"/>
      <c r="K216" s="320">
        <f t="shared" si="48"/>
        <v>20652.935021403544</v>
      </c>
      <c r="L216" s="319">
        <f t="shared" si="50"/>
        <v>77.92</v>
      </c>
      <c r="M216" s="332">
        <f t="shared" si="42"/>
        <v>6389.460000000003</v>
      </c>
      <c r="N216" s="39"/>
      <c r="O216" s="319">
        <f t="shared" si="45"/>
        <v>0</v>
      </c>
      <c r="P216" s="320">
        <f t="shared" si="43"/>
        <v>-688655.1483119299</v>
      </c>
      <c r="Q216" s="319">
        <f t="shared" si="46"/>
        <v>0</v>
      </c>
      <c r="R216" s="320">
        <f t="shared" si="44"/>
        <v>-20652.935021403544</v>
      </c>
      <c r="S216" s="320">
        <f t="shared" si="49"/>
        <v>-709308.0833333335</v>
      </c>
      <c r="T216" s="319">
        <f t="shared" si="39"/>
        <v>-77.92</v>
      </c>
      <c r="U216" s="320">
        <f t="shared" si="40"/>
        <v>-6389.460000000003</v>
      </c>
      <c r="V216" s="12"/>
    </row>
    <row r="217" spans="1:22" ht="15.75">
      <c r="A217" s="304">
        <v>39294</v>
      </c>
      <c r="B217" s="6" t="s">
        <v>92</v>
      </c>
      <c r="C217" s="53"/>
      <c r="D217" s="344"/>
      <c r="E217" s="46"/>
      <c r="F217" s="231"/>
      <c r="G217" s="39"/>
      <c r="H217" s="13"/>
      <c r="I217" s="14">
        <f t="shared" si="47"/>
        <v>688655.1483119299</v>
      </c>
      <c r="J217" s="25"/>
      <c r="K217" s="14">
        <f t="shared" si="48"/>
        <v>20652.935021403544</v>
      </c>
      <c r="L217" s="13">
        <f t="shared" si="50"/>
        <v>80.51</v>
      </c>
      <c r="M217" s="308">
        <f t="shared" si="42"/>
        <v>6469.970000000003</v>
      </c>
      <c r="N217" s="39"/>
      <c r="O217" s="13">
        <f t="shared" si="45"/>
        <v>0</v>
      </c>
      <c r="P217" s="14">
        <f t="shared" si="43"/>
        <v>-688655.1483119299</v>
      </c>
      <c r="Q217" s="13">
        <f t="shared" si="46"/>
        <v>0</v>
      </c>
      <c r="R217" s="14">
        <f t="shared" si="44"/>
        <v>-20652.935021403544</v>
      </c>
      <c r="S217" s="14">
        <f t="shared" si="49"/>
        <v>-709308.0833333335</v>
      </c>
      <c r="T217" s="13">
        <f t="shared" si="39"/>
        <v>-80.51</v>
      </c>
      <c r="U217" s="14">
        <f t="shared" si="40"/>
        <v>-6469.970000000003</v>
      </c>
      <c r="V217" s="12"/>
    </row>
    <row r="218" spans="1:22" ht="15.75">
      <c r="A218" s="304">
        <v>39325</v>
      </c>
      <c r="B218" s="6" t="s">
        <v>92</v>
      </c>
      <c r="C218" s="53"/>
      <c r="D218" s="344"/>
      <c r="E218" s="46"/>
      <c r="F218" s="231"/>
      <c r="G218" s="39"/>
      <c r="H218" s="13"/>
      <c r="I218" s="14">
        <f t="shared" si="47"/>
        <v>688655.1483119299</v>
      </c>
      <c r="J218" s="25"/>
      <c r="K218" s="14">
        <f t="shared" si="48"/>
        <v>20652.935021403544</v>
      </c>
      <c r="L218" s="13">
        <f t="shared" si="50"/>
        <v>80.51</v>
      </c>
      <c r="M218" s="308">
        <f t="shared" si="42"/>
        <v>6550.480000000003</v>
      </c>
      <c r="N218" s="39"/>
      <c r="O218" s="13">
        <f t="shared" si="45"/>
        <v>0</v>
      </c>
      <c r="P218" s="14">
        <f t="shared" si="43"/>
        <v>-688655.1483119299</v>
      </c>
      <c r="Q218" s="13">
        <f t="shared" si="46"/>
        <v>0</v>
      </c>
      <c r="R218" s="14">
        <f t="shared" si="44"/>
        <v>-20652.935021403544</v>
      </c>
      <c r="S218" s="14">
        <f t="shared" si="49"/>
        <v>-709308.0833333335</v>
      </c>
      <c r="T218" s="13">
        <f t="shared" si="39"/>
        <v>-80.51</v>
      </c>
      <c r="U218" s="14">
        <f t="shared" si="40"/>
        <v>-6550.480000000003</v>
      </c>
      <c r="V218" s="12"/>
    </row>
    <row r="219" spans="1:22" ht="15.75">
      <c r="A219" s="315">
        <v>39355</v>
      </c>
      <c r="B219" s="316" t="s">
        <v>92</v>
      </c>
      <c r="C219" s="318"/>
      <c r="D219" s="347"/>
      <c r="E219" s="317"/>
      <c r="F219" s="321"/>
      <c r="G219" s="39"/>
      <c r="H219" s="319"/>
      <c r="I219" s="320">
        <f t="shared" si="47"/>
        <v>688655.1483119299</v>
      </c>
      <c r="J219" s="337"/>
      <c r="K219" s="320">
        <f t="shared" si="48"/>
        <v>20652.935021403544</v>
      </c>
      <c r="L219" s="319">
        <f t="shared" si="50"/>
        <v>77.92</v>
      </c>
      <c r="M219" s="332">
        <f t="shared" si="42"/>
        <v>6628.400000000003</v>
      </c>
      <c r="N219" s="39"/>
      <c r="O219" s="319">
        <f t="shared" si="45"/>
        <v>0</v>
      </c>
      <c r="P219" s="320">
        <f t="shared" si="43"/>
        <v>-688655.1483119299</v>
      </c>
      <c r="Q219" s="319">
        <f t="shared" si="46"/>
        <v>0</v>
      </c>
      <c r="R219" s="320">
        <f t="shared" si="44"/>
        <v>-20652.935021403544</v>
      </c>
      <c r="S219" s="320">
        <f t="shared" si="49"/>
        <v>-709308.0833333335</v>
      </c>
      <c r="T219" s="319">
        <f t="shared" si="39"/>
        <v>-77.92</v>
      </c>
      <c r="U219" s="320">
        <f t="shared" si="40"/>
        <v>-6628.400000000003</v>
      </c>
      <c r="V219" s="12"/>
    </row>
    <row r="220" spans="1:22" ht="15.75">
      <c r="A220" s="304">
        <v>39386</v>
      </c>
      <c r="B220" s="6" t="s">
        <v>92</v>
      </c>
      <c r="C220" s="53"/>
      <c r="D220" s="344"/>
      <c r="E220" s="46"/>
      <c r="F220" s="231"/>
      <c r="G220" s="39"/>
      <c r="H220" s="13"/>
      <c r="I220" s="14">
        <f t="shared" si="47"/>
        <v>688655.1483119299</v>
      </c>
      <c r="J220" s="25"/>
      <c r="K220" s="14">
        <f t="shared" si="48"/>
        <v>20652.935021403544</v>
      </c>
      <c r="L220" s="13">
        <f>+ROUND(K219*$F$307*(A220-A219)/365,2)</f>
        <v>90.16</v>
      </c>
      <c r="M220" s="308">
        <f t="shared" si="42"/>
        <v>6718.560000000003</v>
      </c>
      <c r="N220" s="39"/>
      <c r="O220" s="13">
        <f t="shared" si="45"/>
        <v>0</v>
      </c>
      <c r="P220" s="14">
        <f t="shared" si="43"/>
        <v>-688655.1483119299</v>
      </c>
      <c r="Q220" s="13">
        <f t="shared" si="46"/>
        <v>0</v>
      </c>
      <c r="R220" s="14">
        <f t="shared" si="44"/>
        <v>-20652.935021403544</v>
      </c>
      <c r="S220" s="14">
        <f t="shared" si="49"/>
        <v>-709308.0833333335</v>
      </c>
      <c r="T220" s="13">
        <f t="shared" si="39"/>
        <v>-90.16</v>
      </c>
      <c r="U220" s="14">
        <f t="shared" si="40"/>
        <v>-6718.560000000003</v>
      </c>
      <c r="V220" s="12"/>
    </row>
    <row r="221" spans="1:22" ht="15.75">
      <c r="A221" s="304">
        <v>39416</v>
      </c>
      <c r="B221" s="6" t="s">
        <v>92</v>
      </c>
      <c r="C221" s="53"/>
      <c r="D221" s="344"/>
      <c r="E221" s="46"/>
      <c r="F221" s="231"/>
      <c r="G221" s="39"/>
      <c r="H221" s="13"/>
      <c r="I221" s="14">
        <f t="shared" si="47"/>
        <v>688655.1483119299</v>
      </c>
      <c r="J221" s="25"/>
      <c r="K221" s="14">
        <f t="shared" si="48"/>
        <v>20652.935021403544</v>
      </c>
      <c r="L221" s="13">
        <f>+ROUND(K220*$F$307*(A221-A220)/365,2)</f>
        <v>87.25</v>
      </c>
      <c r="M221" s="308">
        <f t="shared" si="42"/>
        <v>6805.810000000003</v>
      </c>
      <c r="N221" s="39"/>
      <c r="O221" s="13">
        <f t="shared" si="45"/>
        <v>0</v>
      </c>
      <c r="P221" s="14">
        <f t="shared" si="43"/>
        <v>-688655.1483119299</v>
      </c>
      <c r="Q221" s="13">
        <f t="shared" si="46"/>
        <v>0</v>
      </c>
      <c r="R221" s="14">
        <f t="shared" si="44"/>
        <v>-20652.935021403544</v>
      </c>
      <c r="S221" s="14">
        <f t="shared" si="49"/>
        <v>-709308.0833333335</v>
      </c>
      <c r="T221" s="13">
        <f t="shared" si="39"/>
        <v>-87.25</v>
      </c>
      <c r="U221" s="14">
        <f t="shared" si="40"/>
        <v>-6805.810000000003</v>
      </c>
      <c r="V221" s="12"/>
    </row>
    <row r="222" spans="1:22" ht="15.75">
      <c r="A222" s="304">
        <v>39447</v>
      </c>
      <c r="B222" s="6" t="s">
        <v>92</v>
      </c>
      <c r="C222" s="53"/>
      <c r="D222" s="344"/>
      <c r="E222" s="46"/>
      <c r="F222" s="235"/>
      <c r="G222" s="39"/>
      <c r="H222" s="13"/>
      <c r="I222" s="14">
        <f t="shared" si="47"/>
        <v>688655.1483119299</v>
      </c>
      <c r="J222" s="25"/>
      <c r="K222" s="14">
        <f t="shared" si="48"/>
        <v>20652.935021403544</v>
      </c>
      <c r="L222" s="13">
        <f>+ROUND(K221*$F$307*(A222-A221)/365,2)</f>
        <v>90.16</v>
      </c>
      <c r="M222" s="308">
        <f t="shared" si="42"/>
        <v>6895.970000000003</v>
      </c>
      <c r="N222" s="39"/>
      <c r="O222" s="13">
        <f t="shared" si="45"/>
        <v>0</v>
      </c>
      <c r="P222" s="14">
        <f t="shared" si="43"/>
        <v>-688655.1483119299</v>
      </c>
      <c r="Q222" s="13">
        <f t="shared" si="46"/>
        <v>0</v>
      </c>
      <c r="R222" s="14">
        <f t="shared" si="44"/>
        <v>-20652.935021403544</v>
      </c>
      <c r="S222" s="14">
        <f t="shared" si="49"/>
        <v>-709308.0833333335</v>
      </c>
      <c r="T222" s="13">
        <f t="shared" si="39"/>
        <v>-90.16</v>
      </c>
      <c r="U222" s="14">
        <f t="shared" si="40"/>
        <v>-6895.970000000003</v>
      </c>
      <c r="V222" s="12"/>
    </row>
    <row r="223" spans="1:22" ht="15.75">
      <c r="A223" s="322"/>
      <c r="B223" s="334"/>
      <c r="C223" s="339"/>
      <c r="D223" s="350"/>
      <c r="E223" s="338"/>
      <c r="F223" s="342">
        <f>+M223-M209</f>
        <v>976.6000000000013</v>
      </c>
      <c r="G223" s="39"/>
      <c r="H223" s="326"/>
      <c r="I223" s="327">
        <f t="shared" si="47"/>
        <v>688655.1483119299</v>
      </c>
      <c r="J223" s="326"/>
      <c r="K223" s="327">
        <f t="shared" si="48"/>
        <v>20652.935021403544</v>
      </c>
      <c r="L223" s="340"/>
      <c r="M223" s="341">
        <f t="shared" si="42"/>
        <v>6895.970000000003</v>
      </c>
      <c r="N223" s="39"/>
      <c r="O223" s="326">
        <f t="shared" si="45"/>
        <v>0</v>
      </c>
      <c r="P223" s="327">
        <f t="shared" si="43"/>
        <v>-688655.1483119299</v>
      </c>
      <c r="Q223" s="326">
        <f t="shared" si="46"/>
        <v>0</v>
      </c>
      <c r="R223" s="327">
        <f t="shared" si="44"/>
        <v>-20652.935021403544</v>
      </c>
      <c r="S223" s="327">
        <f t="shared" si="49"/>
        <v>-709308.0833333335</v>
      </c>
      <c r="T223" s="326">
        <f t="shared" si="39"/>
        <v>0</v>
      </c>
      <c r="U223" s="327">
        <f t="shared" si="40"/>
        <v>-6895.970000000003</v>
      </c>
      <c r="V223" s="12"/>
    </row>
    <row r="224" spans="1:22" ht="15.75">
      <c r="A224" s="305" t="s">
        <v>155</v>
      </c>
      <c r="B224" s="6"/>
      <c r="C224" s="53"/>
      <c r="D224" s="344"/>
      <c r="E224" s="46"/>
      <c r="F224" s="231"/>
      <c r="G224" s="39"/>
      <c r="H224" s="13"/>
      <c r="I224" s="14">
        <f t="shared" si="47"/>
        <v>688655.1483119299</v>
      </c>
      <c r="J224" s="25"/>
      <c r="K224" s="14">
        <f t="shared" si="48"/>
        <v>20652.935021403544</v>
      </c>
      <c r="M224" s="308">
        <f t="shared" si="42"/>
        <v>6895.970000000003</v>
      </c>
      <c r="N224" s="39"/>
      <c r="O224" s="13">
        <f t="shared" si="45"/>
        <v>0</v>
      </c>
      <c r="P224" s="14">
        <f t="shared" si="43"/>
        <v>-688655.1483119299</v>
      </c>
      <c r="Q224" s="13">
        <f t="shared" si="46"/>
        <v>0</v>
      </c>
      <c r="R224" s="14">
        <f t="shared" si="44"/>
        <v>-20652.935021403544</v>
      </c>
      <c r="S224" s="14">
        <f t="shared" si="49"/>
        <v>-709308.0833333335</v>
      </c>
      <c r="T224" s="13">
        <f t="shared" si="39"/>
        <v>0</v>
      </c>
      <c r="U224" s="14">
        <f t="shared" si="40"/>
        <v>-6895.970000000003</v>
      </c>
      <c r="V224" s="12"/>
    </row>
    <row r="225" spans="1:22" ht="15.75">
      <c r="A225" s="304">
        <v>39478</v>
      </c>
      <c r="B225" s="6" t="s">
        <v>92</v>
      </c>
      <c r="C225" s="53"/>
      <c r="D225" s="344"/>
      <c r="E225" s="46"/>
      <c r="F225" s="231"/>
      <c r="G225" s="39"/>
      <c r="H225" s="13"/>
      <c r="I225" s="14">
        <f t="shared" si="47"/>
        <v>688655.1483119299</v>
      </c>
      <c r="J225" s="25"/>
      <c r="K225" s="14">
        <f t="shared" si="48"/>
        <v>20652.935021403544</v>
      </c>
      <c r="L225" s="13">
        <f>+ROUND(K224*$F$307*(A225-A222)/365,2)</f>
        <v>90.16</v>
      </c>
      <c r="M225" s="308">
        <f t="shared" si="42"/>
        <v>6986.130000000003</v>
      </c>
      <c r="N225" s="39"/>
      <c r="O225" s="13">
        <f t="shared" si="45"/>
        <v>0</v>
      </c>
      <c r="P225" s="14">
        <f t="shared" si="43"/>
        <v>-688655.1483119299</v>
      </c>
      <c r="Q225" s="13">
        <f t="shared" si="46"/>
        <v>0</v>
      </c>
      <c r="R225" s="14">
        <f t="shared" si="44"/>
        <v>-20652.935021403544</v>
      </c>
      <c r="S225" s="14">
        <f t="shared" si="49"/>
        <v>-709308.0833333335</v>
      </c>
      <c r="T225" s="13">
        <f t="shared" si="39"/>
        <v>-90.16</v>
      </c>
      <c r="U225" s="14">
        <f t="shared" si="40"/>
        <v>-6986.130000000003</v>
      </c>
      <c r="V225" s="12"/>
    </row>
    <row r="226" spans="1:22" ht="15.75">
      <c r="A226" s="304">
        <v>39507</v>
      </c>
      <c r="B226" s="6" t="s">
        <v>92</v>
      </c>
      <c r="C226" s="53"/>
      <c r="D226" s="344"/>
      <c r="E226" s="46"/>
      <c r="F226" s="231"/>
      <c r="G226" s="39"/>
      <c r="H226" s="13"/>
      <c r="I226" s="14">
        <f t="shared" si="47"/>
        <v>688655.1483119299</v>
      </c>
      <c r="J226" s="25"/>
      <c r="K226" s="14">
        <f t="shared" si="48"/>
        <v>20652.935021403544</v>
      </c>
      <c r="L226" s="13">
        <f>+ROUND(K225*$F$307*(A226-A225)/365,2)</f>
        <v>84.34</v>
      </c>
      <c r="M226" s="308">
        <f t="shared" si="42"/>
        <v>7070.470000000003</v>
      </c>
      <c r="N226" s="39"/>
      <c r="O226" s="13">
        <f t="shared" si="45"/>
        <v>0</v>
      </c>
      <c r="P226" s="14">
        <f t="shared" si="43"/>
        <v>-688655.1483119299</v>
      </c>
      <c r="Q226" s="13">
        <f t="shared" si="46"/>
        <v>0</v>
      </c>
      <c r="R226" s="14">
        <f t="shared" si="44"/>
        <v>-20652.935021403544</v>
      </c>
      <c r="S226" s="14">
        <f t="shared" si="49"/>
        <v>-709308.0833333335</v>
      </c>
      <c r="T226" s="13">
        <f t="shared" si="39"/>
        <v>-84.34</v>
      </c>
      <c r="U226" s="14">
        <f t="shared" si="40"/>
        <v>-7070.470000000003</v>
      </c>
      <c r="V226" s="12"/>
    </row>
    <row r="227" spans="1:22" ht="15.75">
      <c r="A227" s="315">
        <v>39538</v>
      </c>
      <c r="B227" s="316" t="s">
        <v>92</v>
      </c>
      <c r="C227" s="318"/>
      <c r="D227" s="347"/>
      <c r="E227" s="317"/>
      <c r="F227" s="321"/>
      <c r="G227" s="39"/>
      <c r="H227" s="319"/>
      <c r="I227" s="320">
        <f t="shared" si="47"/>
        <v>688655.1483119299</v>
      </c>
      <c r="J227" s="337"/>
      <c r="K227" s="320">
        <f t="shared" si="48"/>
        <v>20652.935021403544</v>
      </c>
      <c r="L227" s="319">
        <f>+ROUND(K226*$F$307*(A227-A226)/365,2)</f>
        <v>90.16</v>
      </c>
      <c r="M227" s="332">
        <f t="shared" si="42"/>
        <v>7160.630000000003</v>
      </c>
      <c r="N227" s="39"/>
      <c r="O227" s="319">
        <f t="shared" si="45"/>
        <v>0</v>
      </c>
      <c r="P227" s="320">
        <f t="shared" si="43"/>
        <v>-688655.1483119299</v>
      </c>
      <c r="Q227" s="319">
        <f t="shared" si="46"/>
        <v>0</v>
      </c>
      <c r="R227" s="320">
        <f t="shared" si="44"/>
        <v>-20652.935021403544</v>
      </c>
      <c r="S227" s="320">
        <f t="shared" si="49"/>
        <v>-709308.0833333335</v>
      </c>
      <c r="T227" s="319">
        <f t="shared" si="39"/>
        <v>-90.16</v>
      </c>
      <c r="U227" s="320">
        <f t="shared" si="40"/>
        <v>-7160.630000000003</v>
      </c>
      <c r="V227" s="12"/>
    </row>
    <row r="228" spans="1:22" ht="15.75">
      <c r="A228" s="304">
        <v>39568</v>
      </c>
      <c r="B228" s="6" t="s">
        <v>92</v>
      </c>
      <c r="C228" s="53"/>
      <c r="D228" s="344"/>
      <c r="E228" s="46"/>
      <c r="F228" s="231"/>
      <c r="G228" s="39"/>
      <c r="H228" s="13"/>
      <c r="I228" s="14">
        <f t="shared" si="47"/>
        <v>688655.1483119299</v>
      </c>
      <c r="J228" s="25"/>
      <c r="K228" s="14">
        <f t="shared" si="48"/>
        <v>20652.935021403544</v>
      </c>
      <c r="L228" s="13">
        <f>+ROUND(K227*$F$308*(A228-A227)/365,2)</f>
        <v>69.26</v>
      </c>
      <c r="M228" s="308">
        <f t="shared" si="42"/>
        <v>7229.890000000003</v>
      </c>
      <c r="N228" s="39"/>
      <c r="O228" s="13">
        <f t="shared" si="45"/>
        <v>0</v>
      </c>
      <c r="P228" s="14">
        <f t="shared" si="43"/>
        <v>-688655.1483119299</v>
      </c>
      <c r="Q228" s="13">
        <f t="shared" si="46"/>
        <v>0</v>
      </c>
      <c r="R228" s="14">
        <f t="shared" si="44"/>
        <v>-20652.935021403544</v>
      </c>
      <c r="S228" s="14">
        <f t="shared" si="49"/>
        <v>-709308.0833333335</v>
      </c>
      <c r="T228" s="13">
        <f t="shared" si="39"/>
        <v>-69.26</v>
      </c>
      <c r="U228" s="14">
        <f t="shared" si="40"/>
        <v>-7229.890000000003</v>
      </c>
      <c r="V228" s="12"/>
    </row>
    <row r="229" spans="1:22" ht="15.75">
      <c r="A229" s="304">
        <v>39599</v>
      </c>
      <c r="B229" s="6" t="s">
        <v>92</v>
      </c>
      <c r="C229" s="53"/>
      <c r="D229" s="344"/>
      <c r="E229" s="46"/>
      <c r="F229" s="231"/>
      <c r="G229" s="39"/>
      <c r="H229" s="13"/>
      <c r="I229" s="14">
        <f t="shared" si="47"/>
        <v>688655.1483119299</v>
      </c>
      <c r="J229" s="25"/>
      <c r="K229" s="14">
        <f t="shared" si="48"/>
        <v>20652.935021403544</v>
      </c>
      <c r="L229" s="13">
        <f>+ROUND(K228*$F$308*(A229-A228)/365,2)</f>
        <v>71.57</v>
      </c>
      <c r="M229" s="308">
        <f t="shared" si="42"/>
        <v>7301.460000000003</v>
      </c>
      <c r="N229" s="39"/>
      <c r="O229" s="13">
        <f t="shared" si="45"/>
        <v>0</v>
      </c>
      <c r="P229" s="14">
        <f t="shared" si="43"/>
        <v>-688655.1483119299</v>
      </c>
      <c r="Q229" s="13">
        <f t="shared" si="46"/>
        <v>0</v>
      </c>
      <c r="R229" s="14">
        <f t="shared" si="44"/>
        <v>-20652.935021403544</v>
      </c>
      <c r="S229" s="14">
        <f t="shared" si="49"/>
        <v>-709308.0833333335</v>
      </c>
      <c r="T229" s="13">
        <f t="shared" si="39"/>
        <v>-71.57</v>
      </c>
      <c r="U229" s="14">
        <f t="shared" si="40"/>
        <v>-7301.460000000003</v>
      </c>
      <c r="V229" s="12"/>
    </row>
    <row r="230" spans="1:22" ht="15.75">
      <c r="A230" s="315">
        <v>39629</v>
      </c>
      <c r="B230" s="316" t="s">
        <v>92</v>
      </c>
      <c r="C230" s="318"/>
      <c r="D230" s="347"/>
      <c r="E230" s="317"/>
      <c r="F230" s="321"/>
      <c r="G230" s="39"/>
      <c r="H230" s="319"/>
      <c r="I230" s="320">
        <f t="shared" si="47"/>
        <v>688655.1483119299</v>
      </c>
      <c r="J230" s="337"/>
      <c r="K230" s="320">
        <f t="shared" si="48"/>
        <v>20652.935021403544</v>
      </c>
      <c r="L230" s="319">
        <f>+ROUND(K229*$F$308*(A230-A229)/365,2)</f>
        <v>69.26</v>
      </c>
      <c r="M230" s="332">
        <f t="shared" si="42"/>
        <v>7370.720000000003</v>
      </c>
      <c r="N230" s="39"/>
      <c r="O230" s="319">
        <f t="shared" si="45"/>
        <v>0</v>
      </c>
      <c r="P230" s="320">
        <f t="shared" si="43"/>
        <v>-688655.1483119299</v>
      </c>
      <c r="Q230" s="319">
        <f t="shared" si="46"/>
        <v>0</v>
      </c>
      <c r="R230" s="320">
        <f t="shared" si="44"/>
        <v>-20652.935021403544</v>
      </c>
      <c r="S230" s="320">
        <f t="shared" si="49"/>
        <v>-709308.0833333335</v>
      </c>
      <c r="T230" s="319">
        <f t="shared" si="39"/>
        <v>-69.26</v>
      </c>
      <c r="U230" s="320">
        <f t="shared" si="40"/>
        <v>-7370.720000000003</v>
      </c>
      <c r="V230" s="12"/>
    </row>
    <row r="231" spans="1:22" ht="15.75">
      <c r="A231" s="304">
        <v>39660</v>
      </c>
      <c r="B231" s="6" t="s">
        <v>92</v>
      </c>
      <c r="C231" s="53"/>
      <c r="D231" s="344"/>
      <c r="E231" s="46"/>
      <c r="F231" s="231"/>
      <c r="G231" s="39"/>
      <c r="H231" s="13"/>
      <c r="I231" s="14">
        <f t="shared" si="47"/>
        <v>688655.1483119299</v>
      </c>
      <c r="J231" s="25"/>
      <c r="K231" s="14">
        <f t="shared" si="48"/>
        <v>20652.935021403544</v>
      </c>
      <c r="L231" s="13">
        <f aca="true" t="shared" si="51" ref="L231:L236">+ROUND(K230*$F$309*(A231-A230)/365,2)</f>
        <v>58.76</v>
      </c>
      <c r="M231" s="308">
        <f t="shared" si="42"/>
        <v>7429.480000000003</v>
      </c>
      <c r="N231" s="39"/>
      <c r="O231" s="13">
        <f t="shared" si="45"/>
        <v>0</v>
      </c>
      <c r="P231" s="14">
        <f t="shared" si="43"/>
        <v>-688655.1483119299</v>
      </c>
      <c r="Q231" s="13">
        <f t="shared" si="46"/>
        <v>0</v>
      </c>
      <c r="R231" s="14">
        <f t="shared" si="44"/>
        <v>-20652.935021403544</v>
      </c>
      <c r="S231" s="14">
        <f t="shared" si="49"/>
        <v>-709308.0833333335</v>
      </c>
      <c r="T231" s="13">
        <f t="shared" si="39"/>
        <v>-58.76</v>
      </c>
      <c r="U231" s="14">
        <f t="shared" si="40"/>
        <v>-7429.480000000003</v>
      </c>
      <c r="V231" s="12"/>
    </row>
    <row r="232" spans="1:22" ht="15.75">
      <c r="A232" s="304">
        <v>39691</v>
      </c>
      <c r="B232" s="6" t="s">
        <v>92</v>
      </c>
      <c r="C232" s="53"/>
      <c r="D232" s="344"/>
      <c r="E232" s="46"/>
      <c r="F232" s="231"/>
      <c r="G232" s="39"/>
      <c r="H232" s="13"/>
      <c r="I232" s="14">
        <f t="shared" si="47"/>
        <v>688655.1483119299</v>
      </c>
      <c r="J232" s="25"/>
      <c r="K232" s="14">
        <f t="shared" si="48"/>
        <v>20652.935021403544</v>
      </c>
      <c r="L232" s="13">
        <f t="shared" si="51"/>
        <v>58.76</v>
      </c>
      <c r="M232" s="308">
        <f t="shared" si="42"/>
        <v>7488.240000000003</v>
      </c>
      <c r="N232" s="39"/>
      <c r="O232" s="13">
        <f t="shared" si="45"/>
        <v>0</v>
      </c>
      <c r="P232" s="14">
        <f t="shared" si="43"/>
        <v>-688655.1483119299</v>
      </c>
      <c r="Q232" s="13">
        <f t="shared" si="46"/>
        <v>0</v>
      </c>
      <c r="R232" s="14">
        <f t="shared" si="44"/>
        <v>-20652.935021403544</v>
      </c>
      <c r="S232" s="14">
        <f t="shared" si="49"/>
        <v>-709308.0833333335</v>
      </c>
      <c r="T232" s="13">
        <f t="shared" si="39"/>
        <v>-58.76</v>
      </c>
      <c r="U232" s="14">
        <f t="shared" si="40"/>
        <v>-7488.240000000003</v>
      </c>
      <c r="V232" s="12"/>
    </row>
    <row r="233" spans="1:22" ht="15.75">
      <c r="A233" s="315">
        <v>39721</v>
      </c>
      <c r="B233" s="316" t="s">
        <v>92</v>
      </c>
      <c r="C233" s="318"/>
      <c r="D233" s="347"/>
      <c r="E233" s="317"/>
      <c r="F233" s="321"/>
      <c r="G233" s="39"/>
      <c r="H233" s="319"/>
      <c r="I233" s="320">
        <f t="shared" si="47"/>
        <v>688655.1483119299</v>
      </c>
      <c r="J233" s="337"/>
      <c r="K233" s="320">
        <f t="shared" si="48"/>
        <v>20652.935021403544</v>
      </c>
      <c r="L233" s="319">
        <f t="shared" si="51"/>
        <v>56.87</v>
      </c>
      <c r="M233" s="332">
        <f t="shared" si="42"/>
        <v>7545.110000000003</v>
      </c>
      <c r="N233" s="39"/>
      <c r="O233" s="319">
        <f t="shared" si="45"/>
        <v>0</v>
      </c>
      <c r="P233" s="320">
        <f t="shared" si="43"/>
        <v>-688655.1483119299</v>
      </c>
      <c r="Q233" s="319">
        <f t="shared" si="46"/>
        <v>0</v>
      </c>
      <c r="R233" s="320">
        <f t="shared" si="44"/>
        <v>-20652.935021403544</v>
      </c>
      <c r="S233" s="320">
        <f t="shared" si="49"/>
        <v>-709308.0833333335</v>
      </c>
      <c r="T233" s="319">
        <f t="shared" si="39"/>
        <v>-56.87</v>
      </c>
      <c r="U233" s="320">
        <f t="shared" si="40"/>
        <v>-7545.110000000003</v>
      </c>
      <c r="V233" s="12"/>
    </row>
    <row r="234" spans="1:22" ht="15.75">
      <c r="A234" s="304">
        <v>39752</v>
      </c>
      <c r="B234" s="6" t="s">
        <v>92</v>
      </c>
      <c r="C234" s="53"/>
      <c r="D234" s="344"/>
      <c r="E234" s="46"/>
      <c r="F234" s="231"/>
      <c r="G234" s="39"/>
      <c r="H234" s="13"/>
      <c r="I234" s="14">
        <f t="shared" si="47"/>
        <v>688655.1483119299</v>
      </c>
      <c r="J234" s="25"/>
      <c r="K234" s="14">
        <f t="shared" si="48"/>
        <v>20652.935021403544</v>
      </c>
      <c r="L234" s="13">
        <f t="shared" si="51"/>
        <v>58.76</v>
      </c>
      <c r="M234" s="308">
        <f t="shared" si="42"/>
        <v>7603.8700000000035</v>
      </c>
      <c r="N234" s="39"/>
      <c r="O234" s="13">
        <f t="shared" si="45"/>
        <v>0</v>
      </c>
      <c r="P234" s="14">
        <f t="shared" si="43"/>
        <v>-688655.1483119299</v>
      </c>
      <c r="Q234" s="13">
        <f t="shared" si="46"/>
        <v>0</v>
      </c>
      <c r="R234" s="14">
        <f t="shared" si="44"/>
        <v>-20652.935021403544</v>
      </c>
      <c r="S234" s="14">
        <f t="shared" si="49"/>
        <v>-709308.0833333335</v>
      </c>
      <c r="T234" s="13">
        <f t="shared" si="39"/>
        <v>-58.76</v>
      </c>
      <c r="U234" s="14">
        <f t="shared" si="40"/>
        <v>-7603.8700000000035</v>
      </c>
      <c r="V234" s="12"/>
    </row>
    <row r="235" spans="1:22" ht="15.75">
      <c r="A235" s="304">
        <v>39782</v>
      </c>
      <c r="B235" s="6" t="s">
        <v>92</v>
      </c>
      <c r="C235" s="53"/>
      <c r="D235" s="344"/>
      <c r="E235" s="46"/>
      <c r="F235" s="231"/>
      <c r="G235" s="39"/>
      <c r="H235" s="13"/>
      <c r="I235" s="14">
        <f t="shared" si="47"/>
        <v>688655.1483119299</v>
      </c>
      <c r="J235" s="25"/>
      <c r="K235" s="14">
        <f t="shared" si="48"/>
        <v>20652.935021403544</v>
      </c>
      <c r="L235" s="13">
        <f t="shared" si="51"/>
        <v>56.87</v>
      </c>
      <c r="M235" s="308">
        <f t="shared" si="42"/>
        <v>7660.740000000003</v>
      </c>
      <c r="N235" s="39"/>
      <c r="O235" s="13">
        <f t="shared" si="45"/>
        <v>0</v>
      </c>
      <c r="P235" s="14">
        <f t="shared" si="43"/>
        <v>-688655.1483119299</v>
      </c>
      <c r="Q235" s="13">
        <f t="shared" si="46"/>
        <v>0</v>
      </c>
      <c r="R235" s="14">
        <f t="shared" si="44"/>
        <v>-20652.935021403544</v>
      </c>
      <c r="S235" s="14">
        <f t="shared" si="49"/>
        <v>-709308.0833333335</v>
      </c>
      <c r="T235" s="13">
        <f t="shared" si="39"/>
        <v>-56.87</v>
      </c>
      <c r="U235" s="14">
        <f t="shared" si="40"/>
        <v>-7660.740000000003</v>
      </c>
      <c r="V235" s="12"/>
    </row>
    <row r="236" spans="1:22" ht="15.75">
      <c r="A236" s="304">
        <v>39813</v>
      </c>
      <c r="B236" s="6" t="s">
        <v>92</v>
      </c>
      <c r="C236" s="53"/>
      <c r="D236" s="344"/>
      <c r="E236" s="46"/>
      <c r="F236" s="235"/>
      <c r="G236" s="39"/>
      <c r="H236" s="13"/>
      <c r="I236" s="14">
        <f t="shared" si="47"/>
        <v>688655.1483119299</v>
      </c>
      <c r="J236" s="25"/>
      <c r="K236" s="14">
        <f t="shared" si="48"/>
        <v>20652.935021403544</v>
      </c>
      <c r="L236" s="13">
        <f t="shared" si="51"/>
        <v>58.76</v>
      </c>
      <c r="M236" s="308">
        <f t="shared" si="42"/>
        <v>7719.500000000004</v>
      </c>
      <c r="N236" s="39"/>
      <c r="O236" s="13">
        <f t="shared" si="45"/>
        <v>0</v>
      </c>
      <c r="P236" s="14">
        <f t="shared" si="43"/>
        <v>-688655.1483119299</v>
      </c>
      <c r="Q236" s="13">
        <f t="shared" si="46"/>
        <v>0</v>
      </c>
      <c r="R236" s="14">
        <f t="shared" si="44"/>
        <v>-20652.935021403544</v>
      </c>
      <c r="S236" s="14">
        <f t="shared" si="49"/>
        <v>-709308.0833333335</v>
      </c>
      <c r="T236" s="13">
        <f t="shared" si="39"/>
        <v>-58.76</v>
      </c>
      <c r="U236" s="14">
        <f t="shared" si="40"/>
        <v>-7719.500000000004</v>
      </c>
      <c r="V236" s="12"/>
    </row>
    <row r="237" spans="1:22" ht="15.75">
      <c r="A237" s="322"/>
      <c r="B237" s="334"/>
      <c r="C237" s="339"/>
      <c r="D237" s="350"/>
      <c r="E237" s="338"/>
      <c r="F237" s="342">
        <f>+M237-M223</f>
        <v>823.5300000000007</v>
      </c>
      <c r="G237" s="39"/>
      <c r="H237" s="326"/>
      <c r="I237" s="327">
        <f t="shared" si="47"/>
        <v>688655.1483119299</v>
      </c>
      <c r="J237" s="326"/>
      <c r="K237" s="327">
        <f t="shared" si="48"/>
        <v>20652.935021403544</v>
      </c>
      <c r="L237" s="340"/>
      <c r="M237" s="341">
        <f t="shared" si="42"/>
        <v>7719.500000000004</v>
      </c>
      <c r="N237" s="39"/>
      <c r="O237" s="326">
        <f t="shared" si="45"/>
        <v>0</v>
      </c>
      <c r="P237" s="327">
        <f t="shared" si="43"/>
        <v>-688655.1483119299</v>
      </c>
      <c r="Q237" s="326">
        <f t="shared" si="46"/>
        <v>0</v>
      </c>
      <c r="R237" s="327">
        <f t="shared" si="44"/>
        <v>-20652.935021403544</v>
      </c>
      <c r="S237" s="327">
        <f t="shared" si="49"/>
        <v>-709308.0833333335</v>
      </c>
      <c r="T237" s="326">
        <f t="shared" si="39"/>
        <v>0</v>
      </c>
      <c r="U237" s="327">
        <f t="shared" si="40"/>
        <v>-7719.500000000004</v>
      </c>
      <c r="V237" s="12"/>
    </row>
    <row r="238" spans="1:22" ht="15.75">
      <c r="A238" s="305" t="s">
        <v>156</v>
      </c>
      <c r="B238" s="6"/>
      <c r="C238" s="53"/>
      <c r="D238" s="344"/>
      <c r="E238" s="46"/>
      <c r="F238" s="231"/>
      <c r="G238" s="39"/>
      <c r="H238" s="13"/>
      <c r="I238" s="14">
        <f t="shared" si="47"/>
        <v>688655.1483119299</v>
      </c>
      <c r="J238" s="25"/>
      <c r="K238" s="14">
        <f t="shared" si="48"/>
        <v>20652.935021403544</v>
      </c>
      <c r="L238" s="307"/>
      <c r="M238" s="308">
        <f t="shared" si="42"/>
        <v>7719.500000000004</v>
      </c>
      <c r="N238" s="39"/>
      <c r="O238" s="13">
        <f t="shared" si="45"/>
        <v>0</v>
      </c>
      <c r="P238" s="14">
        <f t="shared" si="43"/>
        <v>-688655.1483119299</v>
      </c>
      <c r="Q238" s="13">
        <f t="shared" si="46"/>
        <v>0</v>
      </c>
      <c r="R238" s="14">
        <f t="shared" si="44"/>
        <v>-20652.935021403544</v>
      </c>
      <c r="S238" s="14">
        <f t="shared" si="49"/>
        <v>-709308.0833333335</v>
      </c>
      <c r="T238" s="13">
        <f t="shared" si="39"/>
        <v>0</v>
      </c>
      <c r="U238" s="14">
        <f t="shared" si="40"/>
        <v>-7719.500000000004</v>
      </c>
      <c r="V238" s="12"/>
    </row>
    <row r="239" spans="1:22" ht="15.75">
      <c r="A239" s="304">
        <v>39844</v>
      </c>
      <c r="B239" s="6" t="s">
        <v>92</v>
      </c>
      <c r="C239" s="53"/>
      <c r="D239" s="344"/>
      <c r="E239" s="46"/>
      <c r="F239" s="231"/>
      <c r="G239" s="39"/>
      <c r="H239" s="13"/>
      <c r="I239" s="14">
        <f t="shared" si="47"/>
        <v>688655.1483119299</v>
      </c>
      <c r="J239" s="25"/>
      <c r="K239" s="14">
        <f t="shared" si="48"/>
        <v>20652.935021403544</v>
      </c>
      <c r="L239" s="13">
        <f>+ROUND(K238*$F$310*(A239-A236)/365,2)</f>
        <v>42.98</v>
      </c>
      <c r="M239" s="308">
        <f t="shared" si="42"/>
        <v>7762.480000000003</v>
      </c>
      <c r="N239" s="39"/>
      <c r="O239" s="13">
        <f t="shared" si="45"/>
        <v>0</v>
      </c>
      <c r="P239" s="14">
        <f t="shared" si="43"/>
        <v>-688655.1483119299</v>
      </c>
      <c r="Q239" s="13">
        <f t="shared" si="46"/>
        <v>0</v>
      </c>
      <c r="R239" s="14">
        <f t="shared" si="44"/>
        <v>-20652.935021403544</v>
      </c>
      <c r="S239" s="14">
        <f t="shared" si="49"/>
        <v>-709308.0833333335</v>
      </c>
      <c r="T239" s="13">
        <f t="shared" si="39"/>
        <v>-42.98</v>
      </c>
      <c r="U239" s="14">
        <f t="shared" si="40"/>
        <v>-7762.480000000003</v>
      </c>
      <c r="V239" s="12"/>
    </row>
    <row r="240" spans="1:22" ht="15.75">
      <c r="A240" s="304">
        <v>39872</v>
      </c>
      <c r="B240" s="6" t="s">
        <v>92</v>
      </c>
      <c r="C240" s="53"/>
      <c r="D240" s="344"/>
      <c r="E240" s="46"/>
      <c r="F240" s="231"/>
      <c r="G240" s="39"/>
      <c r="H240" s="13"/>
      <c r="I240" s="14">
        <f t="shared" si="47"/>
        <v>688655.1483119299</v>
      </c>
      <c r="J240" s="25"/>
      <c r="K240" s="14">
        <f t="shared" si="48"/>
        <v>20652.935021403544</v>
      </c>
      <c r="L240" s="13">
        <f>+ROUND(K239*$F$310*(A240-A239)/365,2)</f>
        <v>38.82</v>
      </c>
      <c r="M240" s="308">
        <f t="shared" si="42"/>
        <v>7801.300000000003</v>
      </c>
      <c r="N240" s="39"/>
      <c r="O240" s="13">
        <f t="shared" si="45"/>
        <v>0</v>
      </c>
      <c r="P240" s="14">
        <f t="shared" si="43"/>
        <v>-688655.1483119299</v>
      </c>
      <c r="Q240" s="13">
        <f t="shared" si="46"/>
        <v>0</v>
      </c>
      <c r="R240" s="14">
        <f t="shared" si="44"/>
        <v>-20652.935021403544</v>
      </c>
      <c r="S240" s="14">
        <f t="shared" si="49"/>
        <v>-709308.0833333335</v>
      </c>
      <c r="T240" s="13">
        <f t="shared" si="39"/>
        <v>-38.82</v>
      </c>
      <c r="U240" s="14">
        <f t="shared" si="40"/>
        <v>-7801.300000000003</v>
      </c>
      <c r="V240" s="12"/>
    </row>
    <row r="241" spans="1:22" ht="15.75">
      <c r="A241" s="315">
        <v>39903</v>
      </c>
      <c r="B241" s="316" t="s">
        <v>92</v>
      </c>
      <c r="C241" s="318"/>
      <c r="D241" s="347"/>
      <c r="E241" s="317"/>
      <c r="F241" s="321"/>
      <c r="G241" s="39"/>
      <c r="H241" s="319"/>
      <c r="I241" s="320">
        <f t="shared" si="47"/>
        <v>688655.1483119299</v>
      </c>
      <c r="J241" s="337"/>
      <c r="K241" s="320">
        <f t="shared" si="48"/>
        <v>20652.935021403544</v>
      </c>
      <c r="L241" s="319">
        <f>+ROUND(K240*$F$310*(A241-A240)/365,2)</f>
        <v>42.98</v>
      </c>
      <c r="M241" s="332">
        <f t="shared" si="42"/>
        <v>7844.2800000000025</v>
      </c>
      <c r="N241" s="39"/>
      <c r="O241" s="319">
        <f t="shared" si="45"/>
        <v>0</v>
      </c>
      <c r="P241" s="320">
        <f t="shared" si="43"/>
        <v>-688655.1483119299</v>
      </c>
      <c r="Q241" s="319">
        <f t="shared" si="46"/>
        <v>0</v>
      </c>
      <c r="R241" s="320">
        <f t="shared" si="44"/>
        <v>-20652.935021403544</v>
      </c>
      <c r="S241" s="320">
        <f t="shared" si="49"/>
        <v>-709308.0833333335</v>
      </c>
      <c r="T241" s="319">
        <f t="shared" si="39"/>
        <v>-42.98</v>
      </c>
      <c r="U241" s="320">
        <f t="shared" si="40"/>
        <v>-7844.2800000000025</v>
      </c>
      <c r="V241" s="12"/>
    </row>
    <row r="242" spans="1:22" ht="15.75">
      <c r="A242" s="304">
        <v>39933</v>
      </c>
      <c r="B242" s="6" t="s">
        <v>92</v>
      </c>
      <c r="C242" s="53"/>
      <c r="D242" s="344"/>
      <c r="E242" s="46"/>
      <c r="F242" s="231"/>
      <c r="G242" s="39"/>
      <c r="H242" s="13"/>
      <c r="I242" s="14">
        <f t="shared" si="47"/>
        <v>688655.1483119299</v>
      </c>
      <c r="J242" s="25"/>
      <c r="K242" s="14">
        <f t="shared" si="48"/>
        <v>20652.935021403544</v>
      </c>
      <c r="L242" s="13">
        <f>+ROUND(K241*$F$311*(A242-A241)/365,2)</f>
        <v>16.98</v>
      </c>
      <c r="M242" s="308">
        <f t="shared" si="42"/>
        <v>7861.260000000002</v>
      </c>
      <c r="N242" s="39"/>
      <c r="O242" s="13">
        <f t="shared" si="45"/>
        <v>0</v>
      </c>
      <c r="P242" s="14">
        <f t="shared" si="43"/>
        <v>-688655.1483119299</v>
      </c>
      <c r="Q242" s="13">
        <f t="shared" si="46"/>
        <v>0</v>
      </c>
      <c r="R242" s="14">
        <f t="shared" si="44"/>
        <v>-20652.935021403544</v>
      </c>
      <c r="S242" s="14">
        <f t="shared" si="49"/>
        <v>-709308.0833333335</v>
      </c>
      <c r="T242" s="13">
        <f t="shared" si="39"/>
        <v>-16.98</v>
      </c>
      <c r="U242" s="14">
        <f t="shared" si="40"/>
        <v>-7861.260000000002</v>
      </c>
      <c r="V242" s="12"/>
    </row>
    <row r="243" spans="1:22" ht="15.75">
      <c r="A243" s="304">
        <v>39964</v>
      </c>
      <c r="B243" s="6" t="s">
        <v>92</v>
      </c>
      <c r="C243" s="53"/>
      <c r="D243" s="344"/>
      <c r="E243" s="46"/>
      <c r="F243" s="231"/>
      <c r="G243" s="39"/>
      <c r="H243" s="13"/>
      <c r="I243" s="14">
        <f t="shared" si="47"/>
        <v>688655.1483119299</v>
      </c>
      <c r="J243" s="25"/>
      <c r="K243" s="14">
        <f t="shared" si="48"/>
        <v>20652.935021403544</v>
      </c>
      <c r="L243" s="13">
        <f>+ROUND(K242*$F$311*(A243-A242)/365,2)</f>
        <v>17.54</v>
      </c>
      <c r="M243" s="308">
        <f t="shared" si="42"/>
        <v>7878.800000000002</v>
      </c>
      <c r="N243" s="39"/>
      <c r="O243" s="13">
        <f t="shared" si="45"/>
        <v>0</v>
      </c>
      <c r="P243" s="14">
        <f t="shared" si="43"/>
        <v>-688655.1483119299</v>
      </c>
      <c r="Q243" s="13">
        <f t="shared" si="46"/>
        <v>0</v>
      </c>
      <c r="R243" s="14">
        <f t="shared" si="44"/>
        <v>-20652.935021403544</v>
      </c>
      <c r="S243" s="14">
        <f t="shared" si="49"/>
        <v>-709308.0833333335</v>
      </c>
      <c r="T243" s="13">
        <f t="shared" si="39"/>
        <v>-17.54</v>
      </c>
      <c r="U243" s="14">
        <f t="shared" si="40"/>
        <v>-7878.800000000002</v>
      </c>
      <c r="V243" s="12"/>
    </row>
    <row r="244" spans="1:22" ht="15.75">
      <c r="A244" s="315">
        <v>39994</v>
      </c>
      <c r="B244" s="316" t="s">
        <v>92</v>
      </c>
      <c r="C244" s="318"/>
      <c r="D244" s="347"/>
      <c r="E244" s="317"/>
      <c r="F244" s="321"/>
      <c r="G244" s="39"/>
      <c r="H244" s="319"/>
      <c r="I244" s="320">
        <f t="shared" si="47"/>
        <v>688655.1483119299</v>
      </c>
      <c r="J244" s="337"/>
      <c r="K244" s="320">
        <f t="shared" si="48"/>
        <v>20652.935021403544</v>
      </c>
      <c r="L244" s="319">
        <f>+ROUND(K243*$F$311*(A244-A243)/365,2)</f>
        <v>16.98</v>
      </c>
      <c r="M244" s="332">
        <f t="shared" si="42"/>
        <v>7895.780000000002</v>
      </c>
      <c r="N244" s="39"/>
      <c r="O244" s="319">
        <f t="shared" si="45"/>
        <v>0</v>
      </c>
      <c r="P244" s="320">
        <f t="shared" si="43"/>
        <v>-688655.1483119299</v>
      </c>
      <c r="Q244" s="319">
        <f t="shared" si="46"/>
        <v>0</v>
      </c>
      <c r="R244" s="320">
        <f t="shared" si="44"/>
        <v>-20652.935021403544</v>
      </c>
      <c r="S244" s="320">
        <f t="shared" si="49"/>
        <v>-709308.0833333335</v>
      </c>
      <c r="T244" s="319">
        <f t="shared" si="39"/>
        <v>-16.98</v>
      </c>
      <c r="U244" s="320">
        <f t="shared" si="40"/>
        <v>-7895.780000000002</v>
      </c>
      <c r="V244" s="12"/>
    </row>
    <row r="245" spans="1:22" ht="15.75">
      <c r="A245" s="304">
        <v>40025</v>
      </c>
      <c r="B245" s="6" t="s">
        <v>92</v>
      </c>
      <c r="C245" s="53"/>
      <c r="D245" s="344"/>
      <c r="E245" s="46"/>
      <c r="F245" s="231"/>
      <c r="G245" s="39"/>
      <c r="H245" s="13"/>
      <c r="I245" s="14">
        <f t="shared" si="47"/>
        <v>688655.1483119299</v>
      </c>
      <c r="J245" s="25"/>
      <c r="K245" s="14">
        <f t="shared" si="48"/>
        <v>20652.935021403544</v>
      </c>
      <c r="L245" s="13">
        <f aca="true" t="shared" si="52" ref="L245:L250">+ROUND(K244*$F$312*(A245-A244)/365,2)</f>
        <v>9.65</v>
      </c>
      <c r="M245" s="308">
        <f t="shared" si="42"/>
        <v>7905.430000000001</v>
      </c>
      <c r="N245" s="39"/>
      <c r="O245" s="13">
        <f t="shared" si="45"/>
        <v>0</v>
      </c>
      <c r="P245" s="14">
        <f t="shared" si="43"/>
        <v>-688655.1483119299</v>
      </c>
      <c r="Q245" s="13">
        <f t="shared" si="46"/>
        <v>0</v>
      </c>
      <c r="R245" s="14">
        <f t="shared" si="44"/>
        <v>-20652.935021403544</v>
      </c>
      <c r="S245" s="14">
        <f t="shared" si="49"/>
        <v>-709308.0833333335</v>
      </c>
      <c r="T245" s="13">
        <f t="shared" si="39"/>
        <v>-9.65</v>
      </c>
      <c r="U245" s="14">
        <f t="shared" si="40"/>
        <v>-7905.430000000001</v>
      </c>
      <c r="V245" s="12"/>
    </row>
    <row r="246" spans="1:22" ht="15.75">
      <c r="A246" s="304">
        <v>40056</v>
      </c>
      <c r="B246" s="6" t="s">
        <v>92</v>
      </c>
      <c r="C246" s="53"/>
      <c r="D246" s="344"/>
      <c r="E246" s="46"/>
      <c r="F246" s="231"/>
      <c r="G246" s="39"/>
      <c r="H246" s="13"/>
      <c r="I246" s="14">
        <f t="shared" si="47"/>
        <v>688655.1483119299</v>
      </c>
      <c r="J246" s="25"/>
      <c r="K246" s="14">
        <f t="shared" si="48"/>
        <v>20652.935021403544</v>
      </c>
      <c r="L246" s="13">
        <f t="shared" si="52"/>
        <v>9.65</v>
      </c>
      <c r="M246" s="308">
        <f t="shared" si="42"/>
        <v>7915.080000000001</v>
      </c>
      <c r="N246" s="39"/>
      <c r="O246" s="13">
        <f t="shared" si="45"/>
        <v>0</v>
      </c>
      <c r="P246" s="14">
        <f t="shared" si="43"/>
        <v>-688655.1483119299</v>
      </c>
      <c r="Q246" s="13">
        <f t="shared" si="46"/>
        <v>0</v>
      </c>
      <c r="R246" s="14">
        <f t="shared" si="44"/>
        <v>-20652.935021403544</v>
      </c>
      <c r="S246" s="14">
        <f t="shared" si="49"/>
        <v>-709308.0833333335</v>
      </c>
      <c r="T246" s="13">
        <f t="shared" si="39"/>
        <v>-9.65</v>
      </c>
      <c r="U246" s="14">
        <f t="shared" si="40"/>
        <v>-7915.080000000001</v>
      </c>
      <c r="V246" s="12"/>
    </row>
    <row r="247" spans="1:22" ht="15.75">
      <c r="A247" s="315">
        <v>40086</v>
      </c>
      <c r="B247" s="316" t="s">
        <v>92</v>
      </c>
      <c r="C247" s="318"/>
      <c r="D247" s="347"/>
      <c r="E247" s="317"/>
      <c r="F247" s="321"/>
      <c r="G247" s="39"/>
      <c r="H247" s="319"/>
      <c r="I247" s="320">
        <f t="shared" si="47"/>
        <v>688655.1483119299</v>
      </c>
      <c r="J247" s="337"/>
      <c r="K247" s="320">
        <f t="shared" si="48"/>
        <v>20652.935021403544</v>
      </c>
      <c r="L247" s="319">
        <f t="shared" si="52"/>
        <v>9.34</v>
      </c>
      <c r="M247" s="332">
        <f t="shared" si="42"/>
        <v>7924.420000000001</v>
      </c>
      <c r="N247" s="39"/>
      <c r="O247" s="319">
        <f t="shared" si="45"/>
        <v>0</v>
      </c>
      <c r="P247" s="320">
        <f t="shared" si="43"/>
        <v>-688655.1483119299</v>
      </c>
      <c r="Q247" s="319">
        <f t="shared" si="46"/>
        <v>0</v>
      </c>
      <c r="R247" s="320">
        <f t="shared" si="44"/>
        <v>-20652.935021403544</v>
      </c>
      <c r="S247" s="320">
        <f t="shared" si="49"/>
        <v>-709308.0833333335</v>
      </c>
      <c r="T247" s="319">
        <f t="shared" si="39"/>
        <v>-9.34</v>
      </c>
      <c r="U247" s="320">
        <f t="shared" si="40"/>
        <v>-7924.420000000001</v>
      </c>
      <c r="V247" s="12"/>
    </row>
    <row r="248" spans="1:22" ht="15.75">
      <c r="A248" s="304">
        <v>40117</v>
      </c>
      <c r="B248" s="6" t="s">
        <v>92</v>
      </c>
      <c r="C248" s="53"/>
      <c r="D248" s="344"/>
      <c r="E248" s="46"/>
      <c r="F248" s="231"/>
      <c r="G248" s="39"/>
      <c r="H248" s="13"/>
      <c r="I248" s="14">
        <f t="shared" si="47"/>
        <v>688655.1483119299</v>
      </c>
      <c r="J248" s="25"/>
      <c r="K248" s="14">
        <f t="shared" si="48"/>
        <v>20652.935021403544</v>
      </c>
      <c r="L248" s="13">
        <f t="shared" si="52"/>
        <v>9.65</v>
      </c>
      <c r="M248" s="308">
        <f t="shared" si="42"/>
        <v>7934.070000000001</v>
      </c>
      <c r="N248" s="39"/>
      <c r="O248" s="13">
        <f t="shared" si="45"/>
        <v>0</v>
      </c>
      <c r="P248" s="14">
        <f t="shared" si="43"/>
        <v>-688655.1483119299</v>
      </c>
      <c r="Q248" s="13">
        <f t="shared" si="46"/>
        <v>0</v>
      </c>
      <c r="R248" s="14">
        <f t="shared" si="44"/>
        <v>-20652.935021403544</v>
      </c>
      <c r="S248" s="14">
        <f t="shared" si="49"/>
        <v>-709308.0833333335</v>
      </c>
      <c r="T248" s="13">
        <f t="shared" si="39"/>
        <v>-9.65</v>
      </c>
      <c r="U248" s="14">
        <f t="shared" si="40"/>
        <v>-7934.070000000001</v>
      </c>
      <c r="V248" s="12"/>
    </row>
    <row r="249" spans="1:22" ht="15.75">
      <c r="A249" s="304">
        <v>40147</v>
      </c>
      <c r="B249" s="6" t="s">
        <v>92</v>
      </c>
      <c r="C249" s="53"/>
      <c r="D249" s="344"/>
      <c r="E249" s="46"/>
      <c r="F249" s="231"/>
      <c r="G249" s="39"/>
      <c r="H249" s="13"/>
      <c r="I249" s="14">
        <f t="shared" si="47"/>
        <v>688655.1483119299</v>
      </c>
      <c r="J249" s="25"/>
      <c r="K249" s="14">
        <f t="shared" si="48"/>
        <v>20652.935021403544</v>
      </c>
      <c r="L249" s="13">
        <f t="shared" si="52"/>
        <v>9.34</v>
      </c>
      <c r="M249" s="308">
        <f t="shared" si="42"/>
        <v>7943.410000000001</v>
      </c>
      <c r="N249" s="39"/>
      <c r="O249" s="13">
        <f t="shared" si="45"/>
        <v>0</v>
      </c>
      <c r="P249" s="14">
        <f t="shared" si="43"/>
        <v>-688655.1483119299</v>
      </c>
      <c r="Q249" s="13">
        <f t="shared" si="46"/>
        <v>0</v>
      </c>
      <c r="R249" s="14">
        <f t="shared" si="44"/>
        <v>-20652.935021403544</v>
      </c>
      <c r="S249" s="14">
        <f t="shared" si="49"/>
        <v>-709308.0833333335</v>
      </c>
      <c r="T249" s="13">
        <f t="shared" si="39"/>
        <v>-9.34</v>
      </c>
      <c r="U249" s="14">
        <f t="shared" si="40"/>
        <v>-7943.410000000001</v>
      </c>
      <c r="V249" s="12"/>
    </row>
    <row r="250" spans="1:22" ht="15.75">
      <c r="A250" s="304">
        <v>40178</v>
      </c>
      <c r="B250" s="6" t="s">
        <v>92</v>
      </c>
      <c r="C250" s="53"/>
      <c r="D250" s="344"/>
      <c r="E250" s="46"/>
      <c r="F250" s="235"/>
      <c r="G250" s="39"/>
      <c r="H250" s="13"/>
      <c r="I250" s="14">
        <f t="shared" si="47"/>
        <v>688655.1483119299</v>
      </c>
      <c r="J250" s="25"/>
      <c r="K250" s="14">
        <f t="shared" si="48"/>
        <v>20652.935021403544</v>
      </c>
      <c r="L250" s="13">
        <f t="shared" si="52"/>
        <v>9.65</v>
      </c>
      <c r="M250" s="308">
        <f t="shared" si="42"/>
        <v>7953.06</v>
      </c>
      <c r="N250" s="39"/>
      <c r="O250" s="13">
        <f t="shared" si="45"/>
        <v>0</v>
      </c>
      <c r="P250" s="14">
        <f t="shared" si="43"/>
        <v>-688655.1483119299</v>
      </c>
      <c r="Q250" s="13">
        <f t="shared" si="46"/>
        <v>0</v>
      </c>
      <c r="R250" s="14">
        <f t="shared" si="44"/>
        <v>-20652.935021403544</v>
      </c>
      <c r="S250" s="14">
        <f t="shared" si="49"/>
        <v>-709308.0833333335</v>
      </c>
      <c r="T250" s="13">
        <f t="shared" si="39"/>
        <v>-9.65</v>
      </c>
      <c r="U250" s="14">
        <f t="shared" si="40"/>
        <v>-7953.06</v>
      </c>
      <c r="V250" s="12"/>
    </row>
    <row r="251" spans="1:22" ht="15.75">
      <c r="A251" s="322"/>
      <c r="B251" s="334"/>
      <c r="C251" s="339"/>
      <c r="D251" s="350"/>
      <c r="E251" s="338"/>
      <c r="F251" s="342">
        <f>+M251-M237</f>
        <v>233.55999999999676</v>
      </c>
      <c r="G251" s="39"/>
      <c r="H251" s="326"/>
      <c r="I251" s="327">
        <f t="shared" si="47"/>
        <v>688655.1483119299</v>
      </c>
      <c r="J251" s="326"/>
      <c r="K251" s="327">
        <f t="shared" si="48"/>
        <v>20652.935021403544</v>
      </c>
      <c r="L251" s="343"/>
      <c r="M251" s="341">
        <f t="shared" si="42"/>
        <v>7953.06</v>
      </c>
      <c r="N251" s="39"/>
      <c r="O251" s="326">
        <f t="shared" si="45"/>
        <v>0</v>
      </c>
      <c r="P251" s="327">
        <f t="shared" si="43"/>
        <v>-688655.1483119299</v>
      </c>
      <c r="Q251" s="326">
        <f t="shared" si="46"/>
        <v>0</v>
      </c>
      <c r="R251" s="327">
        <f t="shared" si="44"/>
        <v>-20652.935021403544</v>
      </c>
      <c r="S251" s="327">
        <f t="shared" si="49"/>
        <v>-709308.0833333335</v>
      </c>
      <c r="T251" s="326">
        <f t="shared" si="39"/>
        <v>0</v>
      </c>
      <c r="U251" s="327">
        <f t="shared" si="40"/>
        <v>-7953.06</v>
      </c>
      <c r="V251" s="12"/>
    </row>
    <row r="252" spans="1:22" ht="15.75">
      <c r="A252" s="305" t="s">
        <v>157</v>
      </c>
      <c r="B252" s="6"/>
      <c r="C252" s="53"/>
      <c r="D252" s="344"/>
      <c r="E252" s="46"/>
      <c r="F252" s="231"/>
      <c r="G252" s="39"/>
      <c r="H252" s="13"/>
      <c r="I252" s="14">
        <f t="shared" si="47"/>
        <v>688655.1483119299</v>
      </c>
      <c r="J252" s="25"/>
      <c r="K252" s="14">
        <f t="shared" si="48"/>
        <v>20652.935021403544</v>
      </c>
      <c r="L252" s="311"/>
      <c r="M252" s="308">
        <f t="shared" si="42"/>
        <v>7953.06</v>
      </c>
      <c r="N252" s="39"/>
      <c r="O252" s="13">
        <f t="shared" si="45"/>
        <v>0</v>
      </c>
      <c r="P252" s="14">
        <f t="shared" si="43"/>
        <v>-688655.1483119299</v>
      </c>
      <c r="Q252" s="13">
        <f t="shared" si="46"/>
        <v>0</v>
      </c>
      <c r="R252" s="14">
        <f t="shared" si="44"/>
        <v>-20652.935021403544</v>
      </c>
      <c r="S252" s="14">
        <f t="shared" si="49"/>
        <v>-709308.0833333335</v>
      </c>
      <c r="T252" s="13">
        <f t="shared" si="39"/>
        <v>0</v>
      </c>
      <c r="U252" s="14">
        <f t="shared" si="40"/>
        <v>-7953.06</v>
      </c>
      <c r="V252" s="12"/>
    </row>
    <row r="253" spans="1:22" ht="15.75">
      <c r="A253" s="304">
        <v>40209</v>
      </c>
      <c r="B253" s="6" t="s">
        <v>92</v>
      </c>
      <c r="C253" s="53"/>
      <c r="D253" s="344"/>
      <c r="E253" s="46"/>
      <c r="F253" s="231"/>
      <c r="G253" s="39"/>
      <c r="H253" s="13"/>
      <c r="I253" s="14">
        <f t="shared" si="47"/>
        <v>688655.1483119299</v>
      </c>
      <c r="J253" s="25"/>
      <c r="K253" s="14">
        <f t="shared" si="48"/>
        <v>20652.935021403544</v>
      </c>
      <c r="L253" s="13">
        <f>+ROUND(K252*$F$312*(A253-A250)/365,2)</f>
        <v>9.65</v>
      </c>
      <c r="M253" s="308">
        <f t="shared" si="42"/>
        <v>7962.71</v>
      </c>
      <c r="N253" s="39"/>
      <c r="O253" s="13">
        <f t="shared" si="45"/>
        <v>0</v>
      </c>
      <c r="P253" s="14">
        <f t="shared" si="43"/>
        <v>-688655.1483119299</v>
      </c>
      <c r="Q253" s="13">
        <f t="shared" si="46"/>
        <v>0</v>
      </c>
      <c r="R253" s="14">
        <f t="shared" si="44"/>
        <v>-20652.935021403544</v>
      </c>
      <c r="S253" s="14">
        <f t="shared" si="49"/>
        <v>-709308.0833333335</v>
      </c>
      <c r="T253" s="13">
        <f t="shared" si="39"/>
        <v>-9.65</v>
      </c>
      <c r="U253" s="14">
        <f t="shared" si="40"/>
        <v>-7962.71</v>
      </c>
      <c r="V253" s="12"/>
    </row>
    <row r="254" spans="1:22" ht="15.75">
      <c r="A254" s="304">
        <v>40237</v>
      </c>
      <c r="B254" s="6" t="s">
        <v>92</v>
      </c>
      <c r="C254" s="53"/>
      <c r="D254" s="344"/>
      <c r="E254" s="46"/>
      <c r="F254" s="231"/>
      <c r="G254" s="39"/>
      <c r="H254" s="13"/>
      <c r="I254" s="14">
        <f t="shared" si="47"/>
        <v>688655.1483119299</v>
      </c>
      <c r="J254" s="25"/>
      <c r="K254" s="14">
        <f t="shared" si="48"/>
        <v>20652.935021403544</v>
      </c>
      <c r="L254" s="13">
        <f>+ROUND(K253*$F$312*(A254-A253)/365,2)</f>
        <v>8.71</v>
      </c>
      <c r="M254" s="308">
        <f t="shared" si="42"/>
        <v>7971.42</v>
      </c>
      <c r="N254" s="39"/>
      <c r="O254" s="13">
        <f t="shared" si="45"/>
        <v>0</v>
      </c>
      <c r="P254" s="14">
        <f t="shared" si="43"/>
        <v>-688655.1483119299</v>
      </c>
      <c r="Q254" s="13">
        <f t="shared" si="46"/>
        <v>0</v>
      </c>
      <c r="R254" s="14">
        <f t="shared" si="44"/>
        <v>-20652.935021403544</v>
      </c>
      <c r="S254" s="14">
        <f t="shared" si="49"/>
        <v>-709308.0833333335</v>
      </c>
      <c r="T254" s="13">
        <f t="shared" si="39"/>
        <v>-8.71</v>
      </c>
      <c r="U254" s="14">
        <f t="shared" si="40"/>
        <v>-7971.42</v>
      </c>
      <c r="V254" s="12"/>
    </row>
    <row r="255" spans="1:22" ht="15.75">
      <c r="A255" s="315">
        <v>40268</v>
      </c>
      <c r="B255" s="316" t="s">
        <v>92</v>
      </c>
      <c r="C255" s="318"/>
      <c r="D255" s="347"/>
      <c r="E255" s="317"/>
      <c r="F255" s="321"/>
      <c r="G255" s="39"/>
      <c r="H255" s="319"/>
      <c r="I255" s="320">
        <f t="shared" si="47"/>
        <v>688655.1483119299</v>
      </c>
      <c r="J255" s="337"/>
      <c r="K255" s="320">
        <f t="shared" si="48"/>
        <v>20652.935021403544</v>
      </c>
      <c r="L255" s="319">
        <f>+ROUND(K254*$F$312*(A255-A254)/365,2)</f>
        <v>9.65</v>
      </c>
      <c r="M255" s="332">
        <f t="shared" si="42"/>
        <v>7981.07</v>
      </c>
      <c r="N255" s="39"/>
      <c r="O255" s="319">
        <f t="shared" si="45"/>
        <v>0</v>
      </c>
      <c r="P255" s="320">
        <f t="shared" si="43"/>
        <v>-688655.1483119299</v>
      </c>
      <c r="Q255" s="319">
        <f t="shared" si="46"/>
        <v>0</v>
      </c>
      <c r="R255" s="320">
        <f t="shared" si="44"/>
        <v>-20652.935021403544</v>
      </c>
      <c r="S255" s="320">
        <f t="shared" si="49"/>
        <v>-709308.0833333335</v>
      </c>
      <c r="T255" s="319">
        <f t="shared" si="39"/>
        <v>-9.65</v>
      </c>
      <c r="U255" s="320">
        <f t="shared" si="40"/>
        <v>-7981.07</v>
      </c>
      <c r="V255" s="12"/>
    </row>
    <row r="256" spans="1:22" ht="15.75">
      <c r="A256" s="304">
        <v>40298</v>
      </c>
      <c r="B256" s="6" t="s">
        <v>92</v>
      </c>
      <c r="C256" s="53"/>
      <c r="D256" s="344"/>
      <c r="E256" s="46"/>
      <c r="F256" s="231"/>
      <c r="G256" s="39"/>
      <c r="H256" s="13"/>
      <c r="I256" s="14">
        <f t="shared" si="47"/>
        <v>688655.1483119299</v>
      </c>
      <c r="J256" s="25"/>
      <c r="K256" s="14">
        <f t="shared" si="48"/>
        <v>20652.935021403544</v>
      </c>
      <c r="L256" s="13">
        <f>+ROUND(K255*$F$312*(A256-A255)/365,2)</f>
        <v>9.34</v>
      </c>
      <c r="M256" s="308">
        <f t="shared" si="42"/>
        <v>7990.41</v>
      </c>
      <c r="N256" s="39"/>
      <c r="O256" s="13">
        <f t="shared" si="45"/>
        <v>0</v>
      </c>
      <c r="P256" s="14">
        <f t="shared" si="43"/>
        <v>-688655.1483119299</v>
      </c>
      <c r="Q256" s="13">
        <f t="shared" si="46"/>
        <v>0</v>
      </c>
      <c r="R256" s="14">
        <f t="shared" si="44"/>
        <v>-20652.935021403544</v>
      </c>
      <c r="S256" s="14">
        <f t="shared" si="49"/>
        <v>-709308.0833333335</v>
      </c>
      <c r="T256" s="13">
        <f t="shared" si="39"/>
        <v>-9.34</v>
      </c>
      <c r="U256" s="14">
        <f t="shared" si="40"/>
        <v>-7990.41</v>
      </c>
      <c r="V256" s="12"/>
    </row>
    <row r="257" spans="1:22" ht="15.75">
      <c r="A257" s="304">
        <v>40329</v>
      </c>
      <c r="B257" s="6" t="s">
        <v>92</v>
      </c>
      <c r="C257" s="53"/>
      <c r="D257" s="344"/>
      <c r="E257" s="46"/>
      <c r="F257" s="231"/>
      <c r="G257" s="39"/>
      <c r="H257" s="13"/>
      <c r="I257" s="14">
        <f t="shared" si="47"/>
        <v>688655.1483119299</v>
      </c>
      <c r="J257" s="25"/>
      <c r="K257" s="14">
        <f t="shared" si="48"/>
        <v>20652.935021403544</v>
      </c>
      <c r="L257" s="13">
        <f>+ROUND(K256*$F$312*(A257-A256)/365,2)</f>
        <v>9.65</v>
      </c>
      <c r="M257" s="308">
        <f t="shared" si="42"/>
        <v>8000.0599999999995</v>
      </c>
      <c r="N257" s="39"/>
      <c r="O257" s="13">
        <f t="shared" si="45"/>
        <v>0</v>
      </c>
      <c r="P257" s="14">
        <f t="shared" si="43"/>
        <v>-688655.1483119299</v>
      </c>
      <c r="Q257" s="13">
        <f t="shared" si="46"/>
        <v>0</v>
      </c>
      <c r="R257" s="14">
        <f t="shared" si="44"/>
        <v>-20652.935021403544</v>
      </c>
      <c r="S257" s="14">
        <f t="shared" si="49"/>
        <v>-709308.0833333335</v>
      </c>
      <c r="T257" s="13">
        <f t="shared" si="39"/>
        <v>-9.65</v>
      </c>
      <c r="U257" s="14">
        <f t="shared" si="40"/>
        <v>-8000.0599999999995</v>
      </c>
      <c r="V257" s="12"/>
    </row>
    <row r="258" spans="1:22" ht="15.75">
      <c r="A258" s="315">
        <v>40359</v>
      </c>
      <c r="B258" s="316" t="s">
        <v>92</v>
      </c>
      <c r="C258" s="318"/>
      <c r="D258" s="347"/>
      <c r="E258" s="317"/>
      <c r="F258" s="321"/>
      <c r="G258" s="39"/>
      <c r="H258" s="319"/>
      <c r="I258" s="320">
        <f t="shared" si="47"/>
        <v>688655.1483119299</v>
      </c>
      <c r="J258" s="337"/>
      <c r="K258" s="320">
        <f t="shared" si="48"/>
        <v>20652.935021403544</v>
      </c>
      <c r="L258" s="319">
        <f>+ROUND(K257*$F$312*(A258-A257)/365,2)</f>
        <v>9.34</v>
      </c>
      <c r="M258" s="332">
        <f t="shared" si="42"/>
        <v>8009.4</v>
      </c>
      <c r="N258" s="39"/>
      <c r="O258" s="319">
        <f t="shared" si="45"/>
        <v>0</v>
      </c>
      <c r="P258" s="320">
        <f t="shared" si="43"/>
        <v>-688655.1483119299</v>
      </c>
      <c r="Q258" s="319">
        <f t="shared" si="46"/>
        <v>0</v>
      </c>
      <c r="R258" s="320">
        <f t="shared" si="44"/>
        <v>-20652.935021403544</v>
      </c>
      <c r="S258" s="320">
        <f t="shared" si="49"/>
        <v>-709308.0833333335</v>
      </c>
      <c r="T258" s="319">
        <f t="shared" si="39"/>
        <v>-9.34</v>
      </c>
      <c r="U258" s="320">
        <f t="shared" si="40"/>
        <v>-8009.4</v>
      </c>
      <c r="V258" s="12"/>
    </row>
    <row r="259" spans="1:22" ht="15.75">
      <c r="A259" s="304">
        <v>40390</v>
      </c>
      <c r="B259" s="6" t="s">
        <v>92</v>
      </c>
      <c r="C259" s="53"/>
      <c r="D259" s="344"/>
      <c r="E259" s="46"/>
      <c r="F259" s="231"/>
      <c r="G259" s="39"/>
      <c r="H259" s="13"/>
      <c r="I259" s="14">
        <f t="shared" si="47"/>
        <v>688655.1483119299</v>
      </c>
      <c r="J259" s="25"/>
      <c r="K259" s="14">
        <f t="shared" si="48"/>
        <v>20652.935021403544</v>
      </c>
      <c r="L259" s="13">
        <f>+ROUND(K258*$F$313*(A259-A258)/365,2)</f>
        <v>15.61</v>
      </c>
      <c r="M259" s="308">
        <f t="shared" si="42"/>
        <v>8025.009999999999</v>
      </c>
      <c r="N259" s="39"/>
      <c r="O259" s="13">
        <f t="shared" si="45"/>
        <v>0</v>
      </c>
      <c r="P259" s="14">
        <f t="shared" si="43"/>
        <v>-688655.1483119299</v>
      </c>
      <c r="Q259" s="13">
        <f t="shared" si="46"/>
        <v>0</v>
      </c>
      <c r="R259" s="14">
        <f t="shared" si="44"/>
        <v>-20652.935021403544</v>
      </c>
      <c r="S259" s="14">
        <f t="shared" si="49"/>
        <v>-709308.0833333335</v>
      </c>
      <c r="T259" s="13">
        <f t="shared" si="39"/>
        <v>-15.61</v>
      </c>
      <c r="U259" s="14">
        <f t="shared" si="40"/>
        <v>-8025.009999999999</v>
      </c>
      <c r="V259" s="12"/>
    </row>
    <row r="260" spans="1:22" ht="15.75">
      <c r="A260" s="304">
        <v>40421</v>
      </c>
      <c r="B260" s="6" t="s">
        <v>92</v>
      </c>
      <c r="C260" s="53"/>
      <c r="D260" s="344"/>
      <c r="E260" s="46"/>
      <c r="F260" s="231"/>
      <c r="G260" s="39"/>
      <c r="H260" s="13"/>
      <c r="I260" s="14">
        <f t="shared" si="47"/>
        <v>688655.1483119299</v>
      </c>
      <c r="J260" s="25"/>
      <c r="K260" s="14">
        <f t="shared" si="48"/>
        <v>20652.935021403544</v>
      </c>
      <c r="L260" s="13">
        <f>+ROUND(K259*$F$313*(A260-A259)/365,2)</f>
        <v>15.61</v>
      </c>
      <c r="M260" s="308">
        <f t="shared" si="42"/>
        <v>8040.619999999999</v>
      </c>
      <c r="N260" s="39"/>
      <c r="O260" s="13">
        <f t="shared" si="45"/>
        <v>0</v>
      </c>
      <c r="P260" s="14">
        <f t="shared" si="43"/>
        <v>-688655.1483119299</v>
      </c>
      <c r="Q260" s="13">
        <f t="shared" si="46"/>
        <v>0</v>
      </c>
      <c r="R260" s="14">
        <f t="shared" si="44"/>
        <v>-20652.935021403544</v>
      </c>
      <c r="S260" s="14">
        <f t="shared" si="49"/>
        <v>-709308.0833333335</v>
      </c>
      <c r="T260" s="13">
        <f t="shared" si="39"/>
        <v>-15.61</v>
      </c>
      <c r="U260" s="14">
        <f t="shared" si="40"/>
        <v>-8040.619999999999</v>
      </c>
      <c r="V260" s="12"/>
    </row>
    <row r="261" spans="1:22" ht="15.75">
      <c r="A261" s="315">
        <v>40451</v>
      </c>
      <c r="B261" s="316" t="s">
        <v>92</v>
      </c>
      <c r="C261" s="318"/>
      <c r="D261" s="347"/>
      <c r="E261" s="317"/>
      <c r="F261" s="321"/>
      <c r="G261" s="39"/>
      <c r="H261" s="319"/>
      <c r="I261" s="320">
        <f t="shared" si="47"/>
        <v>688655.1483119299</v>
      </c>
      <c r="J261" s="337"/>
      <c r="K261" s="320">
        <f t="shared" si="48"/>
        <v>20652.935021403544</v>
      </c>
      <c r="L261" s="319">
        <f>+ROUND(K260*$F$313*(A261-A260)/365,2)</f>
        <v>15.11</v>
      </c>
      <c r="M261" s="332">
        <f t="shared" si="42"/>
        <v>8055.729999999999</v>
      </c>
      <c r="N261" s="39"/>
      <c r="O261" s="319">
        <f t="shared" si="45"/>
        <v>0</v>
      </c>
      <c r="P261" s="320">
        <f t="shared" si="43"/>
        <v>-688655.1483119299</v>
      </c>
      <c r="Q261" s="319">
        <f t="shared" si="46"/>
        <v>0</v>
      </c>
      <c r="R261" s="320">
        <f t="shared" si="44"/>
        <v>-20652.935021403544</v>
      </c>
      <c r="S261" s="320">
        <f t="shared" si="49"/>
        <v>-709308.0833333335</v>
      </c>
      <c r="T261" s="319">
        <f t="shared" si="39"/>
        <v>-15.11</v>
      </c>
      <c r="U261" s="320">
        <f t="shared" si="40"/>
        <v>-8055.729999999999</v>
      </c>
      <c r="V261" s="12"/>
    </row>
    <row r="262" spans="1:22" ht="15.75">
      <c r="A262" s="304">
        <v>40482</v>
      </c>
      <c r="B262" s="6" t="s">
        <v>92</v>
      </c>
      <c r="C262" s="53"/>
      <c r="D262" s="344"/>
      <c r="E262" s="46"/>
      <c r="F262" s="231"/>
      <c r="G262" s="39"/>
      <c r="H262" s="13"/>
      <c r="I262" s="14">
        <f t="shared" si="47"/>
        <v>688655.1483119299</v>
      </c>
      <c r="J262" s="25"/>
      <c r="K262" s="14">
        <f t="shared" si="48"/>
        <v>20652.935021403544</v>
      </c>
      <c r="L262" s="13">
        <f>+ROUND(K261*$F$314*(A262-A261)/365,2)</f>
        <v>21.05</v>
      </c>
      <c r="M262" s="308">
        <f t="shared" si="42"/>
        <v>8076.779999999999</v>
      </c>
      <c r="N262" s="39"/>
      <c r="O262" s="13">
        <f t="shared" si="45"/>
        <v>0</v>
      </c>
      <c r="P262" s="14">
        <f t="shared" si="43"/>
        <v>-688655.1483119299</v>
      </c>
      <c r="Q262" s="13">
        <f t="shared" si="46"/>
        <v>0</v>
      </c>
      <c r="R262" s="14">
        <f t="shared" si="44"/>
        <v>-20652.935021403544</v>
      </c>
      <c r="S262" s="14">
        <f t="shared" si="49"/>
        <v>-709308.0833333335</v>
      </c>
      <c r="T262" s="13">
        <f t="shared" si="39"/>
        <v>-21.05</v>
      </c>
      <c r="U262" s="14">
        <f t="shared" si="40"/>
        <v>-8076.779999999999</v>
      </c>
      <c r="V262" s="12"/>
    </row>
    <row r="263" spans="1:22" ht="15.75">
      <c r="A263" s="304">
        <v>40512</v>
      </c>
      <c r="B263" s="6" t="s">
        <v>92</v>
      </c>
      <c r="C263" s="53"/>
      <c r="D263" s="344"/>
      <c r="E263" s="46"/>
      <c r="F263" s="231"/>
      <c r="G263" s="39"/>
      <c r="H263" s="13"/>
      <c r="I263" s="14">
        <f t="shared" si="47"/>
        <v>688655.1483119299</v>
      </c>
      <c r="J263" s="25"/>
      <c r="K263" s="14">
        <f t="shared" si="48"/>
        <v>20652.935021403544</v>
      </c>
      <c r="L263" s="13">
        <f>+ROUND(K262*$F$314*(A263-A262)/365,2)</f>
        <v>20.37</v>
      </c>
      <c r="M263" s="308">
        <f t="shared" si="42"/>
        <v>8097.149999999999</v>
      </c>
      <c r="N263" s="39"/>
      <c r="O263" s="13">
        <f t="shared" si="45"/>
        <v>0</v>
      </c>
      <c r="P263" s="14">
        <f t="shared" si="43"/>
        <v>-688655.1483119299</v>
      </c>
      <c r="Q263" s="13">
        <f t="shared" si="46"/>
        <v>0</v>
      </c>
      <c r="R263" s="14">
        <f t="shared" si="44"/>
        <v>-20652.935021403544</v>
      </c>
      <c r="S263" s="14">
        <f t="shared" si="49"/>
        <v>-709308.0833333335</v>
      </c>
      <c r="T263" s="13">
        <f t="shared" si="39"/>
        <v>-20.37</v>
      </c>
      <c r="U263" s="14">
        <f t="shared" si="40"/>
        <v>-8097.149999999999</v>
      </c>
      <c r="V263" s="12"/>
    </row>
    <row r="264" spans="1:22" ht="15.75">
      <c r="A264" s="304">
        <v>40543</v>
      </c>
      <c r="B264" s="6" t="s">
        <v>92</v>
      </c>
      <c r="C264" s="53"/>
      <c r="D264" s="344"/>
      <c r="E264" s="46"/>
      <c r="F264" s="235"/>
      <c r="G264" s="39"/>
      <c r="H264" s="13"/>
      <c r="I264" s="14">
        <f t="shared" si="47"/>
        <v>688655.1483119299</v>
      </c>
      <c r="J264" s="25"/>
      <c r="K264" s="14">
        <f t="shared" si="48"/>
        <v>20652.935021403544</v>
      </c>
      <c r="L264" s="13">
        <f>+ROUND(K263*$F$314*(A264-A263)/365,2)</f>
        <v>21.05</v>
      </c>
      <c r="M264" s="308">
        <f t="shared" si="42"/>
        <v>8118.199999999999</v>
      </c>
      <c r="N264" s="39"/>
      <c r="O264" s="13">
        <f t="shared" si="45"/>
        <v>0</v>
      </c>
      <c r="P264" s="14">
        <f t="shared" si="43"/>
        <v>-688655.1483119299</v>
      </c>
      <c r="Q264" s="13">
        <f t="shared" si="46"/>
        <v>0</v>
      </c>
      <c r="R264" s="14">
        <f t="shared" si="44"/>
        <v>-20652.935021403544</v>
      </c>
      <c r="S264" s="14">
        <f t="shared" si="49"/>
        <v>-709308.0833333335</v>
      </c>
      <c r="T264" s="13">
        <f t="shared" si="39"/>
        <v>-21.05</v>
      </c>
      <c r="U264" s="14">
        <f t="shared" si="40"/>
        <v>-8118.199999999999</v>
      </c>
      <c r="V264" s="12"/>
    </row>
    <row r="265" spans="1:22" ht="15.75">
      <c r="A265" s="322"/>
      <c r="B265" s="334"/>
      <c r="C265" s="339"/>
      <c r="D265" s="350"/>
      <c r="E265" s="338"/>
      <c r="F265" s="342">
        <f>+M265-M251</f>
        <v>165.1399999999985</v>
      </c>
      <c r="G265" s="39"/>
      <c r="H265" s="326"/>
      <c r="I265" s="327">
        <f t="shared" si="47"/>
        <v>688655.1483119299</v>
      </c>
      <c r="J265" s="326"/>
      <c r="K265" s="327">
        <f t="shared" si="48"/>
        <v>20652.935021403544</v>
      </c>
      <c r="L265" s="343"/>
      <c r="M265" s="341">
        <f t="shared" si="42"/>
        <v>8118.199999999999</v>
      </c>
      <c r="N265" s="39"/>
      <c r="O265" s="326">
        <f t="shared" si="45"/>
        <v>0</v>
      </c>
      <c r="P265" s="327">
        <f t="shared" si="43"/>
        <v>-688655.1483119299</v>
      </c>
      <c r="Q265" s="326">
        <f t="shared" si="46"/>
        <v>0</v>
      </c>
      <c r="R265" s="327">
        <f t="shared" si="44"/>
        <v>-20652.935021403544</v>
      </c>
      <c r="S265" s="327">
        <f t="shared" si="49"/>
        <v>-709308.0833333335</v>
      </c>
      <c r="T265" s="326">
        <f aca="true" t="shared" si="53" ref="T265:T285">-L265</f>
        <v>0</v>
      </c>
      <c r="U265" s="327">
        <f aca="true" t="shared" si="54" ref="U265:U285">+U264+T265</f>
        <v>-8118.199999999999</v>
      </c>
      <c r="V265" s="12"/>
    </row>
    <row r="266" spans="1:22" ht="15.75">
      <c r="A266" s="305" t="s">
        <v>158</v>
      </c>
      <c r="B266" s="6"/>
      <c r="C266" s="53"/>
      <c r="D266" s="344"/>
      <c r="E266" s="46"/>
      <c r="F266" s="231"/>
      <c r="G266" s="39"/>
      <c r="H266" s="13"/>
      <c r="I266" s="14">
        <f t="shared" si="47"/>
        <v>688655.1483119299</v>
      </c>
      <c r="J266" s="25"/>
      <c r="K266" s="14">
        <f t="shared" si="48"/>
        <v>20652.935021403544</v>
      </c>
      <c r="L266" s="311"/>
      <c r="M266" s="308">
        <f aca="true" t="shared" si="55" ref="M266:M285">+M265+L266</f>
        <v>8118.199999999999</v>
      </c>
      <c r="N266" s="39"/>
      <c r="O266" s="13">
        <f t="shared" si="45"/>
        <v>0</v>
      </c>
      <c r="P266" s="14">
        <f aca="true" t="shared" si="56" ref="P266:P285">+P265+O266</f>
        <v>-688655.1483119299</v>
      </c>
      <c r="Q266" s="13">
        <f t="shared" si="46"/>
        <v>0</v>
      </c>
      <c r="R266" s="14">
        <f aca="true" t="shared" si="57" ref="R266:R285">+R265+Q266</f>
        <v>-20652.935021403544</v>
      </c>
      <c r="S266" s="14">
        <f t="shared" si="49"/>
        <v>-709308.0833333335</v>
      </c>
      <c r="T266" s="13">
        <f t="shared" si="53"/>
        <v>0</v>
      </c>
      <c r="U266" s="14">
        <f t="shared" si="54"/>
        <v>-8118.199999999999</v>
      </c>
      <c r="V266" s="12"/>
    </row>
    <row r="267" spans="1:22" ht="15.75">
      <c r="A267" s="304">
        <v>40574</v>
      </c>
      <c r="B267" s="6" t="s">
        <v>92</v>
      </c>
      <c r="C267" s="53"/>
      <c r="D267" s="344"/>
      <c r="E267" s="46"/>
      <c r="F267" s="231"/>
      <c r="G267" s="39"/>
      <c r="H267" s="13"/>
      <c r="I267" s="14">
        <f t="shared" si="47"/>
        <v>688655.1483119299</v>
      </c>
      <c r="J267" s="25"/>
      <c r="K267" s="14">
        <f t="shared" si="48"/>
        <v>20652.935021403544</v>
      </c>
      <c r="L267" s="13">
        <f>+ROUND(K266*$F$315*(A267-A264)/365,2)</f>
        <v>25.79</v>
      </c>
      <c r="M267" s="308">
        <f t="shared" si="55"/>
        <v>8143.989999999999</v>
      </c>
      <c r="N267" s="39"/>
      <c r="O267" s="13">
        <f t="shared" si="45"/>
        <v>0</v>
      </c>
      <c r="P267" s="14">
        <f t="shared" si="56"/>
        <v>-688655.1483119299</v>
      </c>
      <c r="Q267" s="13">
        <f t="shared" si="46"/>
        <v>0</v>
      </c>
      <c r="R267" s="14">
        <f t="shared" si="57"/>
        <v>-20652.935021403544</v>
      </c>
      <c r="S267" s="14">
        <f t="shared" si="49"/>
        <v>-709308.0833333335</v>
      </c>
      <c r="T267" s="13">
        <f t="shared" si="53"/>
        <v>-25.79</v>
      </c>
      <c r="U267" s="14">
        <f t="shared" si="54"/>
        <v>-8143.989999999999</v>
      </c>
      <c r="V267" s="12"/>
    </row>
    <row r="268" spans="1:22" ht="15.75">
      <c r="A268" s="304">
        <v>40602</v>
      </c>
      <c r="B268" s="6" t="s">
        <v>92</v>
      </c>
      <c r="C268" s="53"/>
      <c r="D268" s="344"/>
      <c r="E268" s="46"/>
      <c r="F268" s="231"/>
      <c r="G268" s="39"/>
      <c r="H268" s="13"/>
      <c r="I268" s="14">
        <f t="shared" si="47"/>
        <v>688655.1483119299</v>
      </c>
      <c r="J268" s="25"/>
      <c r="K268" s="14">
        <f t="shared" si="48"/>
        <v>20652.935021403544</v>
      </c>
      <c r="L268" s="13">
        <f aca="true" t="shared" si="58" ref="L268:L278">+ROUND(K267*$F$315*(A268-A267)/365,2)</f>
        <v>23.29</v>
      </c>
      <c r="M268" s="308">
        <f t="shared" si="55"/>
        <v>8167.279999999999</v>
      </c>
      <c r="N268" s="39"/>
      <c r="O268" s="13">
        <f aca="true" t="shared" si="59" ref="O268:O285">-H268</f>
        <v>0</v>
      </c>
      <c r="P268" s="14">
        <f t="shared" si="56"/>
        <v>-688655.1483119299</v>
      </c>
      <c r="Q268" s="13">
        <f aca="true" t="shared" si="60" ref="Q268:Q285">-J268</f>
        <v>0</v>
      </c>
      <c r="R268" s="14">
        <f t="shared" si="57"/>
        <v>-20652.935021403544</v>
      </c>
      <c r="S268" s="14">
        <f t="shared" si="49"/>
        <v>-709308.0833333335</v>
      </c>
      <c r="T268" s="13">
        <f t="shared" si="53"/>
        <v>-23.29</v>
      </c>
      <c r="U268" s="14">
        <f t="shared" si="54"/>
        <v>-8167.279999999999</v>
      </c>
      <c r="V268" s="12"/>
    </row>
    <row r="269" spans="1:22" ht="15.75">
      <c r="A269" s="315">
        <v>40633</v>
      </c>
      <c r="B269" s="316" t="s">
        <v>92</v>
      </c>
      <c r="C269" s="318"/>
      <c r="D269" s="347"/>
      <c r="E269" s="317"/>
      <c r="F269" s="321"/>
      <c r="G269" s="39"/>
      <c r="H269" s="319"/>
      <c r="I269" s="320">
        <f aca="true" t="shared" si="61" ref="I269:I285">+I268+H269</f>
        <v>688655.1483119299</v>
      </c>
      <c r="J269" s="337"/>
      <c r="K269" s="320">
        <f aca="true" t="shared" si="62" ref="K269:K285">+K268+J269</f>
        <v>20652.935021403544</v>
      </c>
      <c r="L269" s="319">
        <f t="shared" si="58"/>
        <v>25.79</v>
      </c>
      <c r="M269" s="332">
        <f t="shared" si="55"/>
        <v>8193.07</v>
      </c>
      <c r="N269" s="39"/>
      <c r="O269" s="319">
        <f t="shared" si="59"/>
        <v>0</v>
      </c>
      <c r="P269" s="320">
        <f t="shared" si="56"/>
        <v>-688655.1483119299</v>
      </c>
      <c r="Q269" s="319">
        <f t="shared" si="60"/>
        <v>0</v>
      </c>
      <c r="R269" s="320">
        <f t="shared" si="57"/>
        <v>-20652.935021403544</v>
      </c>
      <c r="S269" s="320">
        <f aca="true" t="shared" si="63" ref="S269:S285">+R269+P269</f>
        <v>-709308.0833333335</v>
      </c>
      <c r="T269" s="319">
        <f t="shared" si="53"/>
        <v>-25.79</v>
      </c>
      <c r="U269" s="320">
        <f t="shared" si="54"/>
        <v>-8193.07</v>
      </c>
      <c r="V269" s="12"/>
    </row>
    <row r="270" spans="1:22" ht="15.75">
      <c r="A270" s="304">
        <v>40663</v>
      </c>
      <c r="B270" s="6" t="s">
        <v>92</v>
      </c>
      <c r="C270" s="53"/>
      <c r="D270" s="344"/>
      <c r="E270" s="46"/>
      <c r="F270" s="231"/>
      <c r="G270" s="39"/>
      <c r="H270" s="13"/>
      <c r="I270" s="14">
        <f t="shared" si="61"/>
        <v>688655.1483119299</v>
      </c>
      <c r="J270" s="25"/>
      <c r="K270" s="14">
        <f t="shared" si="62"/>
        <v>20652.935021403544</v>
      </c>
      <c r="L270" s="13">
        <f t="shared" si="58"/>
        <v>24.95</v>
      </c>
      <c r="M270" s="308">
        <f t="shared" si="55"/>
        <v>8218.02</v>
      </c>
      <c r="N270" s="39"/>
      <c r="O270" s="13">
        <f t="shared" si="59"/>
        <v>0</v>
      </c>
      <c r="P270" s="14">
        <f t="shared" si="56"/>
        <v>-688655.1483119299</v>
      </c>
      <c r="Q270" s="13">
        <f t="shared" si="60"/>
        <v>0</v>
      </c>
      <c r="R270" s="14">
        <f t="shared" si="57"/>
        <v>-20652.935021403544</v>
      </c>
      <c r="S270" s="14">
        <f t="shared" si="63"/>
        <v>-709308.0833333335</v>
      </c>
      <c r="T270" s="13">
        <f t="shared" si="53"/>
        <v>-24.95</v>
      </c>
      <c r="U270" s="14">
        <f t="shared" si="54"/>
        <v>-8218.02</v>
      </c>
      <c r="V270" s="12"/>
    </row>
    <row r="271" spans="1:22" ht="15.75">
      <c r="A271" s="304">
        <v>40694</v>
      </c>
      <c r="B271" s="6" t="s">
        <v>92</v>
      </c>
      <c r="C271" s="53"/>
      <c r="D271" s="344"/>
      <c r="E271" s="46"/>
      <c r="F271" s="231"/>
      <c r="G271" s="39"/>
      <c r="H271" s="13"/>
      <c r="I271" s="14">
        <f t="shared" si="61"/>
        <v>688655.1483119299</v>
      </c>
      <c r="J271" s="25"/>
      <c r="K271" s="14">
        <f t="shared" si="62"/>
        <v>20652.935021403544</v>
      </c>
      <c r="L271" s="13">
        <f t="shared" si="58"/>
        <v>25.79</v>
      </c>
      <c r="M271" s="308">
        <f t="shared" si="55"/>
        <v>8243.810000000001</v>
      </c>
      <c r="N271" s="39"/>
      <c r="O271" s="13">
        <f t="shared" si="59"/>
        <v>0</v>
      </c>
      <c r="P271" s="14">
        <f t="shared" si="56"/>
        <v>-688655.1483119299</v>
      </c>
      <c r="Q271" s="13">
        <f t="shared" si="60"/>
        <v>0</v>
      </c>
      <c r="R271" s="14">
        <f t="shared" si="57"/>
        <v>-20652.935021403544</v>
      </c>
      <c r="S271" s="14">
        <f t="shared" si="63"/>
        <v>-709308.0833333335</v>
      </c>
      <c r="T271" s="13">
        <f t="shared" si="53"/>
        <v>-25.79</v>
      </c>
      <c r="U271" s="14">
        <f t="shared" si="54"/>
        <v>-8243.810000000001</v>
      </c>
      <c r="V271" s="12"/>
    </row>
    <row r="272" spans="1:22" ht="15.75">
      <c r="A272" s="315">
        <v>40724</v>
      </c>
      <c r="B272" s="316" t="s">
        <v>92</v>
      </c>
      <c r="C272" s="318"/>
      <c r="D272" s="347"/>
      <c r="E272" s="317"/>
      <c r="F272" s="321"/>
      <c r="G272" s="39"/>
      <c r="H272" s="319"/>
      <c r="I272" s="320">
        <f t="shared" si="61"/>
        <v>688655.1483119299</v>
      </c>
      <c r="J272" s="337"/>
      <c r="K272" s="320">
        <f t="shared" si="62"/>
        <v>20652.935021403544</v>
      </c>
      <c r="L272" s="319">
        <f t="shared" si="58"/>
        <v>24.95</v>
      </c>
      <c r="M272" s="332">
        <f t="shared" si="55"/>
        <v>8268.760000000002</v>
      </c>
      <c r="N272" s="39"/>
      <c r="O272" s="319">
        <f t="shared" si="59"/>
        <v>0</v>
      </c>
      <c r="P272" s="320">
        <f t="shared" si="56"/>
        <v>-688655.1483119299</v>
      </c>
      <c r="Q272" s="319">
        <f t="shared" si="60"/>
        <v>0</v>
      </c>
      <c r="R272" s="320">
        <f t="shared" si="57"/>
        <v>-20652.935021403544</v>
      </c>
      <c r="S272" s="320">
        <f t="shared" si="63"/>
        <v>-709308.0833333335</v>
      </c>
      <c r="T272" s="319">
        <f t="shared" si="53"/>
        <v>-24.95</v>
      </c>
      <c r="U272" s="320">
        <f t="shared" si="54"/>
        <v>-8268.760000000002</v>
      </c>
      <c r="V272" s="12"/>
    </row>
    <row r="273" spans="1:22" ht="15.75">
      <c r="A273" s="304">
        <v>40755</v>
      </c>
      <c r="B273" s="6" t="s">
        <v>92</v>
      </c>
      <c r="C273" s="53"/>
      <c r="D273" s="344"/>
      <c r="E273" s="46"/>
      <c r="F273" s="231"/>
      <c r="G273" s="39"/>
      <c r="H273" s="13"/>
      <c r="I273" s="14">
        <f t="shared" si="61"/>
        <v>688655.1483119299</v>
      </c>
      <c r="J273" s="25"/>
      <c r="K273" s="14">
        <f t="shared" si="62"/>
        <v>20652.935021403544</v>
      </c>
      <c r="L273" s="13">
        <f t="shared" si="58"/>
        <v>25.79</v>
      </c>
      <c r="M273" s="308">
        <f t="shared" si="55"/>
        <v>8294.550000000003</v>
      </c>
      <c r="N273" s="39"/>
      <c r="O273" s="13">
        <f t="shared" si="59"/>
        <v>0</v>
      </c>
      <c r="P273" s="14">
        <f t="shared" si="56"/>
        <v>-688655.1483119299</v>
      </c>
      <c r="Q273" s="13">
        <f t="shared" si="60"/>
        <v>0</v>
      </c>
      <c r="R273" s="14">
        <f t="shared" si="57"/>
        <v>-20652.935021403544</v>
      </c>
      <c r="S273" s="14">
        <f t="shared" si="63"/>
        <v>-709308.0833333335</v>
      </c>
      <c r="T273" s="13">
        <f t="shared" si="53"/>
        <v>-25.79</v>
      </c>
      <c r="U273" s="14">
        <f t="shared" si="54"/>
        <v>-8294.550000000003</v>
      </c>
      <c r="V273" s="12"/>
    </row>
    <row r="274" spans="1:22" ht="15.75">
      <c r="A274" s="304">
        <v>40786</v>
      </c>
      <c r="B274" s="6" t="s">
        <v>92</v>
      </c>
      <c r="C274" s="53"/>
      <c r="D274" s="344"/>
      <c r="E274" s="46"/>
      <c r="F274" s="231"/>
      <c r="G274" s="39"/>
      <c r="H274" s="13"/>
      <c r="I274" s="14">
        <f t="shared" si="61"/>
        <v>688655.1483119299</v>
      </c>
      <c r="J274" s="25"/>
      <c r="K274" s="14">
        <f t="shared" si="62"/>
        <v>20652.935021403544</v>
      </c>
      <c r="L274" s="13">
        <f t="shared" si="58"/>
        <v>25.79</v>
      </c>
      <c r="M274" s="308">
        <f t="shared" si="55"/>
        <v>8320.340000000004</v>
      </c>
      <c r="N274" s="39"/>
      <c r="O274" s="13">
        <f t="shared" si="59"/>
        <v>0</v>
      </c>
      <c r="P274" s="14">
        <f t="shared" si="56"/>
        <v>-688655.1483119299</v>
      </c>
      <c r="Q274" s="13">
        <f t="shared" si="60"/>
        <v>0</v>
      </c>
      <c r="R274" s="14">
        <f t="shared" si="57"/>
        <v>-20652.935021403544</v>
      </c>
      <c r="S274" s="14">
        <f t="shared" si="63"/>
        <v>-709308.0833333335</v>
      </c>
      <c r="T274" s="13">
        <f t="shared" si="53"/>
        <v>-25.79</v>
      </c>
      <c r="U274" s="14">
        <f t="shared" si="54"/>
        <v>-8320.340000000004</v>
      </c>
      <c r="V274" s="12"/>
    </row>
    <row r="275" spans="1:22" ht="15.75">
      <c r="A275" s="315">
        <v>40816</v>
      </c>
      <c r="B275" s="316" t="s">
        <v>92</v>
      </c>
      <c r="C275" s="318"/>
      <c r="D275" s="347"/>
      <c r="E275" s="317"/>
      <c r="F275" s="321"/>
      <c r="G275" s="39"/>
      <c r="H275" s="319"/>
      <c r="I275" s="320">
        <f t="shared" si="61"/>
        <v>688655.1483119299</v>
      </c>
      <c r="J275" s="337"/>
      <c r="K275" s="320">
        <f t="shared" si="62"/>
        <v>20652.935021403544</v>
      </c>
      <c r="L275" s="319">
        <f t="shared" si="58"/>
        <v>24.95</v>
      </c>
      <c r="M275" s="332">
        <f t="shared" si="55"/>
        <v>8345.290000000005</v>
      </c>
      <c r="N275" s="39"/>
      <c r="O275" s="319">
        <f t="shared" si="59"/>
        <v>0</v>
      </c>
      <c r="P275" s="320">
        <f t="shared" si="56"/>
        <v>-688655.1483119299</v>
      </c>
      <c r="Q275" s="319">
        <f t="shared" si="60"/>
        <v>0</v>
      </c>
      <c r="R275" s="320">
        <f t="shared" si="57"/>
        <v>-20652.935021403544</v>
      </c>
      <c r="S275" s="320">
        <f t="shared" si="63"/>
        <v>-709308.0833333335</v>
      </c>
      <c r="T275" s="319">
        <f t="shared" si="53"/>
        <v>-24.95</v>
      </c>
      <c r="U275" s="320">
        <f t="shared" si="54"/>
        <v>-8345.290000000005</v>
      </c>
      <c r="V275" s="12"/>
    </row>
    <row r="276" spans="1:22" ht="15.75">
      <c r="A276" s="304">
        <v>40847</v>
      </c>
      <c r="B276" s="6" t="s">
        <v>92</v>
      </c>
      <c r="C276" s="53"/>
      <c r="D276" s="344"/>
      <c r="E276" s="46"/>
      <c r="F276" s="231"/>
      <c r="G276" s="39"/>
      <c r="H276" s="13"/>
      <c r="I276" s="14">
        <f t="shared" si="61"/>
        <v>688655.1483119299</v>
      </c>
      <c r="J276" s="25"/>
      <c r="K276" s="14">
        <f t="shared" si="62"/>
        <v>20652.935021403544</v>
      </c>
      <c r="L276" s="13">
        <f t="shared" si="58"/>
        <v>25.79</v>
      </c>
      <c r="M276" s="308">
        <f t="shared" si="55"/>
        <v>8371.080000000005</v>
      </c>
      <c r="N276" s="39"/>
      <c r="O276" s="13">
        <f t="shared" si="59"/>
        <v>0</v>
      </c>
      <c r="P276" s="14">
        <f t="shared" si="56"/>
        <v>-688655.1483119299</v>
      </c>
      <c r="Q276" s="13">
        <f t="shared" si="60"/>
        <v>0</v>
      </c>
      <c r="R276" s="14">
        <f t="shared" si="57"/>
        <v>-20652.935021403544</v>
      </c>
      <c r="S276" s="14">
        <f t="shared" si="63"/>
        <v>-709308.0833333335</v>
      </c>
      <c r="T276" s="13">
        <f t="shared" si="53"/>
        <v>-25.79</v>
      </c>
      <c r="U276" s="14">
        <f t="shared" si="54"/>
        <v>-8371.080000000005</v>
      </c>
      <c r="V276" s="12"/>
    </row>
    <row r="277" spans="1:22" ht="15.75">
      <c r="A277" s="304">
        <v>40877</v>
      </c>
      <c r="B277" s="6" t="s">
        <v>92</v>
      </c>
      <c r="C277" s="53"/>
      <c r="D277" s="344"/>
      <c r="E277" s="46"/>
      <c r="F277" s="231"/>
      <c r="G277" s="39"/>
      <c r="H277" s="13"/>
      <c r="I277" s="14">
        <f t="shared" si="61"/>
        <v>688655.1483119299</v>
      </c>
      <c r="J277" s="25"/>
      <c r="K277" s="14">
        <f t="shared" si="62"/>
        <v>20652.935021403544</v>
      </c>
      <c r="L277" s="13">
        <f t="shared" si="58"/>
        <v>24.95</v>
      </c>
      <c r="M277" s="308">
        <f t="shared" si="55"/>
        <v>8396.030000000006</v>
      </c>
      <c r="N277" s="39"/>
      <c r="O277" s="13">
        <f t="shared" si="59"/>
        <v>0</v>
      </c>
      <c r="P277" s="14">
        <f t="shared" si="56"/>
        <v>-688655.1483119299</v>
      </c>
      <c r="Q277" s="13">
        <f t="shared" si="60"/>
        <v>0</v>
      </c>
      <c r="R277" s="14">
        <f t="shared" si="57"/>
        <v>-20652.935021403544</v>
      </c>
      <c r="S277" s="14">
        <f t="shared" si="63"/>
        <v>-709308.0833333335</v>
      </c>
      <c r="T277" s="13">
        <f t="shared" si="53"/>
        <v>-24.95</v>
      </c>
      <c r="U277" s="14">
        <f t="shared" si="54"/>
        <v>-8396.030000000006</v>
      </c>
      <c r="V277" s="12"/>
    </row>
    <row r="278" spans="1:22" ht="15.75">
      <c r="A278" s="304">
        <v>40908</v>
      </c>
      <c r="B278" s="6" t="s">
        <v>92</v>
      </c>
      <c r="C278" s="53"/>
      <c r="D278" s="344"/>
      <c r="E278" s="46"/>
      <c r="F278" s="235"/>
      <c r="G278" s="39"/>
      <c r="H278" s="13"/>
      <c r="I278" s="14">
        <f t="shared" si="61"/>
        <v>688655.1483119299</v>
      </c>
      <c r="J278" s="25"/>
      <c r="K278" s="14">
        <f t="shared" si="62"/>
        <v>20652.935021403544</v>
      </c>
      <c r="L278" s="13">
        <f t="shared" si="58"/>
        <v>25.79</v>
      </c>
      <c r="M278" s="308">
        <f t="shared" si="55"/>
        <v>8421.820000000007</v>
      </c>
      <c r="N278" s="39"/>
      <c r="O278" s="13">
        <f t="shared" si="59"/>
        <v>0</v>
      </c>
      <c r="P278" s="14">
        <f t="shared" si="56"/>
        <v>-688655.1483119299</v>
      </c>
      <c r="Q278" s="13">
        <f t="shared" si="60"/>
        <v>0</v>
      </c>
      <c r="R278" s="14">
        <f t="shared" si="57"/>
        <v>-20652.935021403544</v>
      </c>
      <c r="S278" s="14">
        <f t="shared" si="63"/>
        <v>-709308.0833333335</v>
      </c>
      <c r="T278" s="13">
        <f t="shared" si="53"/>
        <v>-25.79</v>
      </c>
      <c r="U278" s="14">
        <f t="shared" si="54"/>
        <v>-8421.820000000007</v>
      </c>
      <c r="V278" s="12"/>
    </row>
    <row r="279" spans="1:22" ht="15.75">
      <c r="A279" s="322"/>
      <c r="B279" s="334"/>
      <c r="C279" s="339"/>
      <c r="D279" s="350"/>
      <c r="E279" s="338"/>
      <c r="F279" s="342">
        <f>+M279-M265</f>
        <v>303.6200000000081</v>
      </c>
      <c r="G279" s="39"/>
      <c r="H279" s="326"/>
      <c r="I279" s="327">
        <f t="shared" si="61"/>
        <v>688655.1483119299</v>
      </c>
      <c r="J279" s="326"/>
      <c r="K279" s="327">
        <f t="shared" si="62"/>
        <v>20652.935021403544</v>
      </c>
      <c r="L279" s="343"/>
      <c r="M279" s="341">
        <f t="shared" si="55"/>
        <v>8421.820000000007</v>
      </c>
      <c r="N279" s="39"/>
      <c r="O279" s="326">
        <f t="shared" si="59"/>
        <v>0</v>
      </c>
      <c r="P279" s="327">
        <f t="shared" si="56"/>
        <v>-688655.1483119299</v>
      </c>
      <c r="Q279" s="326">
        <f t="shared" si="60"/>
        <v>0</v>
      </c>
      <c r="R279" s="327">
        <f t="shared" si="57"/>
        <v>-20652.935021403544</v>
      </c>
      <c r="S279" s="327">
        <f t="shared" si="63"/>
        <v>-709308.0833333335</v>
      </c>
      <c r="T279" s="326">
        <f t="shared" si="53"/>
        <v>0</v>
      </c>
      <c r="U279" s="327">
        <f t="shared" si="54"/>
        <v>-8421.820000000007</v>
      </c>
      <c r="V279" s="12"/>
    </row>
    <row r="280" spans="1:22" ht="15.75">
      <c r="A280" s="305" t="s">
        <v>159</v>
      </c>
      <c r="B280" s="6"/>
      <c r="C280" s="53"/>
      <c r="D280" s="344"/>
      <c r="E280" s="46"/>
      <c r="F280" s="231"/>
      <c r="G280" s="39"/>
      <c r="H280" s="13"/>
      <c r="I280" s="14">
        <f t="shared" si="61"/>
        <v>688655.1483119299</v>
      </c>
      <c r="J280" s="25"/>
      <c r="K280" s="14">
        <f t="shared" si="62"/>
        <v>20652.935021403544</v>
      </c>
      <c r="L280" s="311"/>
      <c r="M280" s="308">
        <f t="shared" si="55"/>
        <v>8421.820000000007</v>
      </c>
      <c r="N280" s="39"/>
      <c r="O280" s="13">
        <f t="shared" si="59"/>
        <v>0</v>
      </c>
      <c r="P280" s="14">
        <f t="shared" si="56"/>
        <v>-688655.1483119299</v>
      </c>
      <c r="Q280" s="13">
        <f t="shared" si="60"/>
        <v>0</v>
      </c>
      <c r="R280" s="14">
        <f t="shared" si="57"/>
        <v>-20652.935021403544</v>
      </c>
      <c r="S280" s="14">
        <f t="shared" si="63"/>
        <v>-709308.0833333335</v>
      </c>
      <c r="T280" s="13">
        <f t="shared" si="53"/>
        <v>0</v>
      </c>
      <c r="U280" s="14">
        <f t="shared" si="54"/>
        <v>-8421.820000000007</v>
      </c>
      <c r="V280" s="12"/>
    </row>
    <row r="281" spans="1:22" ht="15.75">
      <c r="A281" s="304">
        <v>40939</v>
      </c>
      <c r="B281" s="6" t="s">
        <v>92</v>
      </c>
      <c r="C281" s="53"/>
      <c r="D281" s="344"/>
      <c r="E281" s="46"/>
      <c r="F281" s="231"/>
      <c r="G281" s="39"/>
      <c r="H281" s="13"/>
      <c r="I281" s="14">
        <f t="shared" si="61"/>
        <v>688655.1483119299</v>
      </c>
      <c r="J281" s="25"/>
      <c r="K281" s="14">
        <f t="shared" si="62"/>
        <v>20652.935021403544</v>
      </c>
      <c r="L281" s="13">
        <f>+ROUND(K280*$F$316*(A281-A278)/365,2)</f>
        <v>25.79</v>
      </c>
      <c r="M281" s="308">
        <f t="shared" si="55"/>
        <v>8447.610000000008</v>
      </c>
      <c r="N281" s="39"/>
      <c r="O281" s="13">
        <f t="shared" si="59"/>
        <v>0</v>
      </c>
      <c r="P281" s="14">
        <f t="shared" si="56"/>
        <v>-688655.1483119299</v>
      </c>
      <c r="Q281" s="13">
        <f t="shared" si="60"/>
        <v>0</v>
      </c>
      <c r="R281" s="14">
        <f t="shared" si="57"/>
        <v>-20652.935021403544</v>
      </c>
      <c r="S281" s="14">
        <f t="shared" si="63"/>
        <v>-709308.0833333335</v>
      </c>
      <c r="T281" s="13">
        <f t="shared" si="53"/>
        <v>-25.79</v>
      </c>
      <c r="U281" s="14">
        <f t="shared" si="54"/>
        <v>-8447.610000000008</v>
      </c>
      <c r="V281" s="12"/>
    </row>
    <row r="282" spans="1:22" ht="15.75">
      <c r="A282" s="304">
        <v>40968</v>
      </c>
      <c r="B282" s="6" t="s">
        <v>92</v>
      </c>
      <c r="C282" s="53"/>
      <c r="D282" s="344"/>
      <c r="E282" s="46"/>
      <c r="F282" s="231"/>
      <c r="G282" s="39"/>
      <c r="H282" s="13"/>
      <c r="I282" s="14">
        <f t="shared" si="61"/>
        <v>688655.1483119299</v>
      </c>
      <c r="J282" s="25"/>
      <c r="K282" s="14">
        <f t="shared" si="62"/>
        <v>20652.935021403544</v>
      </c>
      <c r="L282" s="13">
        <f>+ROUND(K281*$F$316*(A282-A281)/365,2)</f>
        <v>24.12</v>
      </c>
      <c r="M282" s="308">
        <f t="shared" si="55"/>
        <v>8471.730000000009</v>
      </c>
      <c r="N282" s="39"/>
      <c r="O282" s="13">
        <f t="shared" si="59"/>
        <v>0</v>
      </c>
      <c r="P282" s="14">
        <f t="shared" si="56"/>
        <v>-688655.1483119299</v>
      </c>
      <c r="Q282" s="13">
        <f t="shared" si="60"/>
        <v>0</v>
      </c>
      <c r="R282" s="14">
        <f t="shared" si="57"/>
        <v>-20652.935021403544</v>
      </c>
      <c r="S282" s="14">
        <f t="shared" si="63"/>
        <v>-709308.0833333335</v>
      </c>
      <c r="T282" s="13">
        <f t="shared" si="53"/>
        <v>-24.12</v>
      </c>
      <c r="U282" s="14">
        <f t="shared" si="54"/>
        <v>-8471.730000000009</v>
      </c>
      <c r="V282" s="12"/>
    </row>
    <row r="283" spans="1:22" ht="15.75">
      <c r="A283" s="315">
        <v>40999</v>
      </c>
      <c r="B283" s="316" t="s">
        <v>92</v>
      </c>
      <c r="C283" s="318"/>
      <c r="D283" s="347"/>
      <c r="E283" s="317"/>
      <c r="F283" s="321"/>
      <c r="G283" s="39"/>
      <c r="H283" s="319"/>
      <c r="I283" s="320">
        <f t="shared" si="61"/>
        <v>688655.1483119299</v>
      </c>
      <c r="J283" s="337"/>
      <c r="K283" s="320">
        <f t="shared" si="62"/>
        <v>20652.935021403544</v>
      </c>
      <c r="L283" s="319">
        <f>+ROUND(K282*$F$316*(A283-A282)/365,2)</f>
        <v>25.79</v>
      </c>
      <c r="M283" s="332">
        <f t="shared" si="55"/>
        <v>8497.52000000001</v>
      </c>
      <c r="N283" s="39"/>
      <c r="O283" s="319">
        <f t="shared" si="59"/>
        <v>0</v>
      </c>
      <c r="P283" s="320">
        <f t="shared" si="56"/>
        <v>-688655.1483119299</v>
      </c>
      <c r="Q283" s="319">
        <f t="shared" si="60"/>
        <v>0</v>
      </c>
      <c r="R283" s="320">
        <f t="shared" si="57"/>
        <v>-20652.935021403544</v>
      </c>
      <c r="S283" s="320">
        <f t="shared" si="63"/>
        <v>-709308.0833333335</v>
      </c>
      <c r="T283" s="319">
        <f t="shared" si="53"/>
        <v>-25.79</v>
      </c>
      <c r="U283" s="320">
        <f t="shared" si="54"/>
        <v>-8497.52000000001</v>
      </c>
      <c r="V283" s="12"/>
    </row>
    <row r="284" spans="1:22" ht="15.75">
      <c r="A284" s="304">
        <v>41029</v>
      </c>
      <c r="B284" s="6" t="s">
        <v>92</v>
      </c>
      <c r="C284" s="53"/>
      <c r="D284" s="344"/>
      <c r="E284" s="46"/>
      <c r="F284" s="231"/>
      <c r="G284" s="39"/>
      <c r="H284" s="13"/>
      <c r="I284" s="14">
        <f t="shared" si="61"/>
        <v>688655.1483119299</v>
      </c>
      <c r="J284" s="25"/>
      <c r="K284" s="14">
        <f t="shared" si="62"/>
        <v>20652.935021403544</v>
      </c>
      <c r="L284" s="13">
        <f>+ROUND(K283*$F$316*(A284-A283)/365,2)</f>
        <v>24.95</v>
      </c>
      <c r="M284" s="308">
        <f t="shared" si="55"/>
        <v>8522.47000000001</v>
      </c>
      <c r="N284" s="39"/>
      <c r="O284" s="13">
        <f t="shared" si="59"/>
        <v>0</v>
      </c>
      <c r="P284" s="14">
        <f t="shared" si="56"/>
        <v>-688655.1483119299</v>
      </c>
      <c r="Q284" s="13">
        <f t="shared" si="60"/>
        <v>0</v>
      </c>
      <c r="R284" s="14">
        <f t="shared" si="57"/>
        <v>-20652.935021403544</v>
      </c>
      <c r="S284" s="14">
        <f t="shared" si="63"/>
        <v>-709308.0833333335</v>
      </c>
      <c r="T284" s="13">
        <f t="shared" si="53"/>
        <v>-24.95</v>
      </c>
      <c r="U284" s="14">
        <f t="shared" si="54"/>
        <v>-8522.47000000001</v>
      </c>
      <c r="V284" s="12"/>
    </row>
    <row r="285" spans="1:22" ht="15.75">
      <c r="A285" s="322"/>
      <c r="B285" s="334"/>
      <c r="C285" s="339"/>
      <c r="D285" s="350"/>
      <c r="E285" s="338"/>
      <c r="F285" s="342">
        <f>+M285-M279</f>
        <v>100.65000000000327</v>
      </c>
      <c r="G285" s="39"/>
      <c r="H285" s="326"/>
      <c r="I285" s="327">
        <f t="shared" si="61"/>
        <v>688655.1483119299</v>
      </c>
      <c r="J285" s="326"/>
      <c r="K285" s="327">
        <f t="shared" si="62"/>
        <v>20652.935021403544</v>
      </c>
      <c r="L285" s="343"/>
      <c r="M285" s="341">
        <f t="shared" si="55"/>
        <v>8522.47000000001</v>
      </c>
      <c r="N285" s="39"/>
      <c r="O285" s="326">
        <f t="shared" si="59"/>
        <v>0</v>
      </c>
      <c r="P285" s="327">
        <f t="shared" si="56"/>
        <v>-688655.1483119299</v>
      </c>
      <c r="Q285" s="326">
        <f t="shared" si="60"/>
        <v>0</v>
      </c>
      <c r="R285" s="327">
        <f t="shared" si="57"/>
        <v>-20652.935021403544</v>
      </c>
      <c r="S285" s="327">
        <f t="shared" si="63"/>
        <v>-709308.0833333335</v>
      </c>
      <c r="T285" s="326">
        <f t="shared" si="53"/>
        <v>0</v>
      </c>
      <c r="U285" s="327">
        <f t="shared" si="54"/>
        <v>-8522.47000000001</v>
      </c>
      <c r="V285" s="12"/>
    </row>
    <row r="286" spans="1:21" ht="16.5" thickBot="1">
      <c r="A286" s="304"/>
      <c r="B286" s="6"/>
      <c r="C286" s="53"/>
      <c r="D286" s="53"/>
      <c r="E286" s="46"/>
      <c r="F286" s="231"/>
      <c r="G286" s="39"/>
      <c r="H286" s="13"/>
      <c r="I286" s="14"/>
      <c r="J286" s="13"/>
      <c r="K286" s="27"/>
      <c r="L286" s="13"/>
      <c r="M286" s="14"/>
      <c r="N286" s="39"/>
      <c r="O286" s="13"/>
      <c r="P286" s="14"/>
      <c r="Q286" s="13"/>
      <c r="R286" s="14"/>
      <c r="S286" s="14"/>
      <c r="T286" s="13"/>
      <c r="U286" s="14"/>
    </row>
    <row r="287" spans="1:21" ht="16.5" thickBot="1">
      <c r="A287" s="31" t="s">
        <v>18</v>
      </c>
      <c r="B287" s="7"/>
      <c r="C287" s="237">
        <f>SUM(C9:C286)</f>
        <v>710750.0833333334</v>
      </c>
      <c r="D287" s="351">
        <f>SUM(D9:D286)</f>
        <v>-1442</v>
      </c>
      <c r="E287" s="351">
        <f>SUM(E9:E286)</f>
        <v>-688655.1483119299</v>
      </c>
      <c r="F287" s="312">
        <f>SUM(F9:F286)-F209</f>
        <v>8522.47000000001</v>
      </c>
      <c r="G287" s="354">
        <f>SUM(G9:G286)</f>
        <v>0</v>
      </c>
      <c r="H287" s="237">
        <f>SUM(H9:H286)</f>
        <v>688655.1483119299</v>
      </c>
      <c r="I287" s="238"/>
      <c r="J287" s="237">
        <f>SUM(J9:J286)</f>
        <v>20652.935021403544</v>
      </c>
      <c r="K287" s="238"/>
      <c r="L287" s="237">
        <f>SUM(L9:L286)</f>
        <v>8522.47000000001</v>
      </c>
      <c r="M287" s="148"/>
      <c r="N287" s="354">
        <f>SUM(N9:N286)</f>
        <v>0</v>
      </c>
      <c r="O287" s="237">
        <f>SUM(O9:O286)</f>
        <v>-688655.1483119299</v>
      </c>
      <c r="P287" s="238"/>
      <c r="Q287" s="237">
        <f>SUM(Q9:Q286)</f>
        <v>-20652.935021403544</v>
      </c>
      <c r="R287" s="238"/>
      <c r="S287" s="238"/>
      <c r="T287" s="237">
        <f>SUM(T9:T286)</f>
        <v>-8522.47000000001</v>
      </c>
      <c r="U287" s="238"/>
    </row>
    <row r="288" spans="1:20" ht="16.5" thickBot="1">
      <c r="A288" s="146"/>
      <c r="B288" s="23"/>
      <c r="C288" s="24"/>
      <c r="D288" s="352">
        <f>+C287</f>
        <v>710750.0833333334</v>
      </c>
      <c r="E288" s="352">
        <f>+D289</f>
        <v>709308.0833333334</v>
      </c>
      <c r="F288" s="313">
        <f>+J287</f>
        <v>20652.935021403544</v>
      </c>
      <c r="H288" s="24"/>
      <c r="I288" s="17"/>
      <c r="K288" s="147"/>
      <c r="M288" s="41"/>
      <c r="O288" s="15">
        <f>+H287+O287</f>
        <v>0</v>
      </c>
      <c r="Q288" s="15">
        <f>+J287+Q287</f>
        <v>0</v>
      </c>
      <c r="T288" s="15">
        <f>+L287+T287</f>
        <v>0</v>
      </c>
    </row>
    <row r="289" spans="1:20" ht="16.5" thickBot="1">
      <c r="A289" s="146"/>
      <c r="B289" s="17"/>
      <c r="C289" s="39"/>
      <c r="D289" s="148">
        <f>+SUM(D287:D288)</f>
        <v>709308.0833333334</v>
      </c>
      <c r="E289" s="148">
        <f>+SUM(E287:E288)</f>
        <v>20652.93502140348</v>
      </c>
      <c r="F289" s="246">
        <f>+SUM(F287:F288)</f>
        <v>29175.405021403552</v>
      </c>
      <c r="H289" s="39"/>
      <c r="I289" s="39"/>
      <c r="K289" s="150"/>
      <c r="M289" s="40"/>
      <c r="O289" s="151"/>
      <c r="P289" s="4"/>
      <c r="Q289" s="153"/>
      <c r="R289" s="154"/>
      <c r="S289" s="154"/>
      <c r="T289" s="4"/>
    </row>
    <row r="290" spans="1:20" ht="15.75">
      <c r="A290" s="146"/>
      <c r="B290" s="17"/>
      <c r="E290" s="15">
        <f>+E289-J287</f>
        <v>-6.548361852765083E-11</v>
      </c>
      <c r="F290" s="40"/>
      <c r="H290" s="39"/>
      <c r="I290" s="39"/>
      <c r="J290" s="39"/>
      <c r="K290" s="150"/>
      <c r="L290" s="149"/>
      <c r="M290" s="40"/>
      <c r="O290" s="151"/>
      <c r="P290" s="4"/>
      <c r="Q290" s="153"/>
      <c r="R290" s="154"/>
      <c r="S290" s="154"/>
      <c r="T290" s="4"/>
    </row>
    <row r="291" spans="1:20" ht="15.75">
      <c r="A291" s="236" t="s">
        <v>98</v>
      </c>
      <c r="B291" s="17"/>
      <c r="F291" s="40"/>
      <c r="H291" s="39"/>
      <c r="I291" s="39"/>
      <c r="J291" s="149"/>
      <c r="K291" s="150"/>
      <c r="L291" s="149"/>
      <c r="M291" s="40"/>
      <c r="O291" s="151"/>
      <c r="P291" s="4"/>
      <c r="Q291" s="153"/>
      <c r="R291" s="154"/>
      <c r="S291" s="154"/>
      <c r="T291" s="4"/>
    </row>
    <row r="292" spans="1:20" ht="15.75">
      <c r="A292" s="146"/>
      <c r="B292" s="17"/>
      <c r="F292" s="42"/>
      <c r="H292" s="39"/>
      <c r="I292" s="36"/>
      <c r="J292" s="39"/>
      <c r="K292" s="36"/>
      <c r="L292" s="39"/>
      <c r="M292" s="42"/>
      <c r="O292" s="152"/>
      <c r="P292" s="4"/>
      <c r="Q292" s="149"/>
      <c r="R292" s="36"/>
      <c r="S292" s="36"/>
      <c r="T292" s="4"/>
    </row>
    <row r="293" spans="1:20" ht="16.5" thickBot="1">
      <c r="A293" s="229" t="s">
        <v>9</v>
      </c>
      <c r="B293" s="1" t="s">
        <v>172</v>
      </c>
      <c r="F293" s="43"/>
      <c r="I293" s="11">
        <v>47086</v>
      </c>
      <c r="J293" s="9" t="s">
        <v>10</v>
      </c>
      <c r="K293" s="10">
        <v>3</v>
      </c>
      <c r="L293" s="1" t="s">
        <v>11</v>
      </c>
      <c r="M293" s="365">
        <f>+I293/K293</f>
        <v>15695.333333333334</v>
      </c>
      <c r="O293" s="4"/>
      <c r="P293" s="4"/>
      <c r="Q293" s="36"/>
      <c r="R293" s="36"/>
      <c r="S293" s="36"/>
      <c r="T293" s="4"/>
    </row>
    <row r="294" spans="1:20" ht="15.75">
      <c r="A294" s="229"/>
      <c r="F294" s="43"/>
      <c r="I294" s="11"/>
      <c r="J294" s="9"/>
      <c r="K294" s="10"/>
      <c r="M294" s="228"/>
      <c r="O294" s="4"/>
      <c r="P294" s="4"/>
      <c r="Q294" s="36"/>
      <c r="R294" s="36"/>
      <c r="S294" s="36"/>
      <c r="T294" s="4"/>
    </row>
    <row r="295" spans="1:20" ht="16.5" thickBot="1">
      <c r="A295" s="229" t="s">
        <v>13</v>
      </c>
      <c r="B295" s="1" t="s">
        <v>174</v>
      </c>
      <c r="C295" s="1"/>
      <c r="F295" s="43"/>
      <c r="I295" s="16">
        <v>154547</v>
      </c>
      <c r="J295" s="9" t="s">
        <v>10</v>
      </c>
      <c r="K295" s="10">
        <v>12</v>
      </c>
      <c r="L295" s="1" t="s">
        <v>11</v>
      </c>
      <c r="M295" s="365">
        <f>+I295/K295</f>
        <v>12878.916666666666</v>
      </c>
      <c r="O295" s="4"/>
      <c r="P295" s="4"/>
      <c r="Q295" s="4"/>
      <c r="R295" s="4"/>
      <c r="S295" s="4"/>
      <c r="T295" s="4"/>
    </row>
    <row r="296" spans="1:13" ht="15.75">
      <c r="A296" s="229"/>
      <c r="B296" s="1" t="s">
        <v>175</v>
      </c>
      <c r="F296" s="44"/>
      <c r="I296" s="19"/>
      <c r="J296" s="9"/>
      <c r="K296" s="10"/>
      <c r="M296" s="11"/>
    </row>
    <row r="297" spans="1:13" ht="15.75">
      <c r="A297" s="229"/>
      <c r="F297" s="44"/>
      <c r="I297" s="19"/>
      <c r="J297" s="9"/>
      <c r="K297" s="10"/>
      <c r="M297" s="11"/>
    </row>
    <row r="298" spans="1:13" ht="16.5" thickBot="1">
      <c r="A298" s="229" t="s">
        <v>14</v>
      </c>
      <c r="B298" s="1" t="s">
        <v>173</v>
      </c>
      <c r="F298" s="43"/>
      <c r="I298" s="16">
        <f>+I295+I293</f>
        <v>201633</v>
      </c>
      <c r="J298" s="9" t="s">
        <v>10</v>
      </c>
      <c r="K298" s="10">
        <v>12</v>
      </c>
      <c r="L298" s="1" t="s">
        <v>11</v>
      </c>
      <c r="M298" s="365">
        <f>+I298/K298</f>
        <v>16802.75</v>
      </c>
    </row>
    <row r="299" spans="1:13" ht="15.75">
      <c r="A299" s="229"/>
      <c r="F299" s="45"/>
      <c r="I299" s="19"/>
      <c r="J299" s="9"/>
      <c r="K299" s="10"/>
      <c r="M299" s="247"/>
    </row>
    <row r="300" spans="1:13" ht="16.5" thickBot="1">
      <c r="A300" s="229" t="s">
        <v>50</v>
      </c>
      <c r="B300" s="1" t="s">
        <v>176</v>
      </c>
      <c r="C300" s="1"/>
      <c r="F300" s="1"/>
      <c r="I300" s="364">
        <v>94642</v>
      </c>
      <c r="J300" s="9" t="s">
        <v>10</v>
      </c>
      <c r="K300" s="10">
        <v>12</v>
      </c>
      <c r="L300" s="1" t="s">
        <v>11</v>
      </c>
      <c r="M300" s="365">
        <f>+I300/K300</f>
        <v>7886.833333333333</v>
      </c>
    </row>
    <row r="301" spans="1:13" ht="15.75">
      <c r="A301" s="229"/>
      <c r="C301" s="1"/>
      <c r="F301" s="1"/>
      <c r="I301" s="364"/>
      <c r="J301" s="9"/>
      <c r="K301" s="10"/>
      <c r="M301" s="228"/>
    </row>
    <row r="302" spans="1:11" ht="15.75">
      <c r="A302" s="229" t="s">
        <v>70</v>
      </c>
      <c r="B302" s="1" t="s">
        <v>97</v>
      </c>
      <c r="F302" s="1"/>
      <c r="K302" s="22"/>
    </row>
    <row r="303" spans="1:6" ht="15.75">
      <c r="A303" s="230"/>
      <c r="B303" s="17"/>
      <c r="F303" s="1"/>
    </row>
    <row r="304" spans="1:6" ht="15.75">
      <c r="A304" s="229" t="s">
        <v>165</v>
      </c>
      <c r="B304" s="142" t="s">
        <v>171</v>
      </c>
      <c r="C304" s="142"/>
      <c r="D304" s="142" t="s">
        <v>167</v>
      </c>
      <c r="E304" s="142"/>
      <c r="F304" s="366">
        <v>0.0725</v>
      </c>
    </row>
    <row r="305" spans="2:6" ht="15.75">
      <c r="B305" s="142" t="s">
        <v>73</v>
      </c>
      <c r="C305" s="142"/>
      <c r="D305" s="142" t="s">
        <v>167</v>
      </c>
      <c r="E305" s="142"/>
      <c r="F305" s="366">
        <v>0.0414</v>
      </c>
    </row>
    <row r="306" spans="2:6" ht="15.75">
      <c r="B306" s="142" t="s">
        <v>170</v>
      </c>
      <c r="C306" s="142"/>
      <c r="D306" s="142" t="s">
        <v>167</v>
      </c>
      <c r="E306" s="142"/>
      <c r="F306" s="366">
        <v>0.0459</v>
      </c>
    </row>
    <row r="307" spans="2:6" ht="15.75">
      <c r="B307" s="142" t="s">
        <v>74</v>
      </c>
      <c r="C307" s="142"/>
      <c r="D307" s="142" t="s">
        <v>167</v>
      </c>
      <c r="E307" s="142"/>
      <c r="F307" s="366">
        <v>0.0514</v>
      </c>
    </row>
    <row r="308" spans="2:6" ht="15.75">
      <c r="B308" s="142" t="s">
        <v>75</v>
      </c>
      <c r="C308" s="142"/>
      <c r="D308" s="142" t="s">
        <v>167</v>
      </c>
      <c r="E308" s="142"/>
      <c r="F308" s="366">
        <v>0.0408</v>
      </c>
    </row>
    <row r="309" spans="2:6" ht="15.75">
      <c r="B309" s="142" t="s">
        <v>102</v>
      </c>
      <c r="C309" s="143"/>
      <c r="D309" s="142" t="s">
        <v>167</v>
      </c>
      <c r="E309" s="143"/>
      <c r="F309" s="366">
        <v>0.0335</v>
      </c>
    </row>
    <row r="310" spans="2:6" ht="15.75">
      <c r="B310" s="142" t="s">
        <v>103</v>
      </c>
      <c r="C310" s="143"/>
      <c r="D310" s="142" t="s">
        <v>167</v>
      </c>
      <c r="E310" s="143"/>
      <c r="F310" s="366">
        <v>0.0245</v>
      </c>
    </row>
    <row r="311" spans="2:6" ht="15.75">
      <c r="B311" s="142" t="s">
        <v>104</v>
      </c>
      <c r="C311" s="143"/>
      <c r="D311" s="142" t="s">
        <v>167</v>
      </c>
      <c r="E311" s="143"/>
      <c r="F311" s="366">
        <v>0.01</v>
      </c>
    </row>
    <row r="312" spans="2:6" ht="15.75">
      <c r="B312" s="142" t="s">
        <v>76</v>
      </c>
      <c r="C312" s="143"/>
      <c r="D312" s="142" t="s">
        <v>167</v>
      </c>
      <c r="E312" s="143"/>
      <c r="F312" s="366">
        <v>0.0055</v>
      </c>
    </row>
    <row r="313" spans="2:6" ht="15.75">
      <c r="B313" s="142" t="s">
        <v>105</v>
      </c>
      <c r="C313" s="143"/>
      <c r="D313" s="142" t="s">
        <v>167</v>
      </c>
      <c r="E313" s="143"/>
      <c r="F313" s="366">
        <v>0.0089</v>
      </c>
    </row>
    <row r="314" spans="2:6" ht="15.75">
      <c r="B314" s="142" t="s">
        <v>106</v>
      </c>
      <c r="C314" s="143"/>
      <c r="D314" s="142" t="s">
        <v>167</v>
      </c>
      <c r="E314" s="143"/>
      <c r="F314" s="366">
        <v>0.012</v>
      </c>
    </row>
    <row r="315" spans="2:6" ht="15.75">
      <c r="B315" s="142" t="s">
        <v>166</v>
      </c>
      <c r="C315" s="143"/>
      <c r="D315" s="142" t="s">
        <v>167</v>
      </c>
      <c r="E315" s="143"/>
      <c r="F315" s="366">
        <v>0.0147</v>
      </c>
    </row>
    <row r="316" spans="2:6" ht="15.75">
      <c r="B316" s="142" t="s">
        <v>169</v>
      </c>
      <c r="D316" s="142" t="s">
        <v>168</v>
      </c>
      <c r="F316" s="366">
        <v>0.0147</v>
      </c>
    </row>
  </sheetData>
  <sheetProtection/>
  <mergeCells count="76">
    <mergeCell ref="A189:A196"/>
    <mergeCell ref="A197:A199"/>
    <mergeCell ref="A200:A202"/>
    <mergeCell ref="A165:A167"/>
    <mergeCell ref="A168:A170"/>
    <mergeCell ref="A171:A177"/>
    <mergeCell ref="A180:A182"/>
    <mergeCell ref="A183:A185"/>
    <mergeCell ref="A186:A188"/>
    <mergeCell ref="A146:A148"/>
    <mergeCell ref="A149:A151"/>
    <mergeCell ref="A152:A155"/>
    <mergeCell ref="A156:A158"/>
    <mergeCell ref="A159:A161"/>
    <mergeCell ref="A162:A164"/>
    <mergeCell ref="A140:A142"/>
    <mergeCell ref="A143:A145"/>
    <mergeCell ref="A97:A99"/>
    <mergeCell ref="A100:A102"/>
    <mergeCell ref="A103:A105"/>
    <mergeCell ref="A106:A108"/>
    <mergeCell ref="A128:A134"/>
    <mergeCell ref="A122:A124"/>
    <mergeCell ref="A125:A127"/>
    <mergeCell ref="A70:A72"/>
    <mergeCell ref="A73:A75"/>
    <mergeCell ref="A76:A78"/>
    <mergeCell ref="A79:A81"/>
    <mergeCell ref="A82:A84"/>
    <mergeCell ref="A137:A139"/>
    <mergeCell ref="A109:A112"/>
    <mergeCell ref="A113:A115"/>
    <mergeCell ref="A116:A118"/>
    <mergeCell ref="A119:A121"/>
    <mergeCell ref="A51:A53"/>
    <mergeCell ref="A54:A56"/>
    <mergeCell ref="A57:A59"/>
    <mergeCell ref="A60:A62"/>
    <mergeCell ref="A63:A65"/>
    <mergeCell ref="A66:A69"/>
    <mergeCell ref="A29:A31"/>
    <mergeCell ref="A32:A34"/>
    <mergeCell ref="A35:A37"/>
    <mergeCell ref="A38:A40"/>
    <mergeCell ref="A41:A43"/>
    <mergeCell ref="A44:A48"/>
    <mergeCell ref="O5:P5"/>
    <mergeCell ref="Q5:R5"/>
    <mergeCell ref="T5:U5"/>
    <mergeCell ref="F3:F7"/>
    <mergeCell ref="O3:P3"/>
    <mergeCell ref="Q3:R3"/>
    <mergeCell ref="T3:U3"/>
    <mergeCell ref="Q4:R4"/>
    <mergeCell ref="T4:U4"/>
    <mergeCell ref="L3:M3"/>
    <mergeCell ref="A1:B1"/>
    <mergeCell ref="H2:M2"/>
    <mergeCell ref="O2:U2"/>
    <mergeCell ref="A3:A7"/>
    <mergeCell ref="B3:B7"/>
    <mergeCell ref="E3:E7"/>
    <mergeCell ref="C3:C7"/>
    <mergeCell ref="H5:I5"/>
    <mergeCell ref="H3:I3"/>
    <mergeCell ref="J3:K3"/>
    <mergeCell ref="D3:D7"/>
    <mergeCell ref="A85:A91"/>
    <mergeCell ref="A94:A96"/>
    <mergeCell ref="L4:M4"/>
    <mergeCell ref="J5:K5"/>
    <mergeCell ref="L5:M5"/>
    <mergeCell ref="A16:A18"/>
    <mergeCell ref="A19:A21"/>
    <mergeCell ref="A22:A24"/>
    <mergeCell ref="A25:A28"/>
  </mergeCells>
  <printOptions/>
  <pageMargins left="0.3" right="0.3" top="0.75" bottom="0.5" header="0.25" footer="0.25"/>
  <pageSetup cellComments="asDisplayed" fitToHeight="0" horizontalDpi="600" verticalDpi="600" orientation="landscape" scale="52" r:id="rId1"/>
  <headerFooter alignWithMargins="0">
    <oddHeader>&amp;RTillsonburg Hydro Inc.
EB-2011-0198
Appendix L.1
Filed: December 9, 2011</oddHeader>
    <oddFooter>&amp;RPage &amp;P of &amp;N</oddFooter>
  </headerFooter>
  <rowBreaks count="3" manualBreakCount="3">
    <brk id="121" max="255" man="1"/>
    <brk id="178" max="255" man="1"/>
    <brk id="2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3.7109375" style="57" bestFit="1" customWidth="1"/>
    <col min="2" max="2" width="22.140625" style="57" customWidth="1"/>
    <col min="3" max="3" width="22.00390625" style="57" customWidth="1"/>
    <col min="4" max="4" width="22.140625" style="57" customWidth="1"/>
    <col min="5" max="6" width="9.8515625" style="57" customWidth="1"/>
    <col min="7" max="16384" width="9.140625" style="57" customWidth="1"/>
  </cols>
  <sheetData>
    <row r="1" ht="15.75" thickBot="1"/>
    <row r="2" spans="1:4" ht="18.75" thickBot="1">
      <c r="A2" s="411" t="s">
        <v>83</v>
      </c>
      <c r="B2" s="412"/>
      <c r="C2" s="412"/>
      <c r="D2" s="413"/>
    </row>
    <row r="4" ht="15.75" thickBot="1"/>
    <row r="5" spans="1:4" ht="16.5" thickBot="1">
      <c r="A5" s="133">
        <v>2002</v>
      </c>
      <c r="B5" s="133" t="s">
        <v>81</v>
      </c>
      <c r="C5" s="96" t="s">
        <v>82</v>
      </c>
      <c r="D5" s="133" t="s">
        <v>18</v>
      </c>
    </row>
    <row r="6" spans="1:4" ht="15.75">
      <c r="A6" s="58"/>
      <c r="B6" s="59"/>
      <c r="C6" s="60"/>
      <c r="D6" s="61"/>
    </row>
    <row r="7" spans="2:4" ht="15.75">
      <c r="B7" s="63"/>
      <c r="C7" s="64"/>
      <c r="D7" s="69">
        <f aca="true" t="shared" si="0" ref="D7:D21">SUM(B7:C7)</f>
        <v>0</v>
      </c>
    </row>
    <row r="8" spans="1:4" ht="15.75">
      <c r="A8" s="66" t="s">
        <v>53</v>
      </c>
      <c r="B8" s="67"/>
      <c r="C8" s="68"/>
      <c r="D8" s="69">
        <f t="shared" si="0"/>
        <v>0</v>
      </c>
    </row>
    <row r="9" spans="1:4" ht="15.75">
      <c r="A9" s="66" t="s">
        <v>48</v>
      </c>
      <c r="B9" s="67"/>
      <c r="C9" s="68"/>
      <c r="D9" s="69">
        <f t="shared" si="0"/>
        <v>0</v>
      </c>
    </row>
    <row r="10" spans="1:4" ht="15.75">
      <c r="A10" s="66" t="s">
        <v>49</v>
      </c>
      <c r="B10" s="67"/>
      <c r="C10" s="68"/>
      <c r="D10" s="69">
        <f t="shared" si="0"/>
        <v>0</v>
      </c>
    </row>
    <row r="11" spans="1:4" ht="15">
      <c r="A11" s="66" t="s">
        <v>32</v>
      </c>
      <c r="B11" s="134">
        <f>+'Billing kW kWh (L.2.2)'!AE7</f>
        <v>3480.7394508020498</v>
      </c>
      <c r="C11" s="135">
        <f>+'Billing Service Charge  (L.2.3)'!Q11</f>
        <v>3960.1545091978896</v>
      </c>
      <c r="D11" s="69">
        <f t="shared" si="0"/>
        <v>7440.893959999939</v>
      </c>
    </row>
    <row r="12" spans="1:4" ht="15">
      <c r="A12" s="66" t="s">
        <v>15</v>
      </c>
      <c r="B12" s="134">
        <f>+'Billing kW kWh (L.2.2)'!AE8</f>
        <v>12564.975862839345</v>
      </c>
      <c r="C12" s="135">
        <f>+'Billing Service Charge  (L.2.3)'!Q12</f>
        <v>13193.75228235214</v>
      </c>
      <c r="D12" s="69">
        <f t="shared" si="0"/>
        <v>25758.728145191482</v>
      </c>
    </row>
    <row r="13" spans="1:4" ht="15">
      <c r="A13" s="66" t="s">
        <v>33</v>
      </c>
      <c r="B13" s="134">
        <f>+'Billing kW kWh (L.2.2)'!AE9</f>
        <v>2955.6987288475384</v>
      </c>
      <c r="C13" s="135">
        <f>+'Billing Service Charge  (L.2.3)'!Q13</f>
        <v>3345.837994305236</v>
      </c>
      <c r="D13" s="69">
        <f t="shared" si="0"/>
        <v>6301.536723152774</v>
      </c>
    </row>
    <row r="14" spans="1:4" ht="15">
      <c r="A14" s="66" t="s">
        <v>21</v>
      </c>
      <c r="B14" s="134">
        <f>+'Billing kW kWh (L.2.2)'!AE10</f>
        <v>2451.222774834962</v>
      </c>
      <c r="C14" s="135">
        <f>+'Billing Service Charge  (L.2.3)'!Q14</f>
        <v>3086.2184856289978</v>
      </c>
      <c r="D14" s="69">
        <f t="shared" si="0"/>
        <v>5537.44126046396</v>
      </c>
    </row>
    <row r="15" spans="1:4" ht="15">
      <c r="A15" s="66" t="s">
        <v>22</v>
      </c>
      <c r="B15" s="134">
        <f>+'Billing kW kWh (L.2.2)'!AE11</f>
        <v>11090.630488905383</v>
      </c>
      <c r="C15" s="135">
        <f>+'Billing Service Charge  (L.2.3)'!Q15</f>
        <v>12283.920743582092</v>
      </c>
      <c r="D15" s="69">
        <f t="shared" si="0"/>
        <v>23374.551232487473</v>
      </c>
    </row>
    <row r="16" spans="1:4" ht="15">
      <c r="A16" s="66" t="s">
        <v>23</v>
      </c>
      <c r="B16" s="134">
        <f>+'Billing kW kWh (L.2.2)'!AE12</f>
        <v>8735.196784683896</v>
      </c>
      <c r="C16" s="135">
        <f>+'Billing Service Charge  (L.2.3)'!Q16</f>
        <v>7927.091276929638</v>
      </c>
      <c r="D16" s="69">
        <f t="shared" si="0"/>
        <v>16662.288061613534</v>
      </c>
    </row>
    <row r="17" spans="1:4" ht="15">
      <c r="A17" s="66" t="s">
        <v>24</v>
      </c>
      <c r="B17" s="134">
        <f>+'Billing kW kWh (L.2.2)'!AE13</f>
        <v>8243.368793956723</v>
      </c>
      <c r="C17" s="135">
        <f>+'Billing Service Charge  (L.2.3)'!Q17</f>
        <v>7496.0018242317765</v>
      </c>
      <c r="D17" s="69">
        <f t="shared" si="0"/>
        <v>15739.370618188499</v>
      </c>
    </row>
    <row r="18" spans="1:4" ht="15">
      <c r="A18" s="66" t="s">
        <v>25</v>
      </c>
      <c r="B18" s="134">
        <f>+'Billing kW kWh (L.2.2)'!AE14</f>
        <v>8144.98440891127</v>
      </c>
      <c r="C18" s="135">
        <f>+'Billing Service Charge  (L.2.3)'!Q18</f>
        <v>8125.168609349047</v>
      </c>
      <c r="D18" s="69">
        <f t="shared" si="0"/>
        <v>16270.153018260316</v>
      </c>
    </row>
    <row r="19" spans="1:4" ht="15">
      <c r="A19" s="66" t="s">
        <v>26</v>
      </c>
      <c r="B19" s="134">
        <f>+'Billing kW kWh (L.2.2)'!AE15</f>
        <v>7679.851866967489</v>
      </c>
      <c r="C19" s="135">
        <f>+'Billing Service Charge  (L.2.3)'!Q19</f>
        <v>8504.354120200658</v>
      </c>
      <c r="D19" s="69">
        <f t="shared" si="0"/>
        <v>16184.205987168147</v>
      </c>
    </row>
    <row r="20" spans="1:4" ht="15">
      <c r="A20" s="66" t="s">
        <v>27</v>
      </c>
      <c r="B20" s="134">
        <f>+'Billing kW kWh (L.2.2)'!AE16</f>
        <v>8167.694595574464</v>
      </c>
      <c r="C20" s="135">
        <f>+'Billing Service Charge  (L.2.3)'!Q20</f>
        <v>8648.60821561733</v>
      </c>
      <c r="D20" s="69">
        <f t="shared" si="0"/>
        <v>16816.302811191796</v>
      </c>
    </row>
    <row r="21" spans="1:4" ht="15">
      <c r="A21" s="66" t="s">
        <v>29</v>
      </c>
      <c r="B21" s="134">
        <f>+'Billing kW kWh (L.2.2)'!AE17</f>
        <v>11817.55100101445</v>
      </c>
      <c r="C21" s="135">
        <f>+'Billing Service Charge  (L.2.3)'!Q21</f>
        <v>11075.156567515978</v>
      </c>
      <c r="D21" s="69">
        <f t="shared" si="0"/>
        <v>22892.70756853043</v>
      </c>
    </row>
    <row r="22" spans="1:4" ht="15">
      <c r="A22" s="70"/>
      <c r="B22" s="71"/>
      <c r="C22" s="72"/>
      <c r="D22" s="69"/>
    </row>
    <row r="23" spans="1:4" ht="15.75" thickBot="1">
      <c r="A23" s="70" t="s">
        <v>18</v>
      </c>
      <c r="B23" s="73">
        <f>SUM(B8:B22)</f>
        <v>85331.91475733757</v>
      </c>
      <c r="C23" s="73">
        <f>SUM(C8:C22)</f>
        <v>87646.2646289108</v>
      </c>
      <c r="D23" s="73">
        <f>SUM(D8:D22)</f>
        <v>172978.17938624835</v>
      </c>
    </row>
    <row r="24" spans="1:4" ht="15.75" thickBot="1">
      <c r="A24" s="75"/>
      <c r="B24" s="76">
        <f>+B23-'Billing kW kWh (L.2.2)'!AE18</f>
        <v>0</v>
      </c>
      <c r="C24" s="77">
        <f>+C23-'Billing Service Charge  (L.2.3)'!Q22</f>
        <v>0</v>
      </c>
      <c r="D24" s="76">
        <f>+B23+C23-D23</f>
        <v>0</v>
      </c>
    </row>
    <row r="25" spans="2:4" ht="15">
      <c r="B25" s="78"/>
      <c r="C25" s="79"/>
      <c r="D25" s="78"/>
    </row>
    <row r="26" ht="15.75" thickBot="1"/>
    <row r="27" spans="1:4" ht="16.5" thickBot="1">
      <c r="A27" s="133">
        <v>2003</v>
      </c>
      <c r="B27" s="133" t="s">
        <v>81</v>
      </c>
      <c r="C27" s="96" t="s">
        <v>82</v>
      </c>
      <c r="D27" s="133" t="s">
        <v>18</v>
      </c>
    </row>
    <row r="28" spans="1:4" ht="15.75">
      <c r="A28" s="58"/>
      <c r="B28" s="59"/>
      <c r="C28" s="60"/>
      <c r="D28" s="61"/>
    </row>
    <row r="29" spans="2:4" ht="15.75">
      <c r="B29" s="63"/>
      <c r="C29" s="64"/>
      <c r="D29" s="69">
        <f aca="true" t="shared" si="1" ref="D29:D43">SUM(B29:C29)</f>
        <v>0</v>
      </c>
    </row>
    <row r="30" spans="1:4" ht="15">
      <c r="A30" s="66" t="s">
        <v>48</v>
      </c>
      <c r="B30" s="134">
        <f>+'Billing kW kWh (L.2.2)'!AE27</f>
        <v>11115.193092429381</v>
      </c>
      <c r="C30" s="134">
        <f>+'Billing Service Charge  (L.2.3)'!Q30</f>
        <v>10430.704916665234</v>
      </c>
      <c r="D30" s="69">
        <f t="shared" si="1"/>
        <v>21545.898009094613</v>
      </c>
    </row>
    <row r="31" spans="1:4" ht="15">
      <c r="A31" s="66" t="s">
        <v>49</v>
      </c>
      <c r="B31" s="134">
        <f>+'Billing kW kWh (L.2.2)'!AE28</f>
        <v>10016.006061531163</v>
      </c>
      <c r="C31" s="134">
        <f>+'Billing Service Charge  (L.2.3)'!Q31</f>
        <v>9330.801650850746</v>
      </c>
      <c r="D31" s="69">
        <f t="shared" si="1"/>
        <v>19346.80771238191</v>
      </c>
    </row>
    <row r="32" spans="1:4" ht="15">
      <c r="A32" s="66" t="s">
        <v>32</v>
      </c>
      <c r="B32" s="134">
        <f>+'Billing kW kWh (L.2.2)'!AE29</f>
        <v>8673.380552291424</v>
      </c>
      <c r="C32" s="134">
        <f>+'Billing Service Charge  (L.2.3)'!Q32</f>
        <v>8335.23091292111</v>
      </c>
      <c r="D32" s="69">
        <f t="shared" si="1"/>
        <v>17008.611465212532</v>
      </c>
    </row>
    <row r="33" spans="1:4" ht="15">
      <c r="A33" s="66" t="s">
        <v>15</v>
      </c>
      <c r="B33" s="134">
        <f>+'Billing kW kWh (L.2.2)'!AE30</f>
        <v>7676.506756756757</v>
      </c>
      <c r="C33" s="134">
        <f>+'Billing Service Charge  (L.2.3)'!Q33</f>
        <v>8076.223542857143</v>
      </c>
      <c r="D33" s="69">
        <f t="shared" si="1"/>
        <v>15752.7302996139</v>
      </c>
    </row>
    <row r="34" spans="1:4" ht="15">
      <c r="A34" s="66" t="s">
        <v>33</v>
      </c>
      <c r="B34" s="134">
        <f>+'Billing kW kWh (L.2.2)'!AE31</f>
        <v>8571.635765765765</v>
      </c>
      <c r="C34" s="134">
        <f>+'Billing Service Charge  (L.2.3)'!Q34</f>
        <v>9632.465954285715</v>
      </c>
      <c r="D34" s="69">
        <f t="shared" si="1"/>
        <v>18204.10172005148</v>
      </c>
    </row>
    <row r="35" spans="1:4" ht="15">
      <c r="A35" s="66" t="s">
        <v>21</v>
      </c>
      <c r="B35" s="134">
        <f>+'Billing kW kWh (L.2.2)'!AE32</f>
        <v>6733.164765772002</v>
      </c>
      <c r="C35" s="134">
        <f>+'Billing Service Charge  (L.2.3)'!Q35</f>
        <v>8008.143832143677</v>
      </c>
      <c r="D35" s="69">
        <f t="shared" si="1"/>
        <v>14741.308597915679</v>
      </c>
    </row>
    <row r="36" spans="1:4" ht="15">
      <c r="A36" s="66" t="s">
        <v>22</v>
      </c>
      <c r="B36" s="134">
        <f>+'Billing kW kWh (L.2.2)'!AE33</f>
        <v>8872.839686643165</v>
      </c>
      <c r="C36" s="134">
        <f>+'Billing Service Charge  (L.2.3)'!Q36</f>
        <v>8569.609385074627</v>
      </c>
      <c r="D36" s="69">
        <f t="shared" si="1"/>
        <v>17442.44907171779</v>
      </c>
    </row>
    <row r="37" spans="1:4" ht="15">
      <c r="A37" s="66" t="s">
        <v>23</v>
      </c>
      <c r="B37" s="134">
        <f>+'Billing kW kWh (L.2.2)'!AE34</f>
        <v>9213.42</v>
      </c>
      <c r="C37" s="134">
        <f>+'Billing Service Charge  (L.2.3)'!Q37</f>
        <v>8542.52</v>
      </c>
      <c r="D37" s="69">
        <f t="shared" si="1"/>
        <v>17755.940000000002</v>
      </c>
    </row>
    <row r="38" spans="1:4" ht="15">
      <c r="A38" s="66" t="s">
        <v>24</v>
      </c>
      <c r="B38" s="134">
        <f>+'Billing kW kWh (L.2.2)'!AE35</f>
        <v>9113.27108108108</v>
      </c>
      <c r="C38" s="134">
        <f>+'Billing Service Charge  (L.2.3)'!Q38</f>
        <v>8551.018537142858</v>
      </c>
      <c r="D38" s="69">
        <f t="shared" si="1"/>
        <v>17664.28961822394</v>
      </c>
    </row>
    <row r="39" spans="1:4" ht="15">
      <c r="A39" s="66" t="s">
        <v>25</v>
      </c>
      <c r="B39" s="134">
        <f>+'Billing kW kWh (L.2.2)'!AE36</f>
        <v>7857.659999999999</v>
      </c>
      <c r="C39" s="134">
        <f>+'Billing Service Charge  (L.2.3)'!Q39</f>
        <v>8631.53</v>
      </c>
      <c r="D39" s="69">
        <f t="shared" si="1"/>
        <v>16489.19</v>
      </c>
    </row>
    <row r="40" spans="1:4" ht="15">
      <c r="A40" s="66" t="s">
        <v>26</v>
      </c>
      <c r="B40" s="134">
        <f>+'Billing kW kWh (L.2.2)'!AE37</f>
        <v>7346.98</v>
      </c>
      <c r="C40" s="134">
        <f>+'Billing Service Charge  (L.2.3)'!Q40</f>
        <v>8145.45</v>
      </c>
      <c r="D40" s="69">
        <f t="shared" si="1"/>
        <v>15492.43</v>
      </c>
    </row>
    <row r="41" spans="1:4" ht="15">
      <c r="A41" s="66" t="s">
        <v>27</v>
      </c>
      <c r="B41" s="134">
        <f>+'Billing kW kWh (L.2.2)'!AE38</f>
        <v>8257.470000000001</v>
      </c>
      <c r="C41" s="134">
        <f>+'Billing Service Charge  (L.2.3)'!Q41</f>
        <v>8625.880000000001</v>
      </c>
      <c r="D41" s="69">
        <f t="shared" si="1"/>
        <v>16883.350000000002</v>
      </c>
    </row>
    <row r="42" spans="1:4" ht="15">
      <c r="A42" s="66" t="s">
        <v>29</v>
      </c>
      <c r="B42" s="134">
        <f>+'Billing kW kWh (L.2.2)'!AE26</f>
        <v>-11817.55100101445</v>
      </c>
      <c r="C42" s="134">
        <f>+'Billing Service Charge  (L.2.3)'!Q29</f>
        <v>-11075.156567515978</v>
      </c>
      <c r="D42" s="69">
        <f>SUM(B42:C42)</f>
        <v>-22892.70756853043</v>
      </c>
    </row>
    <row r="43" spans="1:4" ht="15">
      <c r="A43" s="66" t="s">
        <v>52</v>
      </c>
      <c r="B43" s="134">
        <f>+'Billing kW kWh (L.2.2)'!AE39</f>
        <v>9189.3</v>
      </c>
      <c r="C43" s="134">
        <f>+'Billing Service Charge  (L.2.3)'!Q42</f>
        <v>7920.75</v>
      </c>
      <c r="D43" s="69">
        <f t="shared" si="1"/>
        <v>17110.05</v>
      </c>
    </row>
    <row r="44" spans="1:4" ht="15">
      <c r="A44" s="70"/>
      <c r="B44" s="71"/>
      <c r="C44" s="72"/>
      <c r="D44" s="69"/>
    </row>
    <row r="45" spans="1:4" ht="15.75" thickBot="1">
      <c r="A45" s="70" t="s">
        <v>18</v>
      </c>
      <c r="B45" s="73">
        <f>SUM(B30:B44)</f>
        <v>100819.2767612563</v>
      </c>
      <c r="C45" s="73">
        <f>SUM(C30:C44)</f>
        <v>101725.17216442512</v>
      </c>
      <c r="D45" s="140">
        <f>SUM(D30:D44)</f>
        <v>202544.44892568138</v>
      </c>
    </row>
    <row r="46" spans="1:4" ht="15.75" thickBot="1">
      <c r="A46" s="75"/>
      <c r="B46" s="76">
        <f>+B45-'Billing kW kWh (L.2.2)'!AE40</f>
        <v>0</v>
      </c>
      <c r="C46" s="77">
        <f>+C45-'Billing Service Charge  (L.2.3)'!Q43</f>
        <v>0</v>
      </c>
      <c r="D46" s="76">
        <f>+B45+C45-D45</f>
        <v>0</v>
      </c>
    </row>
    <row r="48" ht="15.75" thickBot="1"/>
    <row r="49" spans="1:4" ht="16.5" thickBot="1">
      <c r="A49" s="133">
        <v>2004</v>
      </c>
      <c r="B49" s="133" t="s">
        <v>81</v>
      </c>
      <c r="C49" s="96" t="s">
        <v>82</v>
      </c>
      <c r="D49" s="133" t="s">
        <v>18</v>
      </c>
    </row>
    <row r="50" spans="1:4" ht="15.75">
      <c r="A50" s="58"/>
      <c r="B50" s="59"/>
      <c r="C50" s="60"/>
      <c r="D50" s="61"/>
    </row>
    <row r="51" spans="2:4" ht="15.75">
      <c r="B51" s="63"/>
      <c r="C51" s="64"/>
      <c r="D51" s="61"/>
    </row>
    <row r="52" spans="1:5" ht="15">
      <c r="A52" s="66" t="s">
        <v>48</v>
      </c>
      <c r="B52" s="134">
        <f>+'Billing kW kWh (L.2.2)'!AE51</f>
        <v>8971.59</v>
      </c>
      <c r="C52" s="135">
        <f>+'Billing Service Charge  (L.2.3)'!Q51</f>
        <v>7868.989999999998</v>
      </c>
      <c r="D52" s="69">
        <f aca="true" t="shared" si="2" ref="D52:D65">SUM(B52:C52)</f>
        <v>16840.579999999998</v>
      </c>
      <c r="E52" s="80"/>
    </row>
    <row r="53" spans="1:5" ht="15">
      <c r="A53" s="66" t="s">
        <v>49</v>
      </c>
      <c r="B53" s="134">
        <f>+'Billing kW kWh (L.2.2)'!AE52</f>
        <v>9957.38</v>
      </c>
      <c r="C53" s="135">
        <f>+'Billing Service Charge  (L.2.3)'!Q52</f>
        <v>8282.369999999999</v>
      </c>
      <c r="D53" s="69">
        <f t="shared" si="2"/>
        <v>18239.75</v>
      </c>
      <c r="E53" s="80"/>
    </row>
    <row r="54" spans="1:5" ht="15">
      <c r="A54" s="66" t="s">
        <v>32</v>
      </c>
      <c r="B54" s="134">
        <f>+'Billing kW kWh (L.2.2)'!AE53</f>
        <v>9594.56</v>
      </c>
      <c r="C54" s="135">
        <f>+'Billing Service Charge  (L.2.3)'!Q53</f>
        <v>9632.559999999998</v>
      </c>
      <c r="D54" s="69">
        <f t="shared" si="2"/>
        <v>19227.119999999995</v>
      </c>
      <c r="E54" s="80"/>
    </row>
    <row r="55" spans="1:5" ht="15">
      <c r="A55" s="66" t="s">
        <v>15</v>
      </c>
      <c r="B55" s="134">
        <f>+'Billing kW kWh (L.2.2)'!AE54</f>
        <v>5997.160000000001</v>
      </c>
      <c r="C55" s="135">
        <f>+'Billing Service Charge  (L.2.3)'!Q54</f>
        <v>5624.500000000001</v>
      </c>
      <c r="D55" s="69">
        <f t="shared" si="2"/>
        <v>11621.660000000002</v>
      </c>
      <c r="E55" s="80"/>
    </row>
    <row r="56" spans="1:5" ht="15">
      <c r="A56" s="66" t="s">
        <v>33</v>
      </c>
      <c r="B56" s="134">
        <f>+'Billing kW kWh (L.2.2)'!AE55</f>
        <v>13536.890000000003</v>
      </c>
      <c r="C56" s="135">
        <f>+'Billing Service Charge  (L.2.3)'!Q55</f>
        <v>2672.71</v>
      </c>
      <c r="D56" s="69">
        <f t="shared" si="2"/>
        <v>16209.600000000002</v>
      </c>
      <c r="E56" s="80"/>
    </row>
    <row r="57" spans="1:5" ht="15">
      <c r="A57" s="66" t="s">
        <v>21</v>
      </c>
      <c r="B57" s="134">
        <f>+'Billing kW kWh (L.2.2)'!AE56</f>
        <v>12427.789999999999</v>
      </c>
      <c r="C57" s="135">
        <f>+'Billing Service Charge  (L.2.3)'!Q56</f>
        <v>3.6300000000000003</v>
      </c>
      <c r="D57" s="69">
        <f t="shared" si="2"/>
        <v>12431.419999999998</v>
      </c>
      <c r="E57" s="81"/>
    </row>
    <row r="58" spans="1:5" ht="15">
      <c r="A58" s="66" t="s">
        <v>22</v>
      </c>
      <c r="B58" s="134">
        <f>+'Billing kW kWh (L.2.2)'!AE57</f>
        <v>11057.21</v>
      </c>
      <c r="C58" s="135">
        <f>+'Billing Service Charge  (L.2.3)'!Q57</f>
        <v>0</v>
      </c>
      <c r="D58" s="69">
        <f t="shared" si="2"/>
        <v>11057.21</v>
      </c>
      <c r="E58" s="80"/>
    </row>
    <row r="59" spans="1:5" ht="15">
      <c r="A59" s="66" t="s">
        <v>23</v>
      </c>
      <c r="B59" s="134">
        <f>+'Billing kW kWh (L.2.2)'!AE58</f>
        <v>14239.84</v>
      </c>
      <c r="C59" s="135">
        <f>+'Billing Service Charge  (L.2.3)'!Q58</f>
        <v>0</v>
      </c>
      <c r="D59" s="69">
        <f t="shared" si="2"/>
        <v>14239.84</v>
      </c>
      <c r="E59" s="80"/>
    </row>
    <row r="60" spans="1:5" ht="15">
      <c r="A60" s="66" t="s">
        <v>24</v>
      </c>
      <c r="B60" s="134">
        <f>+'Billing kW kWh (L.2.2)'!AE59</f>
        <v>12483.49</v>
      </c>
      <c r="C60" s="135">
        <f>+'Billing Service Charge  (L.2.3)'!Q59</f>
        <v>0</v>
      </c>
      <c r="D60" s="69">
        <f t="shared" si="2"/>
        <v>12483.49</v>
      </c>
      <c r="E60" s="80"/>
    </row>
    <row r="61" spans="1:5" ht="15">
      <c r="A61" s="66" t="s">
        <v>25</v>
      </c>
      <c r="B61" s="134">
        <f>+'Billing kW kWh (L.2.2)'!AE60</f>
        <v>13888.32</v>
      </c>
      <c r="C61" s="135">
        <f>+'Billing Service Charge  (L.2.3)'!Q60</f>
        <v>0</v>
      </c>
      <c r="D61" s="69">
        <f t="shared" si="2"/>
        <v>13888.32</v>
      </c>
      <c r="E61" s="80"/>
    </row>
    <row r="62" spans="1:5" ht="15">
      <c r="A62" s="66" t="s">
        <v>26</v>
      </c>
      <c r="B62" s="134">
        <f>+'Billing kW kWh (L.2.2)'!AE61</f>
        <v>11894.68</v>
      </c>
      <c r="C62" s="135">
        <f>+'Billing Service Charge  (L.2.3)'!Q61</f>
        <v>0</v>
      </c>
      <c r="D62" s="69">
        <f t="shared" si="2"/>
        <v>11894.68</v>
      </c>
      <c r="E62" s="80"/>
    </row>
    <row r="63" spans="1:5" ht="15">
      <c r="A63" s="66" t="s">
        <v>27</v>
      </c>
      <c r="B63" s="134">
        <f>+'Billing kW kWh (L.2.2)'!AE62</f>
        <v>13259.609999999999</v>
      </c>
      <c r="C63" s="135">
        <f>+'Billing Service Charge  (L.2.3)'!Q62</f>
        <v>0</v>
      </c>
      <c r="D63" s="69">
        <f t="shared" si="2"/>
        <v>13259.609999999999</v>
      </c>
      <c r="E63" s="80"/>
    </row>
    <row r="64" spans="1:5" ht="15">
      <c r="A64" s="66" t="s">
        <v>52</v>
      </c>
      <c r="B64" s="134">
        <f>+'Billing kW kWh (L.2.2)'!AE50</f>
        <v>-9189.3</v>
      </c>
      <c r="C64" s="135">
        <f>+'Billing Service Charge  (L.2.3)'!Q50</f>
        <v>-7920.75</v>
      </c>
      <c r="D64" s="139">
        <f>SUM(B64:C64)</f>
        <v>-17110.05</v>
      </c>
      <c r="E64" s="80"/>
    </row>
    <row r="65" spans="1:5" ht="15">
      <c r="A65" s="66" t="s">
        <v>54</v>
      </c>
      <c r="B65" s="134">
        <f>+'Billing kW kWh (L.2.2)'!AE63</f>
        <v>13247.949999999999</v>
      </c>
      <c r="C65" s="135">
        <f>+'Billing Service Charge  (L.2.3)'!Q63</f>
        <v>0</v>
      </c>
      <c r="D65" s="69">
        <f t="shared" si="2"/>
        <v>13247.949999999999</v>
      </c>
      <c r="E65" s="80"/>
    </row>
    <row r="66" spans="1:5" ht="15">
      <c r="A66" s="70"/>
      <c r="B66" s="71"/>
      <c r="C66" s="72"/>
      <c r="D66" s="69"/>
      <c r="E66" s="80"/>
    </row>
    <row r="67" spans="1:5" ht="15.75" thickBot="1">
      <c r="A67" s="70" t="s">
        <v>18</v>
      </c>
      <c r="B67" s="73">
        <f>SUM(B52:B66)</f>
        <v>141367.16999999998</v>
      </c>
      <c r="C67" s="73">
        <f>SUM(C52:C66)</f>
        <v>26164.009999999995</v>
      </c>
      <c r="D67" s="73">
        <f>SUM(D52:D66)</f>
        <v>167531.18</v>
      </c>
      <c r="E67" s="80"/>
    </row>
    <row r="68" spans="1:4" ht="15.75" thickBot="1">
      <c r="A68" s="75"/>
      <c r="B68" s="76">
        <f>+B67-'Billing kW kWh (L.2.2)'!AE64</f>
        <v>0</v>
      </c>
      <c r="C68" s="77">
        <f>+C67-'Billing Service Charge  (L.2.3)'!Q64</f>
        <v>0</v>
      </c>
      <c r="D68" s="76"/>
    </row>
    <row r="69" ht="15">
      <c r="D69" s="81"/>
    </row>
    <row r="70" ht="15.75" thickBot="1">
      <c r="D70" s="81"/>
    </row>
    <row r="71" spans="1:4" ht="16.5" thickBot="1">
      <c r="A71" s="133">
        <v>2005</v>
      </c>
      <c r="B71" s="133" t="s">
        <v>81</v>
      </c>
      <c r="C71" s="96" t="s">
        <v>82</v>
      </c>
      <c r="D71" s="133" t="s">
        <v>18</v>
      </c>
    </row>
    <row r="72" spans="1:4" ht="15.75">
      <c r="A72" s="58"/>
      <c r="B72" s="59"/>
      <c r="C72" s="60"/>
      <c r="D72" s="61"/>
    </row>
    <row r="73" spans="2:4" ht="15.75">
      <c r="B73" s="63"/>
      <c r="C73" s="64"/>
      <c r="D73" s="61"/>
    </row>
    <row r="74" spans="1:5" ht="15">
      <c r="A74" s="66" t="s">
        <v>48</v>
      </c>
      <c r="B74" s="134">
        <f>+'Billing kW kWh (L.2.2)'!AE75</f>
        <v>13466.140000000001</v>
      </c>
      <c r="C74" s="134"/>
      <c r="D74" s="69">
        <f aca="true" t="shared" si="3" ref="D74:D87">SUM(B74:C74)</f>
        <v>13466.140000000001</v>
      </c>
      <c r="E74" s="80"/>
    </row>
    <row r="75" spans="1:5" ht="15">
      <c r="A75" s="66" t="s">
        <v>49</v>
      </c>
      <c r="B75" s="134">
        <f>+'Billing kW kWh (L.2.2)'!AE76</f>
        <v>14315.140000000001</v>
      </c>
      <c r="C75" s="134"/>
      <c r="D75" s="69">
        <f t="shared" si="3"/>
        <v>14315.140000000001</v>
      </c>
      <c r="E75" s="80"/>
    </row>
    <row r="76" spans="1:5" ht="15">
      <c r="A76" s="66" t="s">
        <v>32</v>
      </c>
      <c r="B76" s="134">
        <f>+'Billing kW kWh (L.2.2)'!AE77</f>
        <v>14863.83</v>
      </c>
      <c r="C76" s="134"/>
      <c r="D76" s="69">
        <f t="shared" si="3"/>
        <v>14863.83</v>
      </c>
      <c r="E76" s="80"/>
    </row>
    <row r="77" spans="1:5" ht="15">
      <c r="A77" s="66" t="s">
        <v>15</v>
      </c>
      <c r="B77" s="134">
        <f>+'Billing kW kWh (L.2.2)'!AE78</f>
        <v>12861.78</v>
      </c>
      <c r="C77" s="134"/>
      <c r="D77" s="69">
        <f t="shared" si="3"/>
        <v>12861.78</v>
      </c>
      <c r="E77" s="80"/>
    </row>
    <row r="78" spans="1:5" ht="15">
      <c r="A78" s="66" t="s">
        <v>33</v>
      </c>
      <c r="B78" s="134">
        <f>+'Billing kW kWh (L.2.2)'!AE79</f>
        <v>7197.34</v>
      </c>
      <c r="C78" s="134"/>
      <c r="D78" s="69">
        <f t="shared" si="3"/>
        <v>7197.34</v>
      </c>
      <c r="E78" s="80"/>
    </row>
    <row r="79" spans="1:5" ht="15">
      <c r="A79" s="66" t="s">
        <v>21</v>
      </c>
      <c r="B79" s="134">
        <f>+'Billing kW kWh (L.2.2)'!AE80</f>
        <v>6281.47</v>
      </c>
      <c r="C79" s="134"/>
      <c r="D79" s="69">
        <f t="shared" si="3"/>
        <v>6281.47</v>
      </c>
      <c r="E79" s="80"/>
    </row>
    <row r="80" spans="1:5" ht="15">
      <c r="A80" s="66" t="s">
        <v>22</v>
      </c>
      <c r="B80" s="134">
        <f>+'Billing kW kWh (L.2.2)'!AE81</f>
        <v>9524.460000000001</v>
      </c>
      <c r="C80" s="134"/>
      <c r="D80" s="69">
        <f t="shared" si="3"/>
        <v>9524.460000000001</v>
      </c>
      <c r="E80" s="80"/>
    </row>
    <row r="81" spans="1:5" ht="15">
      <c r="A81" s="66" t="s">
        <v>23</v>
      </c>
      <c r="B81" s="134">
        <f>+'Billing kW kWh (L.2.2)'!AE82</f>
        <v>10508.249999999998</v>
      </c>
      <c r="C81" s="134"/>
      <c r="D81" s="69">
        <f t="shared" si="3"/>
        <v>10508.249999999998</v>
      </c>
      <c r="E81" s="80"/>
    </row>
    <row r="82" spans="1:5" ht="15">
      <c r="A82" s="66" t="s">
        <v>24</v>
      </c>
      <c r="B82" s="134">
        <f>+'Billing kW kWh (L.2.2)'!AE83</f>
        <v>7693.63</v>
      </c>
      <c r="C82" s="134"/>
      <c r="D82" s="69">
        <f t="shared" si="3"/>
        <v>7693.63</v>
      </c>
      <c r="E82" s="80"/>
    </row>
    <row r="83" spans="1:5" ht="15">
      <c r="A83" s="66" t="s">
        <v>25</v>
      </c>
      <c r="B83" s="134">
        <f>+'Billing kW kWh (L.2.2)'!AE84</f>
        <v>8097.02</v>
      </c>
      <c r="C83" s="134"/>
      <c r="D83" s="69">
        <f t="shared" si="3"/>
        <v>8097.02</v>
      </c>
      <c r="E83" s="80"/>
    </row>
    <row r="84" spans="1:5" ht="15">
      <c r="A84" s="66" t="s">
        <v>26</v>
      </c>
      <c r="B84" s="134">
        <f>+'Billing kW kWh (L.2.2)'!AE85</f>
        <v>7145.7300000000005</v>
      </c>
      <c r="C84" s="134"/>
      <c r="D84" s="69">
        <f t="shared" si="3"/>
        <v>7145.7300000000005</v>
      </c>
      <c r="E84" s="80"/>
    </row>
    <row r="85" spans="1:5" ht="15">
      <c r="A85" s="66" t="s">
        <v>27</v>
      </c>
      <c r="B85" s="134">
        <f>+'Billing kW kWh (L.2.2)'!AE86</f>
        <v>7124.54</v>
      </c>
      <c r="C85" s="134"/>
      <c r="D85" s="69">
        <f t="shared" si="3"/>
        <v>7124.54</v>
      </c>
      <c r="E85" s="80"/>
    </row>
    <row r="86" spans="1:5" ht="15">
      <c r="A86" s="66" t="s">
        <v>54</v>
      </c>
      <c r="B86" s="134">
        <f>+'Billing kW kWh (L.2.2)'!AE74</f>
        <v>-13247.949999999999</v>
      </c>
      <c r="C86" s="134"/>
      <c r="D86" s="139">
        <f>SUM(B86:C86)</f>
        <v>-13247.949999999999</v>
      </c>
      <c r="E86" s="80"/>
    </row>
    <row r="87" spans="1:5" ht="15">
      <c r="A87" s="66" t="s">
        <v>84</v>
      </c>
      <c r="B87" s="134">
        <f>+'Billing kW kWh (L.2.2)'!AE87</f>
        <v>8980.449999999999</v>
      </c>
      <c r="C87" s="134"/>
      <c r="D87" s="69">
        <f t="shared" si="3"/>
        <v>8980.449999999999</v>
      </c>
      <c r="E87" s="80"/>
    </row>
    <row r="88" spans="1:5" ht="15">
      <c r="A88" s="70"/>
      <c r="B88" s="71"/>
      <c r="C88" s="72"/>
      <c r="D88" s="69"/>
      <c r="E88" s="80"/>
    </row>
    <row r="89" spans="1:5" ht="15.75" thickBot="1">
      <c r="A89" s="70" t="s">
        <v>18</v>
      </c>
      <c r="B89" s="73">
        <f>SUM(B74:B88)</f>
        <v>114811.83</v>
      </c>
      <c r="C89" s="73">
        <f>SUM(C74:C88)</f>
        <v>0</v>
      </c>
      <c r="D89" s="73">
        <f>SUM(D74:D88)</f>
        <v>114811.83</v>
      </c>
      <c r="E89" s="80"/>
    </row>
    <row r="90" spans="1:4" ht="15.75" thickBot="1">
      <c r="A90" s="75"/>
      <c r="B90" s="76">
        <f>+B89-'Billing kW kWh (L.2.2)'!AE88</f>
        <v>0</v>
      </c>
      <c r="C90" s="77"/>
      <c r="D90" s="76"/>
    </row>
    <row r="91" ht="15.75" thickBot="1"/>
    <row r="92" spans="1:4" ht="16.5" thickBot="1">
      <c r="A92" s="133">
        <v>2006</v>
      </c>
      <c r="B92" s="133" t="s">
        <v>81</v>
      </c>
      <c r="C92" s="96" t="s">
        <v>82</v>
      </c>
      <c r="D92" s="133" t="s">
        <v>18</v>
      </c>
    </row>
    <row r="93" spans="1:4" ht="15.75">
      <c r="A93" s="58"/>
      <c r="B93" s="59"/>
      <c r="C93" s="60"/>
      <c r="D93" s="61"/>
    </row>
    <row r="94" spans="2:4" ht="15.75">
      <c r="B94" s="63"/>
      <c r="C94" s="64"/>
      <c r="D94" s="61"/>
    </row>
    <row r="95" spans="1:5" ht="15.75">
      <c r="A95" s="66" t="s">
        <v>48</v>
      </c>
      <c r="B95" s="134">
        <f>+'Billing kW kWh (L.2.2)'!AE99</f>
        <v>8595.509999999998</v>
      </c>
      <c r="C95" s="67"/>
      <c r="D95" s="69">
        <f aca="true" t="shared" si="4" ref="D95:D108">SUM(B95:C95)</f>
        <v>8595.509999999998</v>
      </c>
      <c r="E95" s="80"/>
    </row>
    <row r="96" spans="1:5" ht="15.75">
      <c r="A96" s="66" t="s">
        <v>49</v>
      </c>
      <c r="B96" s="134">
        <f>+'Billing kW kWh (L.2.2)'!AE100</f>
        <v>8806.810000000003</v>
      </c>
      <c r="C96" s="67"/>
      <c r="D96" s="69">
        <f t="shared" si="4"/>
        <v>8806.810000000003</v>
      </c>
      <c r="E96" s="80"/>
    </row>
    <row r="97" spans="1:5" ht="15.75">
      <c r="A97" s="66" t="s">
        <v>32</v>
      </c>
      <c r="B97" s="134">
        <f>+'Billing kW kWh (L.2.2)'!AE101</f>
        <v>8615.06</v>
      </c>
      <c r="C97" s="67"/>
      <c r="D97" s="69">
        <f t="shared" si="4"/>
        <v>8615.06</v>
      </c>
      <c r="E97" s="80"/>
    </row>
    <row r="98" spans="1:5" ht="15.75">
      <c r="A98" s="66" t="s">
        <v>15</v>
      </c>
      <c r="B98" s="134">
        <f>+'Billing kW kWh (L.2.2)'!AE102</f>
        <v>6703.519999999999</v>
      </c>
      <c r="C98" s="67"/>
      <c r="D98" s="134">
        <f t="shared" si="4"/>
        <v>6703.519999999999</v>
      </c>
      <c r="E98" s="80"/>
    </row>
    <row r="99" spans="1:5" ht="15.75">
      <c r="A99" s="66" t="s">
        <v>84</v>
      </c>
      <c r="B99" s="134">
        <f>+'Billing kW kWh (L.2.2)'!AE98</f>
        <v>-8980.449999999999</v>
      </c>
      <c r="C99" s="67"/>
      <c r="D99" s="69">
        <f>SUM(B99:C99)</f>
        <v>-8980.449999999999</v>
      </c>
      <c r="E99" s="80"/>
    </row>
    <row r="100" spans="1:5" ht="15.75">
      <c r="A100" s="66" t="s">
        <v>33</v>
      </c>
      <c r="B100" s="134">
        <f>+'Billing kW kWh (L.2.2)'!AE103</f>
        <v>6484.719999999999</v>
      </c>
      <c r="C100" s="67"/>
      <c r="D100" s="136">
        <f t="shared" si="4"/>
        <v>6484.719999999999</v>
      </c>
      <c r="E100" s="80"/>
    </row>
    <row r="101" spans="1:5" ht="15.75">
      <c r="A101" s="66" t="s">
        <v>21</v>
      </c>
      <c r="B101" s="134">
        <f>+'Billing kW kWh (L.2.2)'!AE104</f>
        <v>543.44</v>
      </c>
      <c r="C101" s="67"/>
      <c r="D101" s="136">
        <f t="shared" si="4"/>
        <v>543.44</v>
      </c>
      <c r="E101" s="80"/>
    </row>
    <row r="102" spans="1:5" ht="15.75">
      <c r="A102" s="66" t="s">
        <v>22</v>
      </c>
      <c r="B102" s="134">
        <f>+'Billing kW kWh (L.2.2)'!AE105</f>
        <v>-6.43</v>
      </c>
      <c r="C102" s="67"/>
      <c r="D102" s="136">
        <f t="shared" si="4"/>
        <v>-6.43</v>
      </c>
      <c r="E102" s="80"/>
    </row>
    <row r="103" spans="1:5" ht="15.75">
      <c r="A103" s="66" t="s">
        <v>23</v>
      </c>
      <c r="B103" s="134">
        <f>+'Billing kW kWh (L.2.2)'!AE106</f>
        <v>23.9</v>
      </c>
      <c r="C103" s="67"/>
      <c r="D103" s="136">
        <f t="shared" si="4"/>
        <v>23.9</v>
      </c>
      <c r="E103" s="80"/>
    </row>
    <row r="104" spans="1:6" ht="15.75">
      <c r="A104" s="66" t="s">
        <v>24</v>
      </c>
      <c r="B104" s="134">
        <f>+'Billing kW kWh (L.2.2)'!AE107</f>
        <v>3.43</v>
      </c>
      <c r="C104" s="67"/>
      <c r="D104" s="136">
        <f t="shared" si="4"/>
        <v>3.43</v>
      </c>
      <c r="E104" s="80"/>
      <c r="F104" s="78"/>
    </row>
    <row r="105" spans="1:5" ht="15.75">
      <c r="A105" s="66" t="s">
        <v>25</v>
      </c>
      <c r="B105" s="134">
        <f>+'Billing kW kWh (L.2.2)'!AE108</f>
        <v>0</v>
      </c>
      <c r="C105" s="67"/>
      <c r="D105" s="69">
        <f t="shared" si="4"/>
        <v>0</v>
      </c>
      <c r="E105" s="80"/>
    </row>
    <row r="106" spans="1:5" ht="15.75">
      <c r="A106" s="66" t="s">
        <v>26</v>
      </c>
      <c r="B106" s="134">
        <f>+'Billing kW kWh (L.2.2)'!AE109</f>
        <v>0</v>
      </c>
      <c r="C106" s="67"/>
      <c r="D106" s="69">
        <f t="shared" si="4"/>
        <v>0</v>
      </c>
      <c r="E106" s="80"/>
    </row>
    <row r="107" spans="1:5" ht="15.75">
      <c r="A107" s="66" t="s">
        <v>27</v>
      </c>
      <c r="B107" s="134">
        <f>+'Billing kW kWh (L.2.2)'!AE110</f>
        <v>0</v>
      </c>
      <c r="C107" s="67"/>
      <c r="D107" s="69">
        <f t="shared" si="4"/>
        <v>0</v>
      </c>
      <c r="E107" s="80"/>
    </row>
    <row r="108" spans="1:5" ht="15.75">
      <c r="A108" s="66" t="s">
        <v>71</v>
      </c>
      <c r="B108" s="134">
        <f>+'Billing kW kWh (L.2.2)'!AE111</f>
        <v>0</v>
      </c>
      <c r="C108" s="67"/>
      <c r="D108" s="69">
        <f t="shared" si="4"/>
        <v>0</v>
      </c>
      <c r="E108" s="80"/>
    </row>
    <row r="109" spans="1:5" ht="15">
      <c r="A109" s="70"/>
      <c r="B109" s="71"/>
      <c r="C109" s="72"/>
      <c r="D109" s="69"/>
      <c r="E109" s="80"/>
    </row>
    <row r="110" spans="1:5" ht="15.75" thickBot="1">
      <c r="A110" s="70" t="s">
        <v>18</v>
      </c>
      <c r="B110" s="73">
        <f>SUM(B95:B109)</f>
        <v>30789.51</v>
      </c>
      <c r="C110" s="73">
        <f>SUM(C95:C109)</f>
        <v>0</v>
      </c>
      <c r="D110" s="73">
        <f>SUM(D95:D109)</f>
        <v>30789.51</v>
      </c>
      <c r="E110" s="80"/>
    </row>
    <row r="111" spans="1:4" ht="15.75" thickBot="1">
      <c r="A111" s="75"/>
      <c r="B111" s="76">
        <f>+B110-'Billing kW kWh (L.2.2)'!AE112</f>
        <v>0</v>
      </c>
      <c r="C111" s="77"/>
      <c r="D111" s="76"/>
    </row>
    <row r="112" ht="15.75" thickBot="1"/>
    <row r="113" spans="1:4" ht="15.75" thickBot="1">
      <c r="A113" s="57" t="s">
        <v>140</v>
      </c>
      <c r="D113" s="137">
        <f>SUM(D100:D104)</f>
        <v>7049.0599999999995</v>
      </c>
    </row>
    <row r="115" ht="15.75" thickBot="1"/>
    <row r="116" ht="15.75" thickBot="1">
      <c r="D116" s="138">
        <f>+D23+D45+D67+D89+D110</f>
        <v>688655.1483119297</v>
      </c>
    </row>
    <row r="122" ht="15" customHeight="1"/>
  </sheetData>
  <sheetProtection/>
  <mergeCells count="1">
    <mergeCell ref="A2:D2"/>
  </mergeCells>
  <printOptions/>
  <pageMargins left="0.25" right="0.25" top="0.93" bottom="0.41" header="0.25" footer="0.25"/>
  <pageSetup fitToHeight="0" fitToWidth="1" horizontalDpi="355" verticalDpi="355" orientation="portrait" r:id="rId1"/>
  <headerFooter alignWithMargins="0">
    <oddHeader>&amp;RTillsonburg Hydro Inc.
 EB-2011-0198
 Appendix L.2.1
 Filed: December 9, 2011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PageLayoutView="0" workbookViewId="0" topLeftCell="A1">
      <pane xSplit="1" ySplit="4" topLeftCell="B5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5" sqref="B5"/>
    </sheetView>
  </sheetViews>
  <sheetFormatPr defaultColWidth="9.140625" defaultRowHeight="12.75"/>
  <cols>
    <col min="1" max="1" width="19.00390625" style="57" customWidth="1"/>
    <col min="2" max="13" width="13.7109375" style="57" customWidth="1"/>
    <col min="14" max="14" width="14.140625" style="57" hidden="1" customWidth="1"/>
    <col min="15" max="15" width="12.28125" style="57" hidden="1" customWidth="1"/>
    <col min="16" max="16" width="1.421875" style="57" customWidth="1"/>
    <col min="17" max="28" width="13.7109375" style="57" customWidth="1"/>
    <col min="29" max="30" width="13.7109375" style="57" hidden="1" customWidth="1"/>
    <col min="31" max="31" width="13.7109375" style="57" customWidth="1"/>
    <col min="32" max="16384" width="9.140625" style="57" customWidth="1"/>
  </cols>
  <sheetData>
    <row r="1" spans="1:31" ht="18.75" thickBot="1">
      <c r="A1" s="437" t="s">
        <v>31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9"/>
    </row>
    <row r="2" ht="15.75" thickBot="1"/>
    <row r="3" spans="1:31" ht="16.5" thickBot="1">
      <c r="A3" s="180"/>
      <c r="B3" s="434" t="s">
        <v>19</v>
      </c>
      <c r="C3" s="435"/>
      <c r="D3" s="435"/>
      <c r="E3" s="436"/>
      <c r="F3" s="434" t="s">
        <v>20</v>
      </c>
      <c r="G3" s="435"/>
      <c r="H3" s="435"/>
      <c r="I3" s="435"/>
      <c r="J3" s="435"/>
      <c r="K3" s="435"/>
      <c r="L3" s="435"/>
      <c r="M3" s="435"/>
      <c r="N3" s="435"/>
      <c r="O3" s="436"/>
      <c r="Q3" s="434" t="s">
        <v>30</v>
      </c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6"/>
    </row>
    <row r="4" spans="1:31" s="56" customFormat="1" ht="16.5" thickBot="1">
      <c r="A4" s="157"/>
      <c r="B4" s="428" t="s">
        <v>16</v>
      </c>
      <c r="C4" s="429"/>
      <c r="D4" s="425" t="s">
        <v>17</v>
      </c>
      <c r="E4" s="426"/>
      <c r="F4" s="431" t="s">
        <v>136</v>
      </c>
      <c r="G4" s="431"/>
      <c r="H4" s="418" t="s">
        <v>137</v>
      </c>
      <c r="I4" s="419"/>
      <c r="J4" s="430" t="s">
        <v>135</v>
      </c>
      <c r="K4" s="421"/>
      <c r="L4" s="422" t="s">
        <v>78</v>
      </c>
      <c r="M4" s="417"/>
      <c r="N4" s="427" t="s">
        <v>138</v>
      </c>
      <c r="O4" s="415"/>
      <c r="Q4" s="428" t="s">
        <v>16</v>
      </c>
      <c r="R4" s="429"/>
      <c r="S4" s="425" t="s">
        <v>17</v>
      </c>
      <c r="T4" s="426"/>
      <c r="U4" s="423" t="s">
        <v>136</v>
      </c>
      <c r="V4" s="424"/>
      <c r="W4" s="418" t="s">
        <v>137</v>
      </c>
      <c r="X4" s="419"/>
      <c r="Y4" s="420" t="s">
        <v>139</v>
      </c>
      <c r="Z4" s="421"/>
      <c r="AA4" s="416" t="s">
        <v>78</v>
      </c>
      <c r="AB4" s="417"/>
      <c r="AC4" s="414" t="s">
        <v>138</v>
      </c>
      <c r="AD4" s="415"/>
      <c r="AE4" s="131" t="s">
        <v>18</v>
      </c>
    </row>
    <row r="5" spans="1:31" s="83" customFormat="1" ht="15.75">
      <c r="A5" s="181" t="s">
        <v>28</v>
      </c>
      <c r="B5" s="62"/>
      <c r="C5" s="104"/>
      <c r="D5" s="62"/>
      <c r="E5" s="104"/>
      <c r="F5" s="64"/>
      <c r="G5" s="64"/>
      <c r="H5" s="62"/>
      <c r="I5" s="104"/>
      <c r="J5" s="64"/>
      <c r="K5" s="104"/>
      <c r="L5" s="64"/>
      <c r="M5" s="104"/>
      <c r="N5" s="64"/>
      <c r="O5" s="104"/>
      <c r="Q5" s="287">
        <v>0.0013</v>
      </c>
      <c r="R5" s="288"/>
      <c r="S5" s="287">
        <v>0.0008</v>
      </c>
      <c r="T5" s="288"/>
      <c r="U5" s="287">
        <v>0.0624</v>
      </c>
      <c r="V5" s="288"/>
      <c r="W5" s="287">
        <v>0.0292</v>
      </c>
      <c r="X5" s="288"/>
      <c r="Y5" s="287">
        <v>0.6246</v>
      </c>
      <c r="Z5" s="288"/>
      <c r="AA5" s="287">
        <v>0.3746</v>
      </c>
      <c r="AB5" s="288"/>
      <c r="AC5" s="287">
        <v>0.0008</v>
      </c>
      <c r="AD5" s="104"/>
      <c r="AE5" s="65"/>
    </row>
    <row r="6" spans="1:31" s="83" customFormat="1" ht="15.75">
      <c r="A6" s="182">
        <v>2002</v>
      </c>
      <c r="B6" s="186"/>
      <c r="C6" s="184"/>
      <c r="D6" s="186"/>
      <c r="E6" s="184"/>
      <c r="F6" s="183"/>
      <c r="G6" s="183"/>
      <c r="H6" s="186"/>
      <c r="I6" s="184"/>
      <c r="J6" s="183"/>
      <c r="K6" s="184"/>
      <c r="L6" s="183"/>
      <c r="M6" s="184"/>
      <c r="N6" s="183"/>
      <c r="O6" s="184"/>
      <c r="P6" s="84"/>
      <c r="Q6" s="105"/>
      <c r="R6" s="106"/>
      <c r="S6" s="62"/>
      <c r="T6" s="104"/>
      <c r="U6" s="62"/>
      <c r="V6" s="104"/>
      <c r="W6" s="62"/>
      <c r="X6" s="104"/>
      <c r="Y6" s="62"/>
      <c r="Z6" s="104"/>
      <c r="AA6" s="62"/>
      <c r="AB6" s="104"/>
      <c r="AC6" s="62"/>
      <c r="AD6" s="104"/>
      <c r="AE6" s="65"/>
    </row>
    <row r="7" spans="1:32" ht="15.75">
      <c r="A7" s="212" t="s">
        <v>38</v>
      </c>
      <c r="B7" s="176">
        <f>+ROUND(Q7/Q$5,0)</f>
        <v>1067771</v>
      </c>
      <c r="C7" s="177"/>
      <c r="D7" s="176">
        <f>+ROUND(S7/S$5,0)</f>
        <v>1305271</v>
      </c>
      <c r="E7" s="177"/>
      <c r="F7" s="176">
        <f>+ROUND(U7/U$5,0)</f>
        <v>8646</v>
      </c>
      <c r="G7" s="74"/>
      <c r="H7" s="176">
        <f>+ROUND(W7/W$5,0)</f>
        <v>14408</v>
      </c>
      <c r="I7" s="177"/>
      <c r="J7" s="176">
        <f>+ROUND(Y7/Y$5,0)</f>
        <v>19</v>
      </c>
      <c r="K7" s="177"/>
      <c r="L7" s="176">
        <f>+ROUND(AA7/AA$5,0)</f>
        <v>204</v>
      </c>
      <c r="M7" s="177"/>
      <c r="N7" s="176">
        <f>+ROUND(AC7/AC$5,0)</f>
        <v>0</v>
      </c>
      <c r="O7" s="177"/>
      <c r="P7" s="74"/>
      <c r="Q7" s="217">
        <f>+'2002'!$C$20</f>
        <v>1388.1025225225226</v>
      </c>
      <c r="R7" s="177"/>
      <c r="S7" s="217">
        <f>+'2002'!$C$21+'2002'!$C$22</f>
        <v>1044.216811594203</v>
      </c>
      <c r="T7" s="177"/>
      <c r="U7" s="217">
        <f>+'2002'!$C$23+'2002'!$C$24</f>
        <v>539.5099609069587</v>
      </c>
      <c r="V7" s="177"/>
      <c r="W7" s="217">
        <f>+'2002'!$C$25+'2002'!$C$26</f>
        <v>420.70086084412867</v>
      </c>
      <c r="X7" s="177"/>
      <c r="Y7" s="217">
        <f>+'2002'!$C$28</f>
        <v>11.699367829548114</v>
      </c>
      <c r="Z7" s="177"/>
      <c r="AA7" s="217">
        <f>+'2002'!$C$27</f>
        <v>76.50992710468938</v>
      </c>
      <c r="AB7" s="177"/>
      <c r="AC7" s="176">
        <v>0</v>
      </c>
      <c r="AD7" s="177"/>
      <c r="AE7" s="69">
        <f aca="true" t="shared" si="0" ref="AE7:AE15">SUM(Q7:AC7)</f>
        <v>3480.7394508020498</v>
      </c>
      <c r="AF7" s="78"/>
    </row>
    <row r="8" spans="1:32" ht="15.75">
      <c r="A8" s="212" t="s">
        <v>39</v>
      </c>
      <c r="B8" s="176">
        <f aca="true" t="shared" si="1" ref="B8:N17">+ROUND(Q8/Q$5,0)</f>
        <v>6982400</v>
      </c>
      <c r="C8" s="177"/>
      <c r="D8" s="176">
        <f t="shared" si="1"/>
        <v>2374210</v>
      </c>
      <c r="E8" s="177"/>
      <c r="F8" s="176">
        <f t="shared" si="1"/>
        <v>16496</v>
      </c>
      <c r="G8" s="74"/>
      <c r="H8" s="176">
        <f t="shared" si="1"/>
        <v>14532</v>
      </c>
      <c r="I8" s="185"/>
      <c r="J8" s="176">
        <f t="shared" si="1"/>
        <v>32</v>
      </c>
      <c r="K8" s="185"/>
      <c r="L8" s="176">
        <f t="shared" si="1"/>
        <v>306</v>
      </c>
      <c r="M8" s="185"/>
      <c r="N8" s="176">
        <f t="shared" si="1"/>
        <v>0</v>
      </c>
      <c r="O8" s="185"/>
      <c r="P8" s="74"/>
      <c r="Q8" s="217">
        <f>+'2002'!$D$20+'2002'!$E$20</f>
        <v>9077.120000000003</v>
      </c>
      <c r="R8" s="177"/>
      <c r="S8" s="217">
        <f>+'2002'!$D$21+'2002'!$E$21+'2002'!$D$22+'2002'!$E$22</f>
        <v>1899.3681159420287</v>
      </c>
      <c r="T8" s="177"/>
      <c r="U8" s="217">
        <f>+'2002'!$D$23+'2002'!$E$23+'2002'!$D$24+'2002'!$E$24</f>
        <v>1029.3280062548868</v>
      </c>
      <c r="V8" s="177"/>
      <c r="W8" s="217">
        <f>+'2002'!$D$25+'2002'!$E$25+'2002'!$D$26+'2002'!$E$26</f>
        <v>424.3395737567906</v>
      </c>
      <c r="X8" s="177"/>
      <c r="Y8" s="217">
        <f>+'2002'!$D$28+'2002'!$E$28</f>
        <v>20.03638609225006</v>
      </c>
      <c r="Z8" s="177"/>
      <c r="AA8" s="217">
        <f>+'2002'!$D$27+'2002'!$E$27</f>
        <v>114.78378079338738</v>
      </c>
      <c r="AB8" s="177"/>
      <c r="AC8" s="176">
        <v>0</v>
      </c>
      <c r="AD8" s="177"/>
      <c r="AE8" s="69">
        <f t="shared" si="0"/>
        <v>12564.975862839345</v>
      </c>
      <c r="AF8" s="78"/>
    </row>
    <row r="9" spans="1:32" ht="15.75">
      <c r="A9" s="212" t="s">
        <v>40</v>
      </c>
      <c r="B9" s="176">
        <f t="shared" si="1"/>
        <v>1425701</v>
      </c>
      <c r="C9" s="177"/>
      <c r="D9" s="176">
        <f t="shared" si="1"/>
        <v>870220</v>
      </c>
      <c r="E9" s="177"/>
      <c r="F9" s="176">
        <f t="shared" si="1"/>
        <v>6396</v>
      </c>
      <c r="G9" s="74"/>
      <c r="H9" s="176">
        <f t="shared" si="1"/>
        <v>0</v>
      </c>
      <c r="I9" s="177"/>
      <c r="J9" s="176">
        <f t="shared" si="1"/>
        <v>11</v>
      </c>
      <c r="K9" s="185"/>
      <c r="L9" s="176">
        <f t="shared" si="1"/>
        <v>0</v>
      </c>
      <c r="M9" s="185"/>
      <c r="N9" s="176">
        <f t="shared" si="1"/>
        <v>0</v>
      </c>
      <c r="O9" s="185"/>
      <c r="P9" s="74"/>
      <c r="Q9" s="217">
        <f>+'2002'!$F$20</f>
        <v>1853.4111711711714</v>
      </c>
      <c r="R9" s="177"/>
      <c r="S9" s="217">
        <f>+'2002'!$F$21+'2002'!$F$22</f>
        <v>696.1762318840579</v>
      </c>
      <c r="T9" s="177"/>
      <c r="U9" s="217">
        <f>+'2002'!$F$23+'2002'!$F$24</f>
        <v>399.1392337763878</v>
      </c>
      <c r="V9" s="177"/>
      <c r="W9" s="217">
        <f>+'2002'!$F$25+'2002'!$F$26</f>
        <v>0</v>
      </c>
      <c r="X9" s="177"/>
      <c r="Y9" s="217">
        <f>+'2002'!$F$28</f>
        <v>6.97209201592133</v>
      </c>
      <c r="Z9" s="177"/>
      <c r="AA9" s="217">
        <f>+'2002'!$F$27</f>
        <v>0</v>
      </c>
      <c r="AB9" s="177"/>
      <c r="AC9" s="176">
        <v>0</v>
      </c>
      <c r="AD9" s="177"/>
      <c r="AE9" s="69">
        <f t="shared" si="0"/>
        <v>2955.6987288475384</v>
      </c>
      <c r="AF9" s="78"/>
    </row>
    <row r="10" spans="1:32" ht="15.75">
      <c r="A10" s="212" t="s">
        <v>41</v>
      </c>
      <c r="B10" s="176">
        <f t="shared" si="1"/>
        <v>1147994</v>
      </c>
      <c r="C10" s="177"/>
      <c r="D10" s="176">
        <f t="shared" si="1"/>
        <v>283209</v>
      </c>
      <c r="E10" s="177"/>
      <c r="F10" s="176">
        <f t="shared" si="1"/>
        <v>3053</v>
      </c>
      <c r="G10" s="74"/>
      <c r="H10" s="176">
        <f t="shared" si="1"/>
        <v>14511</v>
      </c>
      <c r="I10" s="177"/>
      <c r="J10" s="176">
        <f t="shared" si="1"/>
        <v>4</v>
      </c>
      <c r="K10" s="185"/>
      <c r="L10" s="176">
        <f t="shared" si="1"/>
        <v>309</v>
      </c>
      <c r="M10" s="185"/>
      <c r="N10" s="176">
        <f t="shared" si="1"/>
        <v>0</v>
      </c>
      <c r="O10" s="185"/>
      <c r="P10" s="74"/>
      <c r="Q10" s="217">
        <f>+'2002'!$G$20</f>
        <v>1492.391801801802</v>
      </c>
      <c r="R10" s="177"/>
      <c r="S10" s="217">
        <f>+'2002'!$G$21+'2002'!$G$22</f>
        <v>226.56695652173912</v>
      </c>
      <c r="T10" s="177"/>
      <c r="U10" s="217">
        <f>+'2002'!$G$23+'2002'!$G$24</f>
        <v>190.52856919468337</v>
      </c>
      <c r="V10" s="177"/>
      <c r="W10" s="217">
        <f>+'2002'!$G$25+'2002'!$G$26</f>
        <v>423.71481821980774</v>
      </c>
      <c r="X10" s="177"/>
      <c r="Y10" s="217">
        <f>+'2002'!$G$28</f>
        <v>2.412994614844299</v>
      </c>
      <c r="Z10" s="177"/>
      <c r="AA10" s="217">
        <f>+'2002'!$G$27</f>
        <v>115.60763448208534</v>
      </c>
      <c r="AB10" s="177"/>
      <c r="AC10" s="176">
        <v>0</v>
      </c>
      <c r="AD10" s="177"/>
      <c r="AE10" s="69">
        <f t="shared" si="0"/>
        <v>2451.222774834962</v>
      </c>
      <c r="AF10" s="78"/>
    </row>
    <row r="11" spans="1:32" ht="15.75">
      <c r="A11" s="212" t="s">
        <v>42</v>
      </c>
      <c r="B11" s="176">
        <f t="shared" si="1"/>
        <v>5629359</v>
      </c>
      <c r="C11" s="177"/>
      <c r="D11" s="176">
        <f t="shared" si="1"/>
        <v>2776152</v>
      </c>
      <c r="E11" s="177"/>
      <c r="F11" s="176">
        <f t="shared" si="1"/>
        <v>15891</v>
      </c>
      <c r="G11" s="74"/>
      <c r="H11" s="176">
        <f t="shared" si="1"/>
        <v>14575</v>
      </c>
      <c r="I11" s="177"/>
      <c r="J11" s="176">
        <f t="shared" si="1"/>
        <v>30</v>
      </c>
      <c r="K11" s="185"/>
      <c r="L11" s="176">
        <f t="shared" si="1"/>
        <v>309</v>
      </c>
      <c r="M11" s="185"/>
      <c r="N11" s="176">
        <f t="shared" si="1"/>
        <v>0</v>
      </c>
      <c r="O11" s="185"/>
      <c r="P11" s="74"/>
      <c r="Q11" s="217">
        <f>+'2002'!$H$20</f>
        <v>7318.167297297297</v>
      </c>
      <c r="R11" s="177"/>
      <c r="S11" s="217">
        <f>+'2002'!$H$21+'2002'!$H$22</f>
        <v>2220.9217391304346</v>
      </c>
      <c r="T11" s="177"/>
      <c r="U11" s="217">
        <f>+'2002'!$H$23+'2002'!$H$24</f>
        <v>991.5989366692729</v>
      </c>
      <c r="V11" s="177"/>
      <c r="W11" s="217">
        <f>+'2002'!$H$25+'2002'!$H$26</f>
        <v>425.58664437944003</v>
      </c>
      <c r="X11" s="177"/>
      <c r="Y11" s="217">
        <f>+'2002'!$H$28</f>
        <v>18.748236946850852</v>
      </c>
      <c r="Z11" s="177"/>
      <c r="AA11" s="217">
        <f>+'2002'!$H$27</f>
        <v>115.60763448208534</v>
      </c>
      <c r="AB11" s="177"/>
      <c r="AC11" s="176">
        <v>0</v>
      </c>
      <c r="AD11" s="177"/>
      <c r="AE11" s="69">
        <f t="shared" si="0"/>
        <v>11090.630488905383</v>
      </c>
      <c r="AF11" s="78"/>
    </row>
    <row r="12" spans="1:32" ht="15.75">
      <c r="A12" s="212" t="s">
        <v>43</v>
      </c>
      <c r="B12" s="176">
        <f t="shared" si="1"/>
        <v>4587465</v>
      </c>
      <c r="C12" s="177"/>
      <c r="D12" s="176">
        <f t="shared" si="1"/>
        <v>1776700</v>
      </c>
      <c r="E12" s="177"/>
      <c r="F12" s="176">
        <f t="shared" si="1"/>
        <v>12872</v>
      </c>
      <c r="G12" s="74"/>
      <c r="H12" s="176">
        <f t="shared" si="1"/>
        <v>14328</v>
      </c>
      <c r="I12" s="177"/>
      <c r="J12" s="176">
        <f t="shared" si="1"/>
        <v>21</v>
      </c>
      <c r="K12" s="185"/>
      <c r="L12" s="176">
        <f t="shared" si="1"/>
        <v>309</v>
      </c>
      <c r="M12" s="185"/>
      <c r="N12" s="176">
        <f t="shared" si="1"/>
        <v>0</v>
      </c>
      <c r="O12" s="185"/>
      <c r="P12" s="74"/>
      <c r="Q12" s="217">
        <f>+'2002'!$I$20</f>
        <v>5963.704324324325</v>
      </c>
      <c r="R12" s="177"/>
      <c r="S12" s="217">
        <f>+'2002'!$I$21+'2002'!$I$22</f>
        <v>1421.3599999999997</v>
      </c>
      <c r="T12" s="177"/>
      <c r="U12" s="217">
        <f>+'2002'!$I$23+'2002'!$I$24</f>
        <v>803.2121657544957</v>
      </c>
      <c r="V12" s="177"/>
      <c r="W12" s="217">
        <f>+'2002'!$I$25+'2002'!$I$26</f>
        <v>418.37389051399913</v>
      </c>
      <c r="X12" s="177"/>
      <c r="Y12" s="217">
        <f>+'2002'!$I$28</f>
        <v>12.938769608990867</v>
      </c>
      <c r="Z12" s="177"/>
      <c r="AA12" s="217">
        <f>+'2002'!$I$27</f>
        <v>115.60763448208534</v>
      </c>
      <c r="AB12" s="177"/>
      <c r="AC12" s="176">
        <v>0</v>
      </c>
      <c r="AD12" s="177"/>
      <c r="AE12" s="69">
        <f t="shared" si="0"/>
        <v>8735.196784683896</v>
      </c>
      <c r="AF12" s="78"/>
    </row>
    <row r="13" spans="1:32" ht="15.75">
      <c r="A13" s="212" t="s">
        <v>44</v>
      </c>
      <c r="B13" s="176">
        <f t="shared" si="1"/>
        <v>4121492</v>
      </c>
      <c r="C13" s="177"/>
      <c r="D13" s="176">
        <f t="shared" si="1"/>
        <v>1918555</v>
      </c>
      <c r="E13" s="177"/>
      <c r="F13" s="176">
        <f t="shared" si="1"/>
        <v>12746</v>
      </c>
      <c r="G13" s="74"/>
      <c r="H13" s="176">
        <f t="shared" si="1"/>
        <v>14624</v>
      </c>
      <c r="I13" s="177"/>
      <c r="J13" s="176">
        <f t="shared" si="1"/>
        <v>20</v>
      </c>
      <c r="K13" s="185"/>
      <c r="L13" s="176">
        <f t="shared" si="1"/>
        <v>309</v>
      </c>
      <c r="M13" s="185"/>
      <c r="N13" s="176">
        <f t="shared" si="1"/>
        <v>0</v>
      </c>
      <c r="O13" s="185"/>
      <c r="P13" s="74"/>
      <c r="Q13" s="217">
        <f>+'2002'!$J$20</f>
        <v>5357.93945945946</v>
      </c>
      <c r="R13" s="177"/>
      <c r="S13" s="217">
        <f>+'2002'!$J$21+'2002'!$J$22</f>
        <v>1534.844057971014</v>
      </c>
      <c r="T13" s="177"/>
      <c r="U13" s="217">
        <f>+'2002'!$J$23+'2002'!$J$24</f>
        <v>795.3475215011729</v>
      </c>
      <c r="V13" s="177"/>
      <c r="W13" s="217">
        <f>+'2002'!$J$25+'2002'!$J$26</f>
        <v>427.00942749686584</v>
      </c>
      <c r="X13" s="177"/>
      <c r="Y13" s="217">
        <f>+'2002'!$J$28</f>
        <v>12.620693046125028</v>
      </c>
      <c r="Z13" s="177"/>
      <c r="AA13" s="217">
        <f>+'2002'!$J$27</f>
        <v>115.60763448208534</v>
      </c>
      <c r="AB13" s="177"/>
      <c r="AC13" s="176">
        <v>0</v>
      </c>
      <c r="AD13" s="177"/>
      <c r="AE13" s="69">
        <f t="shared" si="0"/>
        <v>8243.368793956723</v>
      </c>
      <c r="AF13" s="78"/>
    </row>
    <row r="14" spans="1:32" ht="15.75">
      <c r="A14" s="212" t="s">
        <v>45</v>
      </c>
      <c r="B14" s="176">
        <f t="shared" si="1"/>
        <v>3991581</v>
      </c>
      <c r="C14" s="177"/>
      <c r="D14" s="176">
        <f t="shared" si="1"/>
        <v>1932881</v>
      </c>
      <c r="E14" s="177"/>
      <c r="F14" s="176">
        <f t="shared" si="1"/>
        <v>12969</v>
      </c>
      <c r="G14" s="74"/>
      <c r="H14" s="176">
        <f t="shared" si="1"/>
        <v>14530</v>
      </c>
      <c r="I14" s="177"/>
      <c r="J14" s="176">
        <f t="shared" si="1"/>
        <v>97</v>
      </c>
      <c r="K14" s="185"/>
      <c r="L14" s="176">
        <f t="shared" si="1"/>
        <v>309</v>
      </c>
      <c r="M14" s="185"/>
      <c r="N14" s="176">
        <f t="shared" si="1"/>
        <v>0</v>
      </c>
      <c r="O14" s="185"/>
      <c r="P14" s="74"/>
      <c r="Q14" s="217">
        <f>+'2002'!$K$20</f>
        <v>5189.055405405406</v>
      </c>
      <c r="R14" s="177"/>
      <c r="S14" s="217">
        <f>+'2002'!$K$21+'2002'!$K$22</f>
        <v>1546.3049275362316</v>
      </c>
      <c r="T14" s="177"/>
      <c r="U14" s="217">
        <f>+'2002'!$K$23+'2002'!$K$24</f>
        <v>809.2509147771698</v>
      </c>
      <c r="V14" s="177"/>
      <c r="W14" s="217">
        <f>+'2002'!$K$25+'2002'!$K$26</f>
        <v>424.28954450480563</v>
      </c>
      <c r="X14" s="177"/>
      <c r="Y14" s="217">
        <f>+'2002'!$K$28</f>
        <v>60.475982205572464</v>
      </c>
      <c r="Z14" s="177"/>
      <c r="AA14" s="217">
        <f>+'2002'!$K$27</f>
        <v>115.60763448208534</v>
      </c>
      <c r="AB14" s="177"/>
      <c r="AC14" s="176">
        <v>0</v>
      </c>
      <c r="AD14" s="177"/>
      <c r="AE14" s="69">
        <f t="shared" si="0"/>
        <v>8144.98440891127</v>
      </c>
      <c r="AF14" s="78"/>
    </row>
    <row r="15" spans="1:32" ht="15.75">
      <c r="A15" s="212" t="s">
        <v>46</v>
      </c>
      <c r="B15" s="176">
        <f t="shared" si="1"/>
        <v>3729474</v>
      </c>
      <c r="C15" s="177"/>
      <c r="D15" s="176">
        <f t="shared" si="1"/>
        <v>1799409</v>
      </c>
      <c r="E15" s="177"/>
      <c r="F15" s="176">
        <f t="shared" si="1"/>
        <v>13374</v>
      </c>
      <c r="G15" s="74"/>
      <c r="H15" s="176">
        <f t="shared" si="1"/>
        <v>14708</v>
      </c>
      <c r="I15" s="177"/>
      <c r="J15" s="176">
        <f t="shared" si="1"/>
        <v>20</v>
      </c>
      <c r="K15" s="185"/>
      <c r="L15" s="176">
        <f t="shared" si="1"/>
        <v>309</v>
      </c>
      <c r="M15" s="185"/>
      <c r="N15" s="176">
        <f t="shared" si="1"/>
        <v>0</v>
      </c>
      <c r="O15" s="185"/>
      <c r="P15" s="74"/>
      <c r="Q15" s="217">
        <f>+'2002'!$L$20</f>
        <v>4848.316036036037</v>
      </c>
      <c r="R15" s="177"/>
      <c r="S15" s="217">
        <f>+'2002'!$L$21+'2002'!$L$22</f>
        <v>1439.5269565217388</v>
      </c>
      <c r="T15" s="177"/>
      <c r="U15" s="217">
        <f>+'2002'!$L$23+'2002'!$L$24</f>
        <v>834.5524315871776</v>
      </c>
      <c r="V15" s="177"/>
      <c r="W15" s="217">
        <f>+'2002'!$L$25+'2002'!$L$26</f>
        <v>429.47916422900124</v>
      </c>
      <c r="X15" s="177"/>
      <c r="Y15" s="217">
        <f>+'2002'!$L$28</f>
        <v>12.36964411144931</v>
      </c>
      <c r="Z15" s="177"/>
      <c r="AA15" s="217">
        <f>+'2002'!$L$27</f>
        <v>115.60763448208534</v>
      </c>
      <c r="AB15" s="177"/>
      <c r="AC15" s="176">
        <v>0</v>
      </c>
      <c r="AD15" s="177"/>
      <c r="AE15" s="69">
        <f t="shared" si="0"/>
        <v>7679.851866967489</v>
      </c>
      <c r="AF15" s="78"/>
    </row>
    <row r="16" spans="1:32" ht="15.75">
      <c r="A16" s="212" t="s">
        <v>47</v>
      </c>
      <c r="B16" s="176">
        <f t="shared" si="1"/>
        <v>3948363</v>
      </c>
      <c r="C16" s="177"/>
      <c r="D16" s="176">
        <f t="shared" si="1"/>
        <v>2105880</v>
      </c>
      <c r="E16" s="177"/>
      <c r="F16" s="176">
        <f t="shared" si="1"/>
        <v>12710</v>
      </c>
      <c r="G16" s="74"/>
      <c r="H16" s="176">
        <f t="shared" si="1"/>
        <v>14485</v>
      </c>
      <c r="I16" s="177"/>
      <c r="J16" s="176">
        <f t="shared" si="1"/>
        <v>30</v>
      </c>
      <c r="K16" s="185"/>
      <c r="L16" s="176">
        <f t="shared" si="1"/>
        <v>309</v>
      </c>
      <c r="M16" s="185"/>
      <c r="N16" s="176">
        <f t="shared" si="1"/>
        <v>0</v>
      </c>
      <c r="O16" s="185"/>
      <c r="P16" s="74"/>
      <c r="Q16" s="217">
        <f>+'2002'!$M$20</f>
        <v>5132.871981981983</v>
      </c>
      <c r="R16" s="177"/>
      <c r="S16" s="217">
        <f>+'2002'!$M$21+'2002'!$M$22</f>
        <v>1684.7037681159418</v>
      </c>
      <c r="T16" s="177"/>
      <c r="U16" s="217">
        <f>+'2002'!$M$23+'2002'!$M$24</f>
        <v>793.0983893666929</v>
      </c>
      <c r="V16" s="177"/>
      <c r="W16" s="217">
        <f>+'2002'!$M$25+'2002'!$M$26</f>
        <v>422.96559966569157</v>
      </c>
      <c r="X16" s="177"/>
      <c r="Y16" s="217">
        <f>+'2002'!$M$28</f>
        <v>18.447221962069772</v>
      </c>
      <c r="Z16" s="177"/>
      <c r="AA16" s="217">
        <f>+'2002'!$M$27</f>
        <v>115.60763448208534</v>
      </c>
      <c r="AB16" s="177"/>
      <c r="AC16" s="176">
        <v>0</v>
      </c>
      <c r="AD16" s="177"/>
      <c r="AE16" s="69">
        <f>SUM(Q16:AC16)</f>
        <v>8167.694595574464</v>
      </c>
      <c r="AF16" s="78"/>
    </row>
    <row r="17" spans="1:32" ht="15.75">
      <c r="A17" s="212" t="s">
        <v>53</v>
      </c>
      <c r="B17" s="176">
        <f t="shared" si="1"/>
        <v>6144841</v>
      </c>
      <c r="C17" s="177"/>
      <c r="D17" s="176">
        <f t="shared" si="1"/>
        <v>2625606</v>
      </c>
      <c r="E17" s="177"/>
      <c r="F17" s="176">
        <f t="shared" si="1"/>
        <v>17815</v>
      </c>
      <c r="G17" s="74"/>
      <c r="H17" s="176">
        <f t="shared" si="1"/>
        <v>14737</v>
      </c>
      <c r="I17" s="177"/>
      <c r="J17" s="176">
        <f t="shared" si="1"/>
        <v>114</v>
      </c>
      <c r="K17" s="177"/>
      <c r="L17" s="176">
        <f t="shared" si="1"/>
        <v>309</v>
      </c>
      <c r="M17" s="177"/>
      <c r="N17" s="176">
        <f t="shared" si="1"/>
        <v>0</v>
      </c>
      <c r="O17" s="177"/>
      <c r="P17" s="74"/>
      <c r="Q17" s="217">
        <f>+'2002'!$N$20+'2002'!$O$20</f>
        <v>7988.293873873875</v>
      </c>
      <c r="R17" s="177"/>
      <c r="S17" s="217">
        <f>+'2002'!$N$21+'2002'!$N$22+'2002'!$O$21+'2002'!$O$22</f>
        <v>2100.4846376811593</v>
      </c>
      <c r="T17" s="177"/>
      <c r="U17" s="217">
        <f>+'2002'!$N$23+'2002'!$N$24+'2002'!$O$23+'2002'!$O$24</f>
        <v>1111.6750273651292</v>
      </c>
      <c r="V17" s="177"/>
      <c r="W17" s="217">
        <f>+'2002'!$N$25+'2002'!$N$26+'2002'!$O$25+'2002'!$O$26</f>
        <v>430.31379857918927</v>
      </c>
      <c r="X17" s="177"/>
      <c r="Y17" s="217">
        <f>+'2002'!$N$28+'2002'!$O$28</f>
        <v>71.17602903301334</v>
      </c>
      <c r="Z17" s="177"/>
      <c r="AA17" s="217">
        <f>+'2002'!$N$27+'2002'!$O$27</f>
        <v>115.60763448208534</v>
      </c>
      <c r="AB17" s="177"/>
      <c r="AC17" s="176">
        <v>0</v>
      </c>
      <c r="AD17" s="177"/>
      <c r="AE17" s="69">
        <f>SUM(Q17:AC17)</f>
        <v>11817.55100101445</v>
      </c>
      <c r="AF17" s="78"/>
    </row>
    <row r="18" spans="1:32" ht="15.75" thickBot="1">
      <c r="A18" s="75"/>
      <c r="B18" s="111">
        <f>SUM(B5:B17)</f>
        <v>42776441</v>
      </c>
      <c r="C18" s="88">
        <f aca="true" t="shared" si="2" ref="C18:O18">SUM(C5:C17)</f>
        <v>0</v>
      </c>
      <c r="D18" s="111">
        <f t="shared" si="2"/>
        <v>19768093</v>
      </c>
      <c r="E18" s="112">
        <f t="shared" si="2"/>
        <v>0</v>
      </c>
      <c r="F18" s="111">
        <f t="shared" si="2"/>
        <v>132968</v>
      </c>
      <c r="G18" s="112">
        <f t="shared" si="2"/>
        <v>0</v>
      </c>
      <c r="H18" s="88">
        <f t="shared" si="2"/>
        <v>145438</v>
      </c>
      <c r="I18" s="88">
        <f t="shared" si="2"/>
        <v>0</v>
      </c>
      <c r="J18" s="111">
        <f t="shared" si="2"/>
        <v>398</v>
      </c>
      <c r="K18" s="112">
        <f t="shared" si="2"/>
        <v>0</v>
      </c>
      <c r="L18" s="111">
        <f t="shared" si="2"/>
        <v>2982</v>
      </c>
      <c r="M18" s="112">
        <f t="shared" si="2"/>
        <v>0</v>
      </c>
      <c r="N18" s="111">
        <f t="shared" si="2"/>
        <v>0</v>
      </c>
      <c r="O18" s="112">
        <f t="shared" si="2"/>
        <v>0</v>
      </c>
      <c r="P18" s="74"/>
      <c r="Q18" s="178">
        <f>SUM(Q7:Q17)</f>
        <v>55609.373873873876</v>
      </c>
      <c r="R18" s="179"/>
      <c r="S18" s="178">
        <f>SUM(S7:S17)</f>
        <v>15814.47420289855</v>
      </c>
      <c r="T18" s="179"/>
      <c r="U18" s="178">
        <f>SUM(U7:U17)</f>
        <v>8297.241157154027</v>
      </c>
      <c r="V18" s="179"/>
      <c r="W18" s="178">
        <f>SUM(W7:W17)</f>
        <v>4246.77332218972</v>
      </c>
      <c r="X18" s="179"/>
      <c r="Y18" s="178">
        <f>SUM(Y7:Y17)</f>
        <v>247.89741746663543</v>
      </c>
      <c r="Z18" s="179"/>
      <c r="AA18" s="178">
        <f>SUM(AA7:AA17)</f>
        <v>1116.1547837547596</v>
      </c>
      <c r="AB18" s="179"/>
      <c r="AC18" s="178">
        <f>SUM(AC7:AC17)</f>
        <v>0</v>
      </c>
      <c r="AD18" s="179"/>
      <c r="AE18" s="73">
        <f>SUM(AE7:AE17)</f>
        <v>85331.91475733757</v>
      </c>
      <c r="AF18" s="78"/>
    </row>
    <row r="19" spans="2:32" ht="16.5" thickBo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156">
        <f>SUM(Q18:AC18)</f>
        <v>85331.91475733757</v>
      </c>
      <c r="V19" s="117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7:32" ht="15"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ht="15.75" thickBot="1"/>
    <row r="22" spans="1:31" ht="16.5" thickBot="1">
      <c r="A22" s="180"/>
      <c r="B22" s="434" t="s">
        <v>89</v>
      </c>
      <c r="C22" s="435"/>
      <c r="D22" s="435"/>
      <c r="E22" s="436"/>
      <c r="F22" s="434" t="s">
        <v>20</v>
      </c>
      <c r="G22" s="435"/>
      <c r="H22" s="435"/>
      <c r="I22" s="435"/>
      <c r="J22" s="435"/>
      <c r="K22" s="435"/>
      <c r="L22" s="435"/>
      <c r="M22" s="435"/>
      <c r="N22" s="435"/>
      <c r="O22" s="436"/>
      <c r="Q22" s="434" t="s">
        <v>30</v>
      </c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6"/>
    </row>
    <row r="23" spans="1:31" s="56" customFormat="1" ht="16.5" thickBot="1">
      <c r="A23" s="157"/>
      <c r="B23" s="428" t="s">
        <v>16</v>
      </c>
      <c r="C23" s="429"/>
      <c r="D23" s="425" t="s">
        <v>17</v>
      </c>
      <c r="E23" s="426"/>
      <c r="F23" s="431" t="s">
        <v>136</v>
      </c>
      <c r="G23" s="431"/>
      <c r="H23" s="418" t="s">
        <v>137</v>
      </c>
      <c r="I23" s="419"/>
      <c r="J23" s="430" t="s">
        <v>135</v>
      </c>
      <c r="K23" s="421"/>
      <c r="L23" s="422" t="s">
        <v>78</v>
      </c>
      <c r="M23" s="417"/>
      <c r="N23" s="427" t="s">
        <v>138</v>
      </c>
      <c r="O23" s="415"/>
      <c r="Q23" s="428" t="s">
        <v>16</v>
      </c>
      <c r="R23" s="429"/>
      <c r="S23" s="425" t="s">
        <v>17</v>
      </c>
      <c r="T23" s="426"/>
      <c r="U23" s="423" t="s">
        <v>136</v>
      </c>
      <c r="V23" s="424"/>
      <c r="W23" s="418" t="s">
        <v>137</v>
      </c>
      <c r="X23" s="419"/>
      <c r="Y23" s="420" t="s">
        <v>139</v>
      </c>
      <c r="Z23" s="421"/>
      <c r="AA23" s="416" t="s">
        <v>78</v>
      </c>
      <c r="AB23" s="417"/>
      <c r="AC23" s="414" t="s">
        <v>138</v>
      </c>
      <c r="AD23" s="415"/>
      <c r="AE23" s="131" t="s">
        <v>18</v>
      </c>
    </row>
    <row r="24" spans="1:31" s="83" customFormat="1" ht="15.75">
      <c r="A24" s="181" t="s">
        <v>28</v>
      </c>
      <c r="B24" s="62"/>
      <c r="C24" s="64"/>
      <c r="D24" s="62"/>
      <c r="E24" s="104"/>
      <c r="F24" s="62"/>
      <c r="G24" s="104"/>
      <c r="H24" s="64"/>
      <c r="I24" s="64"/>
      <c r="J24" s="62"/>
      <c r="K24" s="104"/>
      <c r="L24" s="62"/>
      <c r="M24" s="104"/>
      <c r="N24" s="62"/>
      <c r="O24" s="104"/>
      <c r="Q24" s="287">
        <v>0.0013</v>
      </c>
      <c r="R24" s="288"/>
      <c r="S24" s="287">
        <v>0.0008</v>
      </c>
      <c r="T24" s="288"/>
      <c r="U24" s="287">
        <v>0.0624</v>
      </c>
      <c r="V24" s="288"/>
      <c r="W24" s="287">
        <v>0.0292</v>
      </c>
      <c r="X24" s="288"/>
      <c r="Y24" s="287">
        <v>0.6246</v>
      </c>
      <c r="Z24" s="288"/>
      <c r="AA24" s="287">
        <v>0.3746</v>
      </c>
      <c r="AB24" s="288"/>
      <c r="AC24" s="287">
        <v>0.0008</v>
      </c>
      <c r="AD24" s="104"/>
      <c r="AE24" s="65"/>
    </row>
    <row r="25" spans="1:31" s="83" customFormat="1" ht="15.75">
      <c r="A25" s="182">
        <v>2003</v>
      </c>
      <c r="B25" s="186"/>
      <c r="C25" s="183"/>
      <c r="D25" s="186"/>
      <c r="E25" s="184"/>
      <c r="F25" s="186"/>
      <c r="G25" s="184"/>
      <c r="H25" s="183"/>
      <c r="I25" s="183"/>
      <c r="J25" s="186"/>
      <c r="K25" s="184"/>
      <c r="L25" s="186"/>
      <c r="M25" s="184"/>
      <c r="N25" s="186"/>
      <c r="O25" s="184"/>
      <c r="P25" s="84"/>
      <c r="Q25" s="105"/>
      <c r="R25" s="106"/>
      <c r="S25" s="62"/>
      <c r="T25" s="104"/>
      <c r="U25" s="62"/>
      <c r="V25" s="104"/>
      <c r="W25" s="62"/>
      <c r="X25" s="104"/>
      <c r="Y25" s="62"/>
      <c r="Z25" s="104"/>
      <c r="AA25" s="62"/>
      <c r="AB25" s="104"/>
      <c r="AC25" s="62"/>
      <c r="AD25" s="104"/>
      <c r="AE25" s="65"/>
    </row>
    <row r="26" spans="1:31" ht="15.75">
      <c r="A26" s="212" t="s">
        <v>53</v>
      </c>
      <c r="B26" s="176">
        <f>-B17</f>
        <v>-6144841</v>
      </c>
      <c r="C26" s="177"/>
      <c r="D26" s="176">
        <f>-D17</f>
        <v>-2625606</v>
      </c>
      <c r="E26" s="177"/>
      <c r="F26" s="176">
        <f>-F17</f>
        <v>-17815</v>
      </c>
      <c r="G26" s="74"/>
      <c r="H26" s="176">
        <f>-H17</f>
        <v>-14737</v>
      </c>
      <c r="I26" s="177"/>
      <c r="J26" s="176">
        <f>-J17</f>
        <v>-114</v>
      </c>
      <c r="K26" s="177"/>
      <c r="L26" s="176">
        <f>-L17</f>
        <v>-309</v>
      </c>
      <c r="M26" s="177"/>
      <c r="N26" s="176">
        <f>-N17</f>
        <v>0</v>
      </c>
      <c r="O26" s="108"/>
      <c r="P26" s="109"/>
      <c r="Q26" s="107">
        <f>-Q17</f>
        <v>-7988.293873873875</v>
      </c>
      <c r="R26" s="108"/>
      <c r="S26" s="107">
        <f>-S17</f>
        <v>-2100.4846376811593</v>
      </c>
      <c r="T26" s="108"/>
      <c r="U26" s="107">
        <f>-U17</f>
        <v>-1111.6750273651292</v>
      </c>
      <c r="V26" s="108"/>
      <c r="W26" s="107">
        <f>-W17</f>
        <v>-430.31379857918927</v>
      </c>
      <c r="X26" s="108"/>
      <c r="Y26" s="107">
        <f>-Y17</f>
        <v>-71.17602903301334</v>
      </c>
      <c r="Z26" s="108"/>
      <c r="AA26" s="107">
        <f>-AA17</f>
        <v>-115.60763448208534</v>
      </c>
      <c r="AB26" s="108"/>
      <c r="AC26" s="107">
        <f>-AC17</f>
        <v>0</v>
      </c>
      <c r="AD26" s="108"/>
      <c r="AE26" s="110">
        <f>SUM(Q26:AC26)</f>
        <v>-11817.55100101445</v>
      </c>
    </row>
    <row r="27" spans="1:31" ht="15.75">
      <c r="A27" s="212" t="s">
        <v>36</v>
      </c>
      <c r="B27" s="176">
        <f aca="true" t="shared" si="3" ref="B27:B39">+ROUND(Q27/Q$24,0)</f>
        <v>5865106</v>
      </c>
      <c r="C27" s="177"/>
      <c r="D27" s="176">
        <f aca="true" t="shared" si="4" ref="D27:D39">+ROUND(S27/S$24,0)</f>
        <v>2529869</v>
      </c>
      <c r="E27" s="177"/>
      <c r="F27" s="176">
        <f aca="true" t="shared" si="5" ref="F27:F39">+ROUND(U27/U$24,0)</f>
        <v>15286</v>
      </c>
      <c r="G27" s="74"/>
      <c r="H27" s="176">
        <f aca="true" t="shared" si="6" ref="H27:H39">+ROUND(W27/W$24,0)</f>
        <v>11243</v>
      </c>
      <c r="I27" s="177"/>
      <c r="J27" s="176">
        <f aca="true" t="shared" si="7" ref="J27:J39">+ROUND(Y27/Y$24,0)</f>
        <v>110</v>
      </c>
      <c r="K27" s="177"/>
      <c r="L27" s="176">
        <f aca="true" t="shared" si="8" ref="L27:L39">+ROUND(AA27/AA$24,0)</f>
        <v>309</v>
      </c>
      <c r="M27" s="177"/>
      <c r="N27" s="176">
        <f aca="true" t="shared" si="9" ref="N27:N39">+ROUND(AC27/AC$24,0)</f>
        <v>0</v>
      </c>
      <c r="O27" s="108"/>
      <c r="P27" s="109"/>
      <c r="Q27" s="217">
        <f>+'2003'!$E$20</f>
        <v>7624.637387387388</v>
      </c>
      <c r="R27" s="177"/>
      <c r="S27" s="217">
        <f>+'2003'!$E$21+'2003'!$E$22</f>
        <v>2023.8955072463766</v>
      </c>
      <c r="T27" s="177"/>
      <c r="U27" s="217">
        <f>+'2003'!$E$23+'2003'!$E$24</f>
        <v>953.8716888193903</v>
      </c>
      <c r="V27" s="177"/>
      <c r="W27" s="217">
        <f>+'2003'!$E$25+'2003'!$E$26</f>
        <v>328.29195152528206</v>
      </c>
      <c r="X27" s="177"/>
      <c r="Y27" s="217">
        <f>+'2003'!$E$28</f>
        <v>68.88892296885975</v>
      </c>
      <c r="Z27" s="177"/>
      <c r="AA27" s="217">
        <f>+'2003'!$E$27</f>
        <v>115.60763448208534</v>
      </c>
      <c r="AB27" s="177"/>
      <c r="AC27" s="107">
        <v>0</v>
      </c>
      <c r="AD27" s="108"/>
      <c r="AE27" s="110">
        <f>SUM(Q27:AC27)</f>
        <v>11115.193092429381</v>
      </c>
    </row>
    <row r="28" spans="1:31" ht="15.75">
      <c r="A28" s="212" t="s">
        <v>37</v>
      </c>
      <c r="B28" s="176">
        <f t="shared" si="3"/>
        <v>5253636</v>
      </c>
      <c r="C28" s="177"/>
      <c r="D28" s="176">
        <f t="shared" si="4"/>
        <v>2132449</v>
      </c>
      <c r="E28" s="177"/>
      <c r="F28" s="176">
        <f t="shared" si="5"/>
        <v>14762</v>
      </c>
      <c r="G28" s="74"/>
      <c r="H28" s="176">
        <f t="shared" si="6"/>
        <v>14676</v>
      </c>
      <c r="I28" s="177"/>
      <c r="J28" s="176">
        <f t="shared" si="7"/>
        <v>24</v>
      </c>
      <c r="K28" s="177"/>
      <c r="L28" s="176">
        <f t="shared" si="8"/>
        <v>309</v>
      </c>
      <c r="M28" s="177"/>
      <c r="N28" s="176">
        <f t="shared" si="9"/>
        <v>0</v>
      </c>
      <c r="O28" s="108"/>
      <c r="P28" s="109"/>
      <c r="Q28" s="217">
        <f>+'2003'!$F$20</f>
        <v>6829.7264864864865</v>
      </c>
      <c r="R28" s="177"/>
      <c r="S28" s="217">
        <f>+'2003'!$F$21+'2003'!$F$22</f>
        <v>1705.9591304347823</v>
      </c>
      <c r="T28" s="177"/>
      <c r="U28" s="217">
        <f>+'2003'!$F$23+'2003'!$F$24</f>
        <v>921.1533385457388</v>
      </c>
      <c r="V28" s="177"/>
      <c r="W28" s="217">
        <f>+'2003'!$F$25+'2003'!$F$26</f>
        <v>428.53</v>
      </c>
      <c r="X28" s="177"/>
      <c r="Y28" s="217">
        <f>+'2003'!$F$28</f>
        <v>15.027106064153596</v>
      </c>
      <c r="Z28" s="177"/>
      <c r="AA28" s="217">
        <f>+'2003'!$F$27</f>
        <v>115.61</v>
      </c>
      <c r="AB28" s="177"/>
      <c r="AC28" s="107">
        <v>0</v>
      </c>
      <c r="AD28" s="108"/>
      <c r="AE28" s="110">
        <f aca="true" t="shared" si="10" ref="AE28:AE38">SUM(Q28:AC28)</f>
        <v>10016.006061531163</v>
      </c>
    </row>
    <row r="29" spans="1:32" ht="15.75">
      <c r="A29" s="212" t="s">
        <v>38</v>
      </c>
      <c r="B29" s="176">
        <f t="shared" si="3"/>
        <v>4356124</v>
      </c>
      <c r="C29" s="177"/>
      <c r="D29" s="176">
        <f t="shared" si="4"/>
        <v>2022911</v>
      </c>
      <c r="E29" s="177"/>
      <c r="F29" s="176">
        <f t="shared" si="5"/>
        <v>13292</v>
      </c>
      <c r="G29" s="74"/>
      <c r="H29" s="176">
        <f t="shared" si="6"/>
        <v>14821</v>
      </c>
      <c r="I29" s="177"/>
      <c r="J29" s="176">
        <f t="shared" si="7"/>
        <v>23</v>
      </c>
      <c r="K29" s="177"/>
      <c r="L29" s="176">
        <f t="shared" si="8"/>
        <v>309</v>
      </c>
      <c r="M29" s="177"/>
      <c r="N29" s="176">
        <f t="shared" si="9"/>
        <v>0</v>
      </c>
      <c r="O29" s="177"/>
      <c r="P29" s="109"/>
      <c r="Q29" s="217">
        <f>+'2003'!$G$20</f>
        <v>5662.961711711712</v>
      </c>
      <c r="R29" s="177"/>
      <c r="S29" s="217">
        <f>+'2003'!$G$21+'2003'!$G$22</f>
        <v>1618.3288405797102</v>
      </c>
      <c r="T29" s="177"/>
      <c r="U29" s="217">
        <f>+'2003'!$G$23+'2003'!$G$24</f>
        <v>829.4300000000001</v>
      </c>
      <c r="V29" s="177"/>
      <c r="W29" s="217">
        <f>+'2003'!$G$25+'2003'!$G$26</f>
        <v>432.78</v>
      </c>
      <c r="X29" s="177"/>
      <c r="Y29" s="217">
        <f>+'2003'!$G$28</f>
        <v>14.27</v>
      </c>
      <c r="Z29" s="177"/>
      <c r="AA29" s="217">
        <f>+'2003'!$G$27</f>
        <v>115.61</v>
      </c>
      <c r="AB29" s="177"/>
      <c r="AC29" s="107">
        <v>0</v>
      </c>
      <c r="AD29" s="108"/>
      <c r="AE29" s="110">
        <f t="shared" si="10"/>
        <v>8673.380552291424</v>
      </c>
      <c r="AF29" s="78"/>
    </row>
    <row r="30" spans="1:32" ht="15.75">
      <c r="A30" s="212" t="s">
        <v>39</v>
      </c>
      <c r="B30" s="176">
        <f t="shared" si="3"/>
        <v>3742936</v>
      </c>
      <c r="C30" s="177"/>
      <c r="D30" s="176">
        <f t="shared" si="4"/>
        <v>1837813</v>
      </c>
      <c r="E30" s="177"/>
      <c r="F30" s="176">
        <f t="shared" si="5"/>
        <v>12404</v>
      </c>
      <c r="G30" s="74"/>
      <c r="H30" s="176">
        <f t="shared" si="6"/>
        <v>14901</v>
      </c>
      <c r="I30" s="185"/>
      <c r="J30" s="176">
        <f t="shared" si="7"/>
        <v>25</v>
      </c>
      <c r="K30" s="185"/>
      <c r="L30" s="176">
        <f t="shared" si="8"/>
        <v>309</v>
      </c>
      <c r="M30" s="185"/>
      <c r="N30" s="176">
        <f t="shared" si="9"/>
        <v>0</v>
      </c>
      <c r="O30" s="185"/>
      <c r="P30" s="109"/>
      <c r="Q30" s="217">
        <f>+'2003'!$H$20</f>
        <v>4865.816756756757</v>
      </c>
      <c r="R30" s="177"/>
      <c r="S30" s="217">
        <f>+'2003'!$H$21+'2003'!$H$22</f>
        <v>1470.2500000000002</v>
      </c>
      <c r="T30" s="177"/>
      <c r="U30" s="217">
        <f>+'2003'!$H$23+'2003'!$H$24</f>
        <v>774.03</v>
      </c>
      <c r="V30" s="177"/>
      <c r="W30" s="217">
        <f>+'2003'!$H$25+'2003'!$H$26</f>
        <v>435.1</v>
      </c>
      <c r="X30" s="177"/>
      <c r="Y30" s="217">
        <f>+'2003'!$H$28</f>
        <v>15.7</v>
      </c>
      <c r="Z30" s="177"/>
      <c r="AA30" s="217">
        <f>+'2003'!$H$27</f>
        <v>115.61</v>
      </c>
      <c r="AB30" s="177"/>
      <c r="AC30" s="107">
        <v>0</v>
      </c>
      <c r="AD30" s="108"/>
      <c r="AE30" s="110">
        <f t="shared" si="10"/>
        <v>7676.506756756757</v>
      </c>
      <c r="AF30" s="78"/>
    </row>
    <row r="31" spans="1:32" ht="15.75">
      <c r="A31" s="212" t="s">
        <v>40</v>
      </c>
      <c r="B31" s="176">
        <f t="shared" si="3"/>
        <v>4096874</v>
      </c>
      <c r="C31" s="177"/>
      <c r="D31" s="176">
        <f t="shared" si="4"/>
        <v>2299038</v>
      </c>
      <c r="E31" s="177"/>
      <c r="F31" s="176">
        <f t="shared" si="5"/>
        <v>13439</v>
      </c>
      <c r="G31" s="74"/>
      <c r="H31" s="176">
        <f t="shared" si="6"/>
        <v>14961</v>
      </c>
      <c r="I31" s="177"/>
      <c r="J31" s="176">
        <f t="shared" si="7"/>
        <v>25</v>
      </c>
      <c r="K31" s="185"/>
      <c r="L31" s="176">
        <f t="shared" si="8"/>
        <v>309</v>
      </c>
      <c r="M31" s="185"/>
      <c r="N31" s="176">
        <f t="shared" si="9"/>
        <v>0</v>
      </c>
      <c r="O31" s="185"/>
      <c r="P31" s="109"/>
      <c r="Q31" s="217">
        <f>+'2003'!$I$20</f>
        <v>5325.935765765765</v>
      </c>
      <c r="R31" s="177"/>
      <c r="S31" s="217">
        <f>+'2003'!$I$21+'2003'!$I$22</f>
        <v>1839.23</v>
      </c>
      <c r="T31" s="177"/>
      <c r="U31" s="217">
        <f>+'2003'!$I$23+'2003'!$I$24</f>
        <v>838.6099999999999</v>
      </c>
      <c r="V31" s="177"/>
      <c r="W31" s="217">
        <f>+'2003'!$I$25+'2003'!$I$26</f>
        <v>436.86</v>
      </c>
      <c r="X31" s="177"/>
      <c r="Y31" s="217">
        <f>+'2003'!$I$28</f>
        <v>15.39</v>
      </c>
      <c r="Z31" s="177"/>
      <c r="AA31" s="217">
        <f>+'2003'!$I$27</f>
        <v>115.61</v>
      </c>
      <c r="AB31" s="177"/>
      <c r="AC31" s="107">
        <v>0</v>
      </c>
      <c r="AD31" s="108"/>
      <c r="AE31" s="110">
        <f t="shared" si="10"/>
        <v>8571.635765765765</v>
      </c>
      <c r="AF31" s="78"/>
    </row>
    <row r="32" spans="1:32" ht="15.75">
      <c r="A32" s="212" t="s">
        <v>41</v>
      </c>
      <c r="B32" s="176">
        <f t="shared" si="3"/>
        <v>3170430</v>
      </c>
      <c r="C32" s="177"/>
      <c r="D32" s="176">
        <f t="shared" si="4"/>
        <v>1627909</v>
      </c>
      <c r="E32" s="177"/>
      <c r="F32" s="176">
        <f t="shared" si="5"/>
        <v>11504</v>
      </c>
      <c r="G32" s="74"/>
      <c r="H32" s="176">
        <f t="shared" si="6"/>
        <v>15852</v>
      </c>
      <c r="I32" s="177"/>
      <c r="J32" s="176">
        <f t="shared" si="7"/>
        <v>21</v>
      </c>
      <c r="K32" s="185"/>
      <c r="L32" s="176">
        <f t="shared" si="8"/>
        <v>309</v>
      </c>
      <c r="M32" s="185"/>
      <c r="N32" s="176">
        <f t="shared" si="9"/>
        <v>0</v>
      </c>
      <c r="O32" s="185"/>
      <c r="P32" s="109"/>
      <c r="Q32" s="217">
        <f>+'2003'!$J$20</f>
        <v>4121.5594594594595</v>
      </c>
      <c r="R32" s="177"/>
      <c r="S32" s="217">
        <f>+'2003'!$J$21+'2003'!$J$22</f>
        <v>1302.3273913043479</v>
      </c>
      <c r="T32" s="177"/>
      <c r="U32" s="217">
        <f>+'2003'!$J$23+'2003'!$J$24</f>
        <v>717.85</v>
      </c>
      <c r="V32" s="177"/>
      <c r="W32" s="217">
        <f>+'2003'!$J$25+'2003'!$J$26</f>
        <v>462.87</v>
      </c>
      <c r="X32" s="177"/>
      <c r="Y32" s="217">
        <f>+'2003'!$J$28</f>
        <v>12.947915008194801</v>
      </c>
      <c r="Z32" s="177"/>
      <c r="AA32" s="217">
        <f>+'2003'!$J$27</f>
        <v>115.61</v>
      </c>
      <c r="AB32" s="177"/>
      <c r="AC32" s="107">
        <v>0</v>
      </c>
      <c r="AD32" s="108"/>
      <c r="AE32" s="110">
        <f t="shared" si="10"/>
        <v>6733.164765772002</v>
      </c>
      <c r="AF32" s="78"/>
    </row>
    <row r="33" spans="1:32" ht="15.75">
      <c r="A33" s="212" t="s">
        <v>42</v>
      </c>
      <c r="B33" s="176">
        <f t="shared" si="3"/>
        <v>4258537</v>
      </c>
      <c r="C33" s="177"/>
      <c r="D33" s="176">
        <f t="shared" si="4"/>
        <v>2461315</v>
      </c>
      <c r="E33" s="177"/>
      <c r="F33" s="176">
        <f t="shared" si="5"/>
        <v>12838</v>
      </c>
      <c r="G33" s="74"/>
      <c r="H33" s="176">
        <f t="shared" si="6"/>
        <v>14903</v>
      </c>
      <c r="I33" s="177"/>
      <c r="J33" s="176">
        <f t="shared" si="7"/>
        <v>25</v>
      </c>
      <c r="K33" s="185"/>
      <c r="L33" s="176">
        <f t="shared" si="8"/>
        <v>309</v>
      </c>
      <c r="M33" s="185"/>
      <c r="N33" s="176">
        <f t="shared" si="9"/>
        <v>0</v>
      </c>
      <c r="O33" s="185"/>
      <c r="P33" s="109"/>
      <c r="Q33" s="217">
        <f>+'2003'!$K$20</f>
        <v>5536.097657657658</v>
      </c>
      <c r="R33" s="177"/>
      <c r="S33" s="217">
        <f>+'2003'!$K$21+'2003'!$K$22</f>
        <v>1969.0520289855076</v>
      </c>
      <c r="T33" s="177"/>
      <c r="U33" s="217">
        <f>+'2003'!$K$23+'2003'!$K$24</f>
        <v>801.0999999999999</v>
      </c>
      <c r="V33" s="177"/>
      <c r="W33" s="217">
        <f>+'2003'!$K$25+'2003'!$K$26</f>
        <v>435.17</v>
      </c>
      <c r="X33" s="177"/>
      <c r="Y33" s="217">
        <f>+'2003'!$K$28</f>
        <v>15.81</v>
      </c>
      <c r="Z33" s="177"/>
      <c r="AA33" s="217">
        <f>+'2003'!$K$27</f>
        <v>115.61</v>
      </c>
      <c r="AB33" s="177"/>
      <c r="AC33" s="107">
        <v>0</v>
      </c>
      <c r="AD33" s="108"/>
      <c r="AE33" s="110">
        <f t="shared" si="10"/>
        <v>8872.839686643165</v>
      </c>
      <c r="AF33" s="78"/>
    </row>
    <row r="34" spans="1:32" ht="15.75">
      <c r="A34" s="212" t="s">
        <v>43</v>
      </c>
      <c r="B34" s="176">
        <f t="shared" si="3"/>
        <v>4584423</v>
      </c>
      <c r="C34" s="177"/>
      <c r="D34" s="176">
        <f t="shared" si="4"/>
        <v>2340988</v>
      </c>
      <c r="E34" s="177"/>
      <c r="F34" s="176">
        <f t="shared" si="5"/>
        <v>13374</v>
      </c>
      <c r="G34" s="74"/>
      <c r="H34" s="176">
        <f t="shared" si="6"/>
        <v>14210</v>
      </c>
      <c r="I34" s="177"/>
      <c r="J34" s="176">
        <f t="shared" si="7"/>
        <v>25</v>
      </c>
      <c r="K34" s="185"/>
      <c r="L34" s="176">
        <f t="shared" si="8"/>
        <v>309</v>
      </c>
      <c r="M34" s="185"/>
      <c r="N34" s="176">
        <f t="shared" si="9"/>
        <v>0</v>
      </c>
      <c r="O34" s="185"/>
      <c r="P34" s="109"/>
      <c r="Q34" s="217">
        <f>+'2003'!$L$20</f>
        <v>5959.75</v>
      </c>
      <c r="R34" s="177"/>
      <c r="S34" s="217">
        <f>+'2003'!$L$21+'2003'!$L$22</f>
        <v>1872.7899999999997</v>
      </c>
      <c r="T34" s="177"/>
      <c r="U34" s="217">
        <f>+'2003'!$L$23+'2003'!$L$24</f>
        <v>834.53</v>
      </c>
      <c r="V34" s="177"/>
      <c r="W34" s="217">
        <f>+'2003'!$L$25+'2003'!$L$26</f>
        <v>414.93</v>
      </c>
      <c r="X34" s="177"/>
      <c r="Y34" s="217">
        <f>+'2003'!$L$28</f>
        <v>15.81</v>
      </c>
      <c r="Z34" s="177"/>
      <c r="AA34" s="217">
        <f>+'2003'!$L$27</f>
        <v>115.61</v>
      </c>
      <c r="AB34" s="177"/>
      <c r="AC34" s="107">
        <v>0</v>
      </c>
      <c r="AD34" s="108"/>
      <c r="AE34" s="110">
        <f t="shared" si="10"/>
        <v>9213.42</v>
      </c>
      <c r="AF34" s="78"/>
    </row>
    <row r="35" spans="1:32" ht="15.75">
      <c r="A35" s="212" t="s">
        <v>44</v>
      </c>
      <c r="B35" s="176">
        <f t="shared" si="3"/>
        <v>4496832</v>
      </c>
      <c r="C35" s="177"/>
      <c r="D35" s="176">
        <f t="shared" si="4"/>
        <v>2287750</v>
      </c>
      <c r="E35" s="177"/>
      <c r="F35" s="176">
        <f t="shared" si="5"/>
        <v>13824</v>
      </c>
      <c r="G35" s="74"/>
      <c r="H35" s="176">
        <f t="shared" si="6"/>
        <v>15176</v>
      </c>
      <c r="I35" s="177"/>
      <c r="J35" s="176">
        <f t="shared" si="7"/>
        <v>25</v>
      </c>
      <c r="K35" s="185"/>
      <c r="L35" s="176">
        <f t="shared" si="8"/>
        <v>309</v>
      </c>
      <c r="M35" s="185"/>
      <c r="N35" s="176">
        <f t="shared" si="9"/>
        <v>0</v>
      </c>
      <c r="O35" s="185"/>
      <c r="P35" s="109"/>
      <c r="Q35" s="217">
        <f>+'2003'!$M$20</f>
        <v>5845.881081081081</v>
      </c>
      <c r="R35" s="177"/>
      <c r="S35" s="217">
        <f>+'2003'!$M$21+'2003'!$M$22</f>
        <v>1830.1999999999998</v>
      </c>
      <c r="T35" s="177"/>
      <c r="U35" s="217">
        <f>+'2003'!$M$23+'2003'!$M$24</f>
        <v>862.64</v>
      </c>
      <c r="V35" s="177"/>
      <c r="W35" s="217">
        <f>+'2003'!$M$25+'2003'!$M$26</f>
        <v>443.13</v>
      </c>
      <c r="X35" s="177"/>
      <c r="Y35" s="217">
        <f>+'2003'!$M$28</f>
        <v>15.81</v>
      </c>
      <c r="Z35" s="177"/>
      <c r="AA35" s="217">
        <f>+'2003'!$M$27</f>
        <v>115.61</v>
      </c>
      <c r="AB35" s="177"/>
      <c r="AC35" s="107">
        <v>0</v>
      </c>
      <c r="AD35" s="108"/>
      <c r="AE35" s="110">
        <f t="shared" si="10"/>
        <v>9113.27108108108</v>
      </c>
      <c r="AF35" s="78"/>
    </row>
    <row r="36" spans="1:32" ht="15.75">
      <c r="A36" s="212" t="s">
        <v>45</v>
      </c>
      <c r="B36" s="176">
        <f t="shared" si="3"/>
        <v>3665092</v>
      </c>
      <c r="C36" s="177"/>
      <c r="D36" s="176">
        <f t="shared" si="4"/>
        <v>2083838</v>
      </c>
      <c r="E36" s="177"/>
      <c r="F36" s="176">
        <f t="shared" si="5"/>
        <v>13597</v>
      </c>
      <c r="G36" s="74"/>
      <c r="H36" s="176">
        <f t="shared" si="6"/>
        <v>15278</v>
      </c>
      <c r="I36" s="177"/>
      <c r="J36" s="176">
        <f t="shared" si="7"/>
        <v>25</v>
      </c>
      <c r="K36" s="185"/>
      <c r="L36" s="176">
        <f t="shared" si="8"/>
        <v>309</v>
      </c>
      <c r="M36" s="185"/>
      <c r="N36" s="176">
        <f t="shared" si="9"/>
        <v>0</v>
      </c>
      <c r="O36" s="185"/>
      <c r="P36" s="109"/>
      <c r="Q36" s="217">
        <f>+'2003'!$N$20</f>
        <v>4764.62</v>
      </c>
      <c r="R36" s="177"/>
      <c r="S36" s="217">
        <f>+'2003'!$N$21+'2003'!$N$22</f>
        <v>1667.0699999999997</v>
      </c>
      <c r="T36" s="177"/>
      <c r="U36" s="217">
        <f>+'2003'!$N$23+'2003'!$N$24</f>
        <v>848.4399999999999</v>
      </c>
      <c r="V36" s="177"/>
      <c r="W36" s="217">
        <f>+'2003'!$N$25+'2003'!$N$26</f>
        <v>446.11</v>
      </c>
      <c r="X36" s="177"/>
      <c r="Y36" s="217">
        <f>+'2003'!$N$28</f>
        <v>15.81</v>
      </c>
      <c r="Z36" s="177"/>
      <c r="AA36" s="217">
        <f>+'2003'!$N$27</f>
        <v>115.61</v>
      </c>
      <c r="AB36" s="177"/>
      <c r="AC36" s="107">
        <v>0</v>
      </c>
      <c r="AD36" s="108"/>
      <c r="AE36" s="110">
        <f t="shared" si="10"/>
        <v>7857.659999999999</v>
      </c>
      <c r="AF36" s="78"/>
    </row>
    <row r="37" spans="1:32" ht="15.75">
      <c r="A37" s="212" t="s">
        <v>46</v>
      </c>
      <c r="B37" s="176">
        <f t="shared" si="3"/>
        <v>3441954</v>
      </c>
      <c r="C37" s="177"/>
      <c r="D37" s="176">
        <f t="shared" si="4"/>
        <v>1974850</v>
      </c>
      <c r="E37" s="177"/>
      <c r="F37" s="176">
        <f t="shared" si="5"/>
        <v>11562</v>
      </c>
      <c r="G37" s="74"/>
      <c r="H37" s="176">
        <f t="shared" si="6"/>
        <v>15072</v>
      </c>
      <c r="I37" s="177"/>
      <c r="J37" s="176">
        <f t="shared" si="7"/>
        <v>25</v>
      </c>
      <c r="K37" s="185"/>
      <c r="L37" s="176">
        <f t="shared" si="8"/>
        <v>309</v>
      </c>
      <c r="M37" s="185"/>
      <c r="N37" s="176">
        <f t="shared" si="9"/>
        <v>0</v>
      </c>
      <c r="O37" s="185"/>
      <c r="P37" s="109"/>
      <c r="Q37" s="217">
        <f>+'2003'!$O$20</f>
        <v>4474.54</v>
      </c>
      <c r="R37" s="108"/>
      <c r="S37" s="217">
        <f>+'2003'!$O$21+'2003'!$O$22</f>
        <v>1579.8799999999999</v>
      </c>
      <c r="T37" s="177"/>
      <c r="U37" s="217">
        <f>+'2003'!$O$23+'2003'!$O$24</f>
        <v>721.4399999999999</v>
      </c>
      <c r="V37" s="177"/>
      <c r="W37" s="217">
        <f>+'2003'!$O$25+'2003'!$O$26</f>
        <v>440.09</v>
      </c>
      <c r="X37" s="177"/>
      <c r="Y37" s="217">
        <f>+'2003'!$O$28</f>
        <v>15.42</v>
      </c>
      <c r="Z37" s="177"/>
      <c r="AA37" s="217">
        <f>+'2003'!$O$27</f>
        <v>115.61</v>
      </c>
      <c r="AB37" s="177"/>
      <c r="AC37" s="107">
        <v>0</v>
      </c>
      <c r="AD37" s="108"/>
      <c r="AE37" s="110">
        <f t="shared" si="10"/>
        <v>7346.98</v>
      </c>
      <c r="AF37" s="78"/>
    </row>
    <row r="38" spans="1:32" ht="15.75">
      <c r="A38" s="212" t="s">
        <v>47</v>
      </c>
      <c r="B38" s="176">
        <f t="shared" si="3"/>
        <v>3987777</v>
      </c>
      <c r="C38" s="177"/>
      <c r="D38" s="176">
        <f t="shared" si="4"/>
        <v>2163163</v>
      </c>
      <c r="E38" s="177"/>
      <c r="F38" s="176">
        <f t="shared" si="5"/>
        <v>12826</v>
      </c>
      <c r="G38" s="74"/>
      <c r="H38" s="176">
        <f t="shared" si="6"/>
        <v>13514</v>
      </c>
      <c r="I38" s="177"/>
      <c r="J38" s="176">
        <f t="shared" si="7"/>
        <v>52</v>
      </c>
      <c r="K38" s="185"/>
      <c r="L38" s="176">
        <f t="shared" si="8"/>
        <v>309</v>
      </c>
      <c r="M38" s="185"/>
      <c r="N38" s="176">
        <f t="shared" si="9"/>
        <v>0</v>
      </c>
      <c r="O38" s="185"/>
      <c r="P38" s="109"/>
      <c r="Q38" s="217">
        <f>+'2003'!$P$20</f>
        <v>5184.110000000001</v>
      </c>
      <c r="R38" s="108"/>
      <c r="S38" s="217">
        <f>+'2003'!$P$21+'2003'!$P$22</f>
        <v>1730.5299999999997</v>
      </c>
      <c r="T38" s="177"/>
      <c r="U38" s="217">
        <f>+'2003'!$P$23+'2003'!$P$24</f>
        <v>800.3299999999999</v>
      </c>
      <c r="V38" s="177"/>
      <c r="W38" s="217">
        <f>+'2003'!$P$25+'2003'!$P$26</f>
        <v>394.6</v>
      </c>
      <c r="X38" s="177"/>
      <c r="Y38" s="217">
        <f>+'2003'!$P$28</f>
        <v>32.29</v>
      </c>
      <c r="Z38" s="177"/>
      <c r="AA38" s="217">
        <f>+'2003'!$P$27</f>
        <v>115.61</v>
      </c>
      <c r="AB38" s="177"/>
      <c r="AC38" s="107">
        <v>0</v>
      </c>
      <c r="AD38" s="108"/>
      <c r="AE38" s="110">
        <f t="shared" si="10"/>
        <v>8257.470000000001</v>
      </c>
      <c r="AF38" s="78"/>
    </row>
    <row r="39" spans="1:32" ht="15.75">
      <c r="A39" s="212" t="s">
        <v>53</v>
      </c>
      <c r="B39" s="176">
        <f t="shared" si="3"/>
        <v>4585485</v>
      </c>
      <c r="C39" s="177"/>
      <c r="D39" s="176">
        <f t="shared" si="4"/>
        <v>2254500</v>
      </c>
      <c r="E39" s="177"/>
      <c r="F39" s="176">
        <f t="shared" si="5"/>
        <v>13172</v>
      </c>
      <c r="G39" s="74"/>
      <c r="H39" s="176">
        <f t="shared" si="6"/>
        <v>15008</v>
      </c>
      <c r="I39" s="177"/>
      <c r="J39" s="176">
        <f t="shared" si="7"/>
        <v>78</v>
      </c>
      <c r="K39" s="177"/>
      <c r="L39" s="176">
        <f t="shared" si="8"/>
        <v>309</v>
      </c>
      <c r="M39" s="177"/>
      <c r="N39" s="176">
        <f t="shared" si="9"/>
        <v>0</v>
      </c>
      <c r="O39" s="177"/>
      <c r="P39" s="109"/>
      <c r="Q39" s="217">
        <f>+'2003'!$Q$20+'2003'!$R$20</f>
        <v>5961.13</v>
      </c>
      <c r="R39" s="108"/>
      <c r="S39" s="217">
        <f>+'2003'!$Q$21+'2003'!$Q$22+'2003'!$R$21+'2003'!$R$22</f>
        <v>1803.5999999999997</v>
      </c>
      <c r="T39" s="177"/>
      <c r="U39" s="217">
        <f>+'2003'!$Q$23+'2003'!$Q$24+'2003'!$R$23+'2003'!$R$24</f>
        <v>821.9100000000001</v>
      </c>
      <c r="V39" s="177"/>
      <c r="W39" s="217">
        <f>+'2003'!$Q$25+'2003'!$Q$26+'2003'!$R$25+'2003'!$R$26</f>
        <v>438.24</v>
      </c>
      <c r="X39" s="177"/>
      <c r="Y39" s="217">
        <f>+'2003'!$Q$28+'2003'!$R$28</f>
        <v>48.809999999999995</v>
      </c>
      <c r="Z39" s="177"/>
      <c r="AA39" s="217">
        <f>+'2003'!$Q$27+'2003'!$R$27</f>
        <v>115.61</v>
      </c>
      <c r="AB39" s="177"/>
      <c r="AC39" s="107">
        <v>0</v>
      </c>
      <c r="AD39" s="108"/>
      <c r="AE39" s="110">
        <f>SUM(Q39:AC39)</f>
        <v>9189.3</v>
      </c>
      <c r="AF39" s="78"/>
    </row>
    <row r="40" spans="1:32" ht="15.75" thickBot="1">
      <c r="A40" s="187"/>
      <c r="B40" s="111">
        <f>SUM(B26:B39)</f>
        <v>49360365</v>
      </c>
      <c r="C40" s="88">
        <f aca="true" t="shared" si="11" ref="C40:O40">SUM(C26:C39)</f>
        <v>0</v>
      </c>
      <c r="D40" s="111">
        <f t="shared" si="11"/>
        <v>25390787</v>
      </c>
      <c r="E40" s="112">
        <f t="shared" si="11"/>
        <v>0</v>
      </c>
      <c r="F40" s="111">
        <f t="shared" si="11"/>
        <v>154065</v>
      </c>
      <c r="G40" s="112">
        <f t="shared" si="11"/>
        <v>0</v>
      </c>
      <c r="H40" s="88">
        <f t="shared" si="11"/>
        <v>174878</v>
      </c>
      <c r="I40" s="88">
        <f t="shared" si="11"/>
        <v>0</v>
      </c>
      <c r="J40" s="88">
        <f t="shared" si="11"/>
        <v>369</v>
      </c>
      <c r="K40" s="88">
        <f t="shared" si="11"/>
        <v>0</v>
      </c>
      <c r="L40" s="88">
        <f t="shared" si="11"/>
        <v>3708</v>
      </c>
      <c r="M40" s="88">
        <f t="shared" si="11"/>
        <v>0</v>
      </c>
      <c r="N40" s="88">
        <f t="shared" si="11"/>
        <v>0</v>
      </c>
      <c r="O40" s="88">
        <f t="shared" si="11"/>
        <v>0</v>
      </c>
      <c r="P40" s="109"/>
      <c r="Q40" s="111">
        <f>SUM(Q26:Q39)</f>
        <v>64168.472432432434</v>
      </c>
      <c r="R40" s="112"/>
      <c r="S40" s="111">
        <f>SUM(S26:S39)</f>
        <v>20312.628260869562</v>
      </c>
      <c r="T40" s="112"/>
      <c r="U40" s="111">
        <f>SUM(U26:U39)</f>
        <v>9613.66</v>
      </c>
      <c r="V40" s="112"/>
      <c r="W40" s="111">
        <f>SUM(W26:W39)</f>
        <v>5106.388152946093</v>
      </c>
      <c r="X40" s="112"/>
      <c r="Y40" s="111">
        <f>SUM(Y26:Y39)</f>
        <v>230.80791500819478</v>
      </c>
      <c r="Z40" s="112"/>
      <c r="AA40" s="111">
        <f>SUM(AA26:AA39)</f>
        <v>1387.3199999999997</v>
      </c>
      <c r="AB40" s="112"/>
      <c r="AC40" s="111">
        <f>SUM(AC26:AC39)</f>
        <v>0</v>
      </c>
      <c r="AD40" s="112"/>
      <c r="AE40" s="113">
        <f>SUM(AE26:AE39)</f>
        <v>100819.27676125629</v>
      </c>
      <c r="AF40" s="78"/>
    </row>
    <row r="41" spans="1:32" ht="16.5" thickBot="1">
      <c r="A41" s="160"/>
      <c r="B41" s="90"/>
      <c r="C41" s="109"/>
      <c r="D41" s="90"/>
      <c r="E41" s="90"/>
      <c r="F41" s="90"/>
      <c r="G41" s="90"/>
      <c r="H41" s="90"/>
      <c r="I41" s="90"/>
      <c r="J41" s="90"/>
      <c r="K41" s="109"/>
      <c r="L41" s="90"/>
      <c r="M41" s="109"/>
      <c r="N41" s="90"/>
      <c r="O41" s="109"/>
      <c r="P41" s="109"/>
      <c r="Q41" s="86"/>
      <c r="R41" s="86"/>
      <c r="S41" s="86"/>
      <c r="T41" s="86"/>
      <c r="U41" s="158">
        <f>SUM(Q40:AC40)</f>
        <v>100819.27676125627</v>
      </c>
      <c r="V41" s="132"/>
      <c r="W41" s="86"/>
      <c r="X41" s="86"/>
      <c r="Y41" s="86"/>
      <c r="Z41" s="86"/>
      <c r="AA41" s="86"/>
      <c r="AB41" s="86"/>
      <c r="AC41" s="86"/>
      <c r="AD41" s="86"/>
      <c r="AE41" s="78"/>
      <c r="AF41" s="78"/>
    </row>
    <row r="42" spans="1:32" ht="15.75">
      <c r="A42" s="160"/>
      <c r="B42" s="90"/>
      <c r="C42" s="109"/>
      <c r="D42" s="90"/>
      <c r="E42" s="109"/>
      <c r="F42" s="90"/>
      <c r="G42" s="90"/>
      <c r="H42" s="90"/>
      <c r="I42" s="161"/>
      <c r="J42" s="90"/>
      <c r="K42" s="109"/>
      <c r="L42" s="90"/>
      <c r="M42" s="109"/>
      <c r="N42" s="90"/>
      <c r="O42" s="109"/>
      <c r="P42" s="109"/>
      <c r="Q42" s="86"/>
      <c r="R42" s="86"/>
      <c r="S42" s="86"/>
      <c r="T42" s="86"/>
      <c r="U42" s="132"/>
      <c r="V42" s="132"/>
      <c r="W42" s="87"/>
      <c r="X42" s="86"/>
      <c r="Y42" s="86"/>
      <c r="Z42" s="86"/>
      <c r="AA42" s="86"/>
      <c r="AB42" s="86"/>
      <c r="AC42" s="86"/>
      <c r="AD42" s="86"/>
      <c r="AE42" s="78"/>
      <c r="AF42" s="78"/>
    </row>
    <row r="43" ht="15.75" thickBot="1"/>
    <row r="44" spans="1:31" ht="16.5" thickBot="1">
      <c r="A44" s="100"/>
      <c r="B44" s="440" t="s">
        <v>89</v>
      </c>
      <c r="C44" s="441"/>
      <c r="D44" s="441"/>
      <c r="E44" s="443"/>
      <c r="F44" s="440" t="s">
        <v>20</v>
      </c>
      <c r="G44" s="441"/>
      <c r="H44" s="441"/>
      <c r="I44" s="441"/>
      <c r="J44" s="441"/>
      <c r="K44" s="441"/>
      <c r="L44" s="441"/>
      <c r="M44" s="441"/>
      <c r="N44" s="441"/>
      <c r="O44" s="443"/>
      <c r="Q44" s="440" t="s">
        <v>58</v>
      </c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3"/>
    </row>
    <row r="45" spans="1:31" s="56" customFormat="1" ht="16.5" thickBot="1">
      <c r="A45" s="157"/>
      <c r="B45" s="428" t="s">
        <v>16</v>
      </c>
      <c r="C45" s="429"/>
      <c r="D45" s="425" t="s">
        <v>17</v>
      </c>
      <c r="E45" s="426"/>
      <c r="F45" s="431" t="s">
        <v>136</v>
      </c>
      <c r="G45" s="431"/>
      <c r="H45" s="418" t="s">
        <v>137</v>
      </c>
      <c r="I45" s="419"/>
      <c r="J45" s="430" t="s">
        <v>135</v>
      </c>
      <c r="K45" s="421"/>
      <c r="L45" s="422" t="s">
        <v>78</v>
      </c>
      <c r="M45" s="417"/>
      <c r="N45" s="427" t="s">
        <v>138</v>
      </c>
      <c r="O45" s="415"/>
      <c r="Q45" s="428" t="s">
        <v>16</v>
      </c>
      <c r="R45" s="429"/>
      <c r="S45" s="425" t="s">
        <v>17</v>
      </c>
      <c r="T45" s="426"/>
      <c r="U45" s="423" t="s">
        <v>136</v>
      </c>
      <c r="V45" s="424"/>
      <c r="W45" s="418" t="s">
        <v>137</v>
      </c>
      <c r="X45" s="419"/>
      <c r="Y45" s="420" t="s">
        <v>139</v>
      </c>
      <c r="Z45" s="421"/>
      <c r="AA45" s="416" t="s">
        <v>78</v>
      </c>
      <c r="AB45" s="417"/>
      <c r="AC45" s="414" t="s">
        <v>138</v>
      </c>
      <c r="AD45" s="415"/>
      <c r="AE45" s="432" t="s">
        <v>18</v>
      </c>
    </row>
    <row r="46" spans="1:31" s="56" customFormat="1" ht="16.5" thickBot="1">
      <c r="A46" s="192"/>
      <c r="B46" s="123" t="s">
        <v>55</v>
      </c>
      <c r="C46" s="128" t="s">
        <v>56</v>
      </c>
      <c r="D46" s="189" t="s">
        <v>55</v>
      </c>
      <c r="E46" s="196" t="s">
        <v>56</v>
      </c>
      <c r="F46" s="166" t="s">
        <v>55</v>
      </c>
      <c r="G46" s="198" t="s">
        <v>56</v>
      </c>
      <c r="H46" s="167" t="s">
        <v>55</v>
      </c>
      <c r="I46" s="200" t="s">
        <v>56</v>
      </c>
      <c r="J46" s="129" t="s">
        <v>55</v>
      </c>
      <c r="K46" s="130" t="s">
        <v>56</v>
      </c>
      <c r="L46" s="129" t="s">
        <v>55</v>
      </c>
      <c r="M46" s="130" t="s">
        <v>56</v>
      </c>
      <c r="N46" s="129" t="s">
        <v>55</v>
      </c>
      <c r="O46" s="130" t="s">
        <v>56</v>
      </c>
      <c r="Q46" s="123" t="s">
        <v>55</v>
      </c>
      <c r="R46" s="128" t="s">
        <v>57</v>
      </c>
      <c r="S46" s="164" t="s">
        <v>55</v>
      </c>
      <c r="T46" s="196" t="s">
        <v>57</v>
      </c>
      <c r="U46" s="168" t="s">
        <v>55</v>
      </c>
      <c r="V46" s="198" t="s">
        <v>57</v>
      </c>
      <c r="W46" s="167" t="s">
        <v>55</v>
      </c>
      <c r="X46" s="200" t="s">
        <v>57</v>
      </c>
      <c r="Y46" s="124" t="s">
        <v>55</v>
      </c>
      <c r="Z46" s="130" t="s">
        <v>57</v>
      </c>
      <c r="AA46" s="124" t="s">
        <v>55</v>
      </c>
      <c r="AB46" s="130" t="s">
        <v>57</v>
      </c>
      <c r="AC46" s="124" t="s">
        <v>55</v>
      </c>
      <c r="AD46" s="130" t="s">
        <v>57</v>
      </c>
      <c r="AE46" s="433"/>
    </row>
    <row r="47" spans="1:31" s="83" customFormat="1" ht="15.75">
      <c r="A47" s="193" t="s">
        <v>87</v>
      </c>
      <c r="B47" s="62"/>
      <c r="C47" s="65"/>
      <c r="D47" s="62"/>
      <c r="E47" s="65"/>
      <c r="F47" s="64"/>
      <c r="G47" s="65"/>
      <c r="H47" s="64"/>
      <c r="I47" s="65"/>
      <c r="J47" s="64"/>
      <c r="K47" s="65"/>
      <c r="L47" s="64"/>
      <c r="M47" s="65"/>
      <c r="N47" s="64"/>
      <c r="O47" s="65"/>
      <c r="Q47" s="293">
        <v>0.0013</v>
      </c>
      <c r="R47" s="288"/>
      <c r="S47" s="293">
        <v>0.0008</v>
      </c>
      <c r="T47" s="288"/>
      <c r="U47" s="293">
        <v>0.0624</v>
      </c>
      <c r="V47" s="288"/>
      <c r="W47" s="293">
        <v>0.0292</v>
      </c>
      <c r="X47" s="288"/>
      <c r="Y47" s="293">
        <v>0.6246</v>
      </c>
      <c r="Z47" s="288"/>
      <c r="AA47" s="293">
        <v>0.3745</v>
      </c>
      <c r="AB47" s="288"/>
      <c r="AC47" s="287">
        <v>0.0008</v>
      </c>
      <c r="AD47" s="289"/>
      <c r="AE47" s="102"/>
    </row>
    <row r="48" spans="1:31" s="83" customFormat="1" ht="16.5" thickBot="1">
      <c r="A48" s="193" t="s">
        <v>88</v>
      </c>
      <c r="B48" s="62"/>
      <c r="C48" s="65"/>
      <c r="D48" s="62"/>
      <c r="E48" s="65"/>
      <c r="F48" s="64"/>
      <c r="G48" s="65"/>
      <c r="H48" s="64"/>
      <c r="I48" s="65"/>
      <c r="J48" s="64"/>
      <c r="K48" s="65"/>
      <c r="L48" s="64"/>
      <c r="M48" s="65"/>
      <c r="N48" s="64"/>
      <c r="O48" s="65"/>
      <c r="Q48" s="290"/>
      <c r="R48" s="291">
        <v>0.002</v>
      </c>
      <c r="S48" s="292"/>
      <c r="T48" s="291">
        <v>0.00122</v>
      </c>
      <c r="U48" s="290"/>
      <c r="V48" s="291">
        <v>0.09</v>
      </c>
      <c r="W48" s="292"/>
      <c r="X48" s="291">
        <v>0.044</v>
      </c>
      <c r="Y48" s="290"/>
      <c r="Z48" s="291">
        <v>0.6648</v>
      </c>
      <c r="AA48" s="290"/>
      <c r="AB48" s="291">
        <v>0.5888</v>
      </c>
      <c r="AC48" s="290"/>
      <c r="AD48" s="291">
        <v>0.00122</v>
      </c>
      <c r="AE48" s="103"/>
    </row>
    <row r="49" spans="1:31" s="83" customFormat="1" ht="15.75">
      <c r="A49" s="201">
        <v>2004</v>
      </c>
      <c r="B49" s="186"/>
      <c r="C49" s="191"/>
      <c r="D49" s="190"/>
      <c r="E49" s="197"/>
      <c r="F49" s="183"/>
      <c r="G49" s="191"/>
      <c r="H49" s="183"/>
      <c r="I49" s="191"/>
      <c r="J49" s="183"/>
      <c r="K49" s="191"/>
      <c r="L49" s="183"/>
      <c r="M49" s="191"/>
      <c r="N49" s="183"/>
      <c r="O49" s="191"/>
      <c r="P49" s="84"/>
      <c r="Q49" s="105"/>
      <c r="R49" s="63"/>
      <c r="S49" s="64"/>
      <c r="T49" s="65"/>
      <c r="U49" s="62"/>
      <c r="V49" s="65"/>
      <c r="W49" s="64"/>
      <c r="X49" s="65"/>
      <c r="Y49" s="62"/>
      <c r="Z49" s="65"/>
      <c r="AA49" s="62"/>
      <c r="AB49" s="65"/>
      <c r="AC49" s="62"/>
      <c r="AD49" s="65"/>
      <c r="AE49" s="65"/>
    </row>
    <row r="50" spans="1:31" ht="15.75">
      <c r="A50" s="212" t="s">
        <v>53</v>
      </c>
      <c r="B50" s="69">
        <f>-B39</f>
        <v>-4585485</v>
      </c>
      <c r="C50" s="177"/>
      <c r="D50" s="69">
        <f>-D39</f>
        <v>-2254500</v>
      </c>
      <c r="E50" s="177"/>
      <c r="F50" s="69">
        <f>-F39</f>
        <v>-13172</v>
      </c>
      <c r="G50" s="74"/>
      <c r="H50" s="69">
        <f>-H39</f>
        <v>-15008</v>
      </c>
      <c r="I50" s="74"/>
      <c r="J50" s="69">
        <f>-J39</f>
        <v>-78</v>
      </c>
      <c r="K50" s="74"/>
      <c r="L50" s="69">
        <f>-L39</f>
        <v>-309</v>
      </c>
      <c r="M50" s="74"/>
      <c r="N50" s="69">
        <f>-N39</f>
        <v>0</v>
      </c>
      <c r="O50" s="108"/>
      <c r="P50" s="109"/>
      <c r="Q50" s="107">
        <f aca="true" t="shared" si="12" ref="Q50:AD50">-Q39</f>
        <v>-5961.13</v>
      </c>
      <c r="R50" s="110">
        <f t="shared" si="12"/>
        <v>0</v>
      </c>
      <c r="S50" s="107">
        <f t="shared" si="12"/>
        <v>-1803.5999999999997</v>
      </c>
      <c r="T50" s="110">
        <f t="shared" si="12"/>
        <v>0</v>
      </c>
      <c r="U50" s="107">
        <f t="shared" si="12"/>
        <v>-821.9100000000001</v>
      </c>
      <c r="V50" s="110">
        <f t="shared" si="12"/>
        <v>0</v>
      </c>
      <c r="W50" s="107">
        <f t="shared" si="12"/>
        <v>-438.24</v>
      </c>
      <c r="X50" s="110">
        <f t="shared" si="12"/>
        <v>0</v>
      </c>
      <c r="Y50" s="107">
        <f t="shared" si="12"/>
        <v>-48.809999999999995</v>
      </c>
      <c r="Z50" s="110">
        <f t="shared" si="12"/>
        <v>0</v>
      </c>
      <c r="AA50" s="107">
        <f t="shared" si="12"/>
        <v>-115.61</v>
      </c>
      <c r="AB50" s="110">
        <f t="shared" si="12"/>
        <v>0</v>
      </c>
      <c r="AC50" s="107">
        <f t="shared" si="12"/>
        <v>0</v>
      </c>
      <c r="AD50" s="110">
        <f t="shared" si="12"/>
        <v>0</v>
      </c>
      <c r="AE50" s="110">
        <f aca="true" t="shared" si="13" ref="AE50:AE63">SUM(Q50:AD50)</f>
        <v>-9189.3</v>
      </c>
    </row>
    <row r="51" spans="1:31" ht="15.75">
      <c r="A51" s="212" t="s">
        <v>36</v>
      </c>
      <c r="B51" s="69">
        <f aca="true" t="shared" si="14" ref="B51:B63">+ROUND(Q51/Q$47,0)</f>
        <v>4430315</v>
      </c>
      <c r="C51" s="69">
        <f aca="true" t="shared" si="15" ref="C51:C63">+ROUND(R51/R$48,0)</f>
        <v>0</v>
      </c>
      <c r="D51" s="69">
        <f aca="true" t="shared" si="16" ref="D51:D63">+ROUND(S51/S$47,0)</f>
        <v>2297200</v>
      </c>
      <c r="E51" s="69">
        <f aca="true" t="shared" si="17" ref="E51:E63">+ROUND(T51/T$48,0)</f>
        <v>0</v>
      </c>
      <c r="F51" s="69">
        <f aca="true" t="shared" si="18" ref="F51:F63">+ROUND(U51/U$47,0)</f>
        <v>12379</v>
      </c>
      <c r="G51" s="69">
        <f aca="true" t="shared" si="19" ref="G51:G63">+ROUND(V51/V$48,0)</f>
        <v>0</v>
      </c>
      <c r="H51" s="69">
        <f aca="true" t="shared" si="20" ref="H51:H63">+ROUND(W51/W$47,0)</f>
        <v>15008</v>
      </c>
      <c r="I51" s="69">
        <f aca="true" t="shared" si="21" ref="I51:I63">+ROUND(X51/X$48,0)</f>
        <v>0</v>
      </c>
      <c r="J51" s="69">
        <f aca="true" t="shared" si="22" ref="J51:J63">+ROUND(Y51/Y$47,0)</f>
        <v>77</v>
      </c>
      <c r="K51" s="69">
        <f aca="true" t="shared" si="23" ref="K51:K63">+ROUND(Z51/Z$48,0)</f>
        <v>0</v>
      </c>
      <c r="L51" s="69">
        <f aca="true" t="shared" si="24" ref="L51:L63">+ROUND(AA51/AA$47,0)</f>
        <v>309</v>
      </c>
      <c r="M51" s="69">
        <f aca="true" t="shared" si="25" ref="M51:M63">+ROUND(AB51/AB$48,0)</f>
        <v>0</v>
      </c>
      <c r="N51" s="69">
        <f aca="true" t="shared" si="26" ref="N51:N63">+ROUND(AC51/AC$47,0)</f>
        <v>0</v>
      </c>
      <c r="O51" s="69">
        <f aca="true" t="shared" si="27" ref="O51:O63">+ROUND(AD51/AD$48,0)</f>
        <v>0</v>
      </c>
      <c r="P51" s="109"/>
      <c r="Q51" s="217">
        <f>+'2004'!$E$20</f>
        <v>5759.41</v>
      </c>
      <c r="R51" s="217">
        <f>+'2004'!$E$33</f>
        <v>0</v>
      </c>
      <c r="S51" s="71">
        <f>+'2004'!$E$21+'2004'!$E$22</f>
        <v>1837.7599999999995</v>
      </c>
      <c r="T51" s="71">
        <f>+'2004'!$E$34+'2004'!$E$35</f>
        <v>0</v>
      </c>
      <c r="U51" s="71">
        <f>+'2004'!$E$23+'2004'!$E$24</f>
        <v>772.46</v>
      </c>
      <c r="V51" s="71">
        <f>+'2004'!$E$36+'2004'!$E$37</f>
        <v>0</v>
      </c>
      <c r="W51" s="71">
        <f>+'2004'!$E$25+'2004'!$E$26</f>
        <v>438.24</v>
      </c>
      <c r="X51" s="71">
        <f>+'2004'!$E$38+'2004'!$E$39</f>
        <v>0</v>
      </c>
      <c r="Y51" s="71">
        <f>+'2004'!$E$28</f>
        <v>48.11</v>
      </c>
      <c r="Z51" s="71">
        <f>+'2004'!$E$41</f>
        <v>0</v>
      </c>
      <c r="AA51" s="71">
        <f>+'2004'!$E$27</f>
        <v>115.61</v>
      </c>
      <c r="AB51" s="71">
        <f>+'2004'!$E$40</f>
        <v>0</v>
      </c>
      <c r="AC51" s="107">
        <v>0</v>
      </c>
      <c r="AD51" s="107">
        <v>0</v>
      </c>
      <c r="AE51" s="110">
        <f t="shared" si="13"/>
        <v>8971.59</v>
      </c>
    </row>
    <row r="52" spans="1:31" ht="15.75">
      <c r="A52" s="212" t="s">
        <v>37</v>
      </c>
      <c r="B52" s="69">
        <f t="shared" si="14"/>
        <v>5053338</v>
      </c>
      <c r="C52" s="69">
        <f t="shared" si="15"/>
        <v>0</v>
      </c>
      <c r="D52" s="69">
        <f t="shared" si="16"/>
        <v>2490163</v>
      </c>
      <c r="E52" s="69">
        <f t="shared" si="17"/>
        <v>0</v>
      </c>
      <c r="F52" s="69">
        <f t="shared" si="18"/>
        <v>13090</v>
      </c>
      <c r="G52" s="69">
        <f t="shared" si="19"/>
        <v>0</v>
      </c>
      <c r="H52" s="69">
        <f t="shared" si="20"/>
        <v>15385</v>
      </c>
      <c r="I52" s="69">
        <f t="shared" si="21"/>
        <v>0</v>
      </c>
      <c r="J52" s="69">
        <f t="shared" si="22"/>
        <v>23</v>
      </c>
      <c r="K52" s="69">
        <f t="shared" si="23"/>
        <v>0</v>
      </c>
      <c r="L52" s="69">
        <f t="shared" si="24"/>
        <v>309</v>
      </c>
      <c r="M52" s="69">
        <f t="shared" si="25"/>
        <v>0</v>
      </c>
      <c r="N52" s="69">
        <f t="shared" si="26"/>
        <v>0</v>
      </c>
      <c r="O52" s="69">
        <f t="shared" si="27"/>
        <v>0</v>
      </c>
      <c r="P52" s="109"/>
      <c r="Q52" s="217">
        <f>+'2004'!$F$20</f>
        <v>6569.34</v>
      </c>
      <c r="R52" s="217">
        <f>+'2004'!$F$33</f>
        <v>0</v>
      </c>
      <c r="S52" s="71">
        <f>+'2004'!$F$21+'2004'!$F$22</f>
        <v>1992.1299999999999</v>
      </c>
      <c r="T52" s="71">
        <f>+'2004'!$F$34+'2004'!$F$35</f>
        <v>0</v>
      </c>
      <c r="U52" s="71">
        <f>+'2004'!$F$23+'2004'!$F$24</f>
        <v>816.8</v>
      </c>
      <c r="V52" s="71">
        <f>+'2004'!$F$36+'2004'!$F$37</f>
        <v>0</v>
      </c>
      <c r="W52" s="71">
        <f>+'2004'!$F$25+'2004'!$F$26</f>
        <v>449.23</v>
      </c>
      <c r="X52" s="71">
        <f>+'2004'!$F$38+'2004'!$F$39</f>
        <v>0</v>
      </c>
      <c r="Y52" s="71">
        <f>+'2004'!$F$28</f>
        <v>14.27</v>
      </c>
      <c r="Z52" s="71">
        <f>+'2004'!$F$41</f>
        <v>0</v>
      </c>
      <c r="AA52" s="71">
        <f>+'2004'!$F$27</f>
        <v>115.61</v>
      </c>
      <c r="AB52" s="71">
        <f>+'2004'!$F$40</f>
        <v>0</v>
      </c>
      <c r="AC52" s="107">
        <v>0</v>
      </c>
      <c r="AD52" s="107">
        <v>0</v>
      </c>
      <c r="AE52" s="110">
        <f t="shared" si="13"/>
        <v>9957.38</v>
      </c>
    </row>
    <row r="53" spans="1:32" ht="15.75">
      <c r="A53" s="212" t="s">
        <v>38</v>
      </c>
      <c r="B53" s="69">
        <f t="shared" si="14"/>
        <v>4745438</v>
      </c>
      <c r="C53" s="69">
        <f t="shared" si="15"/>
        <v>0</v>
      </c>
      <c r="D53" s="69">
        <f t="shared" si="16"/>
        <v>2449250</v>
      </c>
      <c r="E53" s="69">
        <f t="shared" si="17"/>
        <v>0</v>
      </c>
      <c r="F53" s="69">
        <f t="shared" si="18"/>
        <v>14166</v>
      </c>
      <c r="G53" s="69">
        <f t="shared" si="19"/>
        <v>0</v>
      </c>
      <c r="H53" s="69">
        <f t="shared" si="20"/>
        <v>15362</v>
      </c>
      <c r="I53" s="69">
        <f t="shared" si="21"/>
        <v>0</v>
      </c>
      <c r="J53" s="69">
        <f t="shared" si="22"/>
        <v>29</v>
      </c>
      <c r="K53" s="69">
        <f t="shared" si="23"/>
        <v>0</v>
      </c>
      <c r="L53" s="69">
        <f t="shared" si="24"/>
        <v>309</v>
      </c>
      <c r="M53" s="69">
        <f t="shared" si="25"/>
        <v>0</v>
      </c>
      <c r="N53" s="69">
        <f t="shared" si="26"/>
        <v>0</v>
      </c>
      <c r="O53" s="69">
        <f t="shared" si="27"/>
        <v>0</v>
      </c>
      <c r="P53" s="109"/>
      <c r="Q53" s="217">
        <f>+'2004'!$G$20</f>
        <v>6169.07</v>
      </c>
      <c r="R53" s="217">
        <f>+'2004'!$G$33</f>
        <v>0</v>
      </c>
      <c r="S53" s="71">
        <f>+'2004'!$G$21+'2004'!$G$22</f>
        <v>1959.4</v>
      </c>
      <c r="T53" s="71">
        <f>+'2004'!$G$34+'2004'!$G$35</f>
        <v>0</v>
      </c>
      <c r="U53" s="71">
        <f>+'2004'!$G$23+'2004'!$G$24</f>
        <v>883.94</v>
      </c>
      <c r="V53" s="71">
        <f>+'2004'!$G$36+'2004'!$G$37</f>
        <v>0</v>
      </c>
      <c r="W53" s="71">
        <f>+'2004'!$G$25+'2004'!$G$26</f>
        <v>448.56</v>
      </c>
      <c r="X53" s="71">
        <f>+'2004'!$G$38+'2004'!$G$39</f>
        <v>0</v>
      </c>
      <c r="Y53" s="71">
        <f>+'2004'!$G$28</f>
        <v>17.98</v>
      </c>
      <c r="Z53" s="71">
        <f>+'2004'!$G$41</f>
        <v>0</v>
      </c>
      <c r="AA53" s="71">
        <f>+'2004'!$G$27</f>
        <v>115.61</v>
      </c>
      <c r="AB53" s="71">
        <f>+'2004'!$G$40</f>
        <v>0</v>
      </c>
      <c r="AC53" s="107">
        <v>0</v>
      </c>
      <c r="AD53" s="107">
        <v>0</v>
      </c>
      <c r="AE53" s="110">
        <f t="shared" si="13"/>
        <v>9594.56</v>
      </c>
      <c r="AF53" s="78"/>
    </row>
    <row r="54" spans="1:32" ht="15.75">
      <c r="A54" s="212" t="s">
        <v>39</v>
      </c>
      <c r="B54" s="69">
        <f t="shared" si="14"/>
        <v>2434885</v>
      </c>
      <c r="C54" s="69">
        <f t="shared" si="15"/>
        <v>145095</v>
      </c>
      <c r="D54" s="69">
        <f t="shared" si="16"/>
        <v>1527938</v>
      </c>
      <c r="E54" s="69">
        <f t="shared" si="17"/>
        <v>90066</v>
      </c>
      <c r="F54" s="69">
        <f t="shared" si="18"/>
        <v>10142</v>
      </c>
      <c r="G54" s="69">
        <f t="shared" si="19"/>
        <v>195</v>
      </c>
      <c r="H54" s="69">
        <f t="shared" si="20"/>
        <v>18782</v>
      </c>
      <c r="I54" s="69">
        <f t="shared" si="21"/>
        <v>0</v>
      </c>
      <c r="J54" s="69">
        <f t="shared" si="22"/>
        <v>0</v>
      </c>
      <c r="K54" s="69">
        <f t="shared" si="23"/>
        <v>0</v>
      </c>
      <c r="L54" s="69">
        <f t="shared" si="24"/>
        <v>28</v>
      </c>
      <c r="M54" s="69">
        <f t="shared" si="25"/>
        <v>0</v>
      </c>
      <c r="N54" s="69">
        <f t="shared" si="26"/>
        <v>0</v>
      </c>
      <c r="O54" s="69">
        <f t="shared" si="27"/>
        <v>0</v>
      </c>
      <c r="P54" s="109"/>
      <c r="Q54" s="217">
        <f>+'2004'!$H$20</f>
        <v>3165.35</v>
      </c>
      <c r="R54" s="217">
        <f>+'2004'!$H$33</f>
        <v>290.19</v>
      </c>
      <c r="S54" s="71">
        <f>+'2004'!$H$21+'2004'!$H$22</f>
        <v>1222.3500000000001</v>
      </c>
      <c r="T54" s="71">
        <f>+'2004'!$H$34+'2004'!$H$35</f>
        <v>109.88</v>
      </c>
      <c r="U54" s="71">
        <f>+'2004'!$H$23+'2004'!$H$24</f>
        <v>632.83</v>
      </c>
      <c r="V54" s="71">
        <f>+'2004'!$H$36+'2004'!$H$37</f>
        <v>17.59</v>
      </c>
      <c r="W54" s="71">
        <f>+'2004'!$H$25+'2004'!$H$26</f>
        <v>548.43</v>
      </c>
      <c r="X54" s="71">
        <f>+'2004'!$H$38+'2004'!$H$39</f>
        <v>0</v>
      </c>
      <c r="Y54" s="71">
        <f>+'2004'!$H$28</f>
        <v>0</v>
      </c>
      <c r="Z54" s="71">
        <f>+'2004'!$H$41</f>
        <v>0</v>
      </c>
      <c r="AA54" s="71">
        <f>+'2004'!$H$27</f>
        <v>10.38</v>
      </c>
      <c r="AB54" s="71">
        <f>+'2004'!$H$40</f>
        <v>0.16</v>
      </c>
      <c r="AC54" s="107">
        <v>0</v>
      </c>
      <c r="AD54" s="107">
        <v>0</v>
      </c>
      <c r="AE54" s="110">
        <f t="shared" si="13"/>
        <v>5997.160000000001</v>
      </c>
      <c r="AF54" s="78"/>
    </row>
    <row r="55" spans="1:32" ht="15.75">
      <c r="A55" s="212" t="s">
        <v>40</v>
      </c>
      <c r="B55" s="69">
        <f t="shared" si="14"/>
        <v>1200685</v>
      </c>
      <c r="C55" s="69">
        <f t="shared" si="15"/>
        <v>3501485</v>
      </c>
      <c r="D55" s="69">
        <f t="shared" si="16"/>
        <v>588538</v>
      </c>
      <c r="E55" s="69">
        <f t="shared" si="17"/>
        <v>2147811</v>
      </c>
      <c r="F55" s="69">
        <f t="shared" si="18"/>
        <v>3181</v>
      </c>
      <c r="G55" s="69">
        <f t="shared" si="19"/>
        <v>11607</v>
      </c>
      <c r="H55" s="69">
        <f t="shared" si="20"/>
        <v>14915</v>
      </c>
      <c r="I55" s="69">
        <f t="shared" si="21"/>
        <v>0</v>
      </c>
      <c r="J55" s="69">
        <f t="shared" si="22"/>
        <v>10</v>
      </c>
      <c r="K55" s="69">
        <f t="shared" si="23"/>
        <v>23</v>
      </c>
      <c r="L55" s="69">
        <f t="shared" si="24"/>
        <v>0</v>
      </c>
      <c r="M55" s="69">
        <f t="shared" si="25"/>
        <v>309</v>
      </c>
      <c r="N55" s="69">
        <f t="shared" si="26"/>
        <v>0</v>
      </c>
      <c r="O55" s="69">
        <f t="shared" si="27"/>
        <v>0</v>
      </c>
      <c r="P55" s="109"/>
      <c r="Q55" s="217">
        <f>+'2004'!$I$20</f>
        <v>1560.89</v>
      </c>
      <c r="R55" s="217">
        <f>+'2004'!$I$33</f>
        <v>7002.97</v>
      </c>
      <c r="S55" s="71">
        <f>+'2004'!$I$21+'2004'!$I$22</f>
        <v>470.83</v>
      </c>
      <c r="T55" s="71">
        <f>+'2004'!$I$34+'2004'!$I$35</f>
        <v>2620.3300000000004</v>
      </c>
      <c r="U55" s="71">
        <f>+'2004'!$I$23+'2004'!$I$24</f>
        <v>198.52</v>
      </c>
      <c r="V55" s="71">
        <f>+'2004'!$I$36+'2004'!$I$37</f>
        <v>1044.61</v>
      </c>
      <c r="W55" s="71">
        <f>+'2004'!$I$25+'2004'!$I$26</f>
        <v>435.52</v>
      </c>
      <c r="X55" s="71">
        <f>+'2004'!$I$38+'2004'!$I$39</f>
        <v>0</v>
      </c>
      <c r="Y55" s="71">
        <f>+'2004'!$I$28</f>
        <v>6.17</v>
      </c>
      <c r="Z55" s="71">
        <f>+'2004'!$I$41</f>
        <v>15.28</v>
      </c>
      <c r="AA55" s="71">
        <f>+'2004'!$I$27</f>
        <v>0</v>
      </c>
      <c r="AB55" s="71">
        <f>+'2004'!$I$40</f>
        <v>181.77</v>
      </c>
      <c r="AC55" s="107">
        <v>0</v>
      </c>
      <c r="AD55" s="107">
        <v>0</v>
      </c>
      <c r="AE55" s="110">
        <f t="shared" si="13"/>
        <v>13536.890000000003</v>
      </c>
      <c r="AF55" s="78"/>
    </row>
    <row r="56" spans="1:32" ht="15.75">
      <c r="A56" s="212" t="s">
        <v>41</v>
      </c>
      <c r="B56" s="69">
        <f t="shared" si="14"/>
        <v>154</v>
      </c>
      <c r="C56" s="69">
        <f t="shared" si="15"/>
        <v>3698975</v>
      </c>
      <c r="D56" s="69">
        <f t="shared" si="16"/>
        <v>0</v>
      </c>
      <c r="E56" s="69">
        <f t="shared" si="17"/>
        <v>2131393</v>
      </c>
      <c r="F56" s="69">
        <f t="shared" si="18"/>
        <v>0</v>
      </c>
      <c r="G56" s="69">
        <f t="shared" si="19"/>
        <v>19889</v>
      </c>
      <c r="H56" s="69">
        <f t="shared" si="20"/>
        <v>0</v>
      </c>
      <c r="I56" s="69">
        <f t="shared" si="21"/>
        <v>10015</v>
      </c>
      <c r="J56" s="69">
        <f t="shared" si="22"/>
        <v>0</v>
      </c>
      <c r="K56" s="69">
        <f t="shared" si="23"/>
        <v>25</v>
      </c>
      <c r="L56" s="69">
        <f t="shared" si="24"/>
        <v>0</v>
      </c>
      <c r="M56" s="69">
        <f t="shared" si="25"/>
        <v>309</v>
      </c>
      <c r="N56" s="69">
        <f t="shared" si="26"/>
        <v>0</v>
      </c>
      <c r="O56" s="69">
        <f t="shared" si="27"/>
        <v>0</v>
      </c>
      <c r="P56" s="109"/>
      <c r="Q56" s="217">
        <f>+'2004'!$J$20</f>
        <v>0.2</v>
      </c>
      <c r="R56" s="217">
        <f>+'2004'!$J$33</f>
        <v>7397.95</v>
      </c>
      <c r="S56" s="71">
        <f>+'2004'!$J$21+'2004'!$J$22</f>
        <v>0</v>
      </c>
      <c r="T56" s="71">
        <f>+'2004'!$J$34+'2004'!$J$35</f>
        <v>2600.2999999999997</v>
      </c>
      <c r="U56" s="71">
        <f>+'2004'!$J$23+'2004'!$J$24</f>
        <v>0</v>
      </c>
      <c r="V56" s="71">
        <f>+'2004'!$J$36+'2004'!$J$37</f>
        <v>1790.03</v>
      </c>
      <c r="W56" s="71">
        <f>+'2004'!$J$25+'2004'!$J$26</f>
        <v>0</v>
      </c>
      <c r="X56" s="71">
        <f>+'2004'!$J$38+'2004'!$J$39</f>
        <v>440.65</v>
      </c>
      <c r="Y56" s="71">
        <f>+'2004'!$J$28</f>
        <v>0</v>
      </c>
      <c r="Z56" s="71">
        <f>+'2004'!$J$41</f>
        <v>16.89</v>
      </c>
      <c r="AA56" s="71">
        <f>+'2004'!$J$27</f>
        <v>0</v>
      </c>
      <c r="AB56" s="71">
        <f>+'2004'!$J$40</f>
        <v>181.77</v>
      </c>
      <c r="AC56" s="107">
        <v>0</v>
      </c>
      <c r="AD56" s="107">
        <v>0</v>
      </c>
      <c r="AE56" s="110">
        <f t="shared" si="13"/>
        <v>12427.789999999999</v>
      </c>
      <c r="AF56" s="78"/>
    </row>
    <row r="57" spans="1:32" ht="15.75">
      <c r="A57" s="212" t="s">
        <v>42</v>
      </c>
      <c r="B57" s="69">
        <f t="shared" si="14"/>
        <v>0</v>
      </c>
      <c r="C57" s="69">
        <f t="shared" si="15"/>
        <v>3840755</v>
      </c>
      <c r="D57" s="69">
        <f t="shared" si="16"/>
        <v>0</v>
      </c>
      <c r="E57" s="69">
        <f t="shared" si="17"/>
        <v>2232705</v>
      </c>
      <c r="F57" s="69">
        <f t="shared" si="18"/>
        <v>0</v>
      </c>
      <c r="G57" s="69">
        <f t="shared" si="19"/>
        <v>13089</v>
      </c>
      <c r="H57" s="69">
        <f t="shared" si="20"/>
        <v>0</v>
      </c>
      <c r="I57" s="69">
        <f t="shared" si="21"/>
        <v>-16474</v>
      </c>
      <c r="J57" s="69">
        <f t="shared" si="22"/>
        <v>0</v>
      </c>
      <c r="K57" s="69">
        <f t="shared" si="23"/>
        <v>25</v>
      </c>
      <c r="L57" s="69">
        <f t="shared" si="24"/>
        <v>0</v>
      </c>
      <c r="M57" s="69">
        <f t="shared" si="25"/>
        <v>309</v>
      </c>
      <c r="N57" s="69">
        <f t="shared" si="26"/>
        <v>0</v>
      </c>
      <c r="O57" s="69">
        <f t="shared" si="27"/>
        <v>0</v>
      </c>
      <c r="P57" s="109"/>
      <c r="Q57" s="217">
        <f>+'2004'!$K$20</f>
        <v>0</v>
      </c>
      <c r="R57" s="217">
        <f>+'2004'!$K$33</f>
        <v>7681.509999999999</v>
      </c>
      <c r="S57" s="71">
        <f>+'2004'!$K$21+'2004'!$K$22</f>
        <v>0</v>
      </c>
      <c r="T57" s="71">
        <f>+'2004'!$K$34+'2004'!$K$35</f>
        <v>2723.8999999999996</v>
      </c>
      <c r="U57" s="71">
        <f>+'2004'!$K$23+'2004'!$K$24</f>
        <v>0</v>
      </c>
      <c r="V57" s="71">
        <f>+'2004'!$K$36+'2004'!$K$37</f>
        <v>1178</v>
      </c>
      <c r="W57" s="71">
        <f>+'2004'!$K$25+'2004'!$K$26</f>
        <v>0</v>
      </c>
      <c r="X57" s="71">
        <f>+'2004'!$K$38+'2004'!$K$39</f>
        <v>-724.86</v>
      </c>
      <c r="Y57" s="71">
        <f>+'2004'!$K$28</f>
        <v>0</v>
      </c>
      <c r="Z57" s="71">
        <f>+'2004'!$K$41</f>
        <v>16.89</v>
      </c>
      <c r="AA57" s="71">
        <f>+'2004'!$K$27</f>
        <v>0</v>
      </c>
      <c r="AB57" s="71">
        <f>+'2004'!$K$40</f>
        <v>181.77</v>
      </c>
      <c r="AC57" s="107">
        <v>0</v>
      </c>
      <c r="AD57" s="107">
        <v>0</v>
      </c>
      <c r="AE57" s="110">
        <f t="shared" si="13"/>
        <v>11057.21</v>
      </c>
      <c r="AF57" s="78"/>
    </row>
    <row r="58" spans="1:32" ht="15.75">
      <c r="A58" s="212" t="s">
        <v>43</v>
      </c>
      <c r="B58" s="69">
        <f t="shared" si="14"/>
        <v>0</v>
      </c>
      <c r="C58" s="69">
        <f t="shared" si="15"/>
        <v>4249715</v>
      </c>
      <c r="D58" s="69">
        <f t="shared" si="16"/>
        <v>0</v>
      </c>
      <c r="E58" s="69">
        <f t="shared" si="17"/>
        <v>2321525</v>
      </c>
      <c r="F58" s="69">
        <f t="shared" si="18"/>
        <v>0</v>
      </c>
      <c r="G58" s="69">
        <f t="shared" si="19"/>
        <v>12436</v>
      </c>
      <c r="H58" s="69">
        <f t="shared" si="20"/>
        <v>0</v>
      </c>
      <c r="I58" s="69">
        <f t="shared" si="21"/>
        <v>36143</v>
      </c>
      <c r="J58" s="69">
        <f t="shared" si="22"/>
        <v>0</v>
      </c>
      <c r="K58" s="69">
        <f t="shared" si="23"/>
        <v>25</v>
      </c>
      <c r="L58" s="69">
        <f t="shared" si="24"/>
        <v>0</v>
      </c>
      <c r="M58" s="69">
        <f t="shared" si="25"/>
        <v>309</v>
      </c>
      <c r="N58" s="69">
        <f t="shared" si="26"/>
        <v>0</v>
      </c>
      <c r="O58" s="69">
        <f t="shared" si="27"/>
        <v>0</v>
      </c>
      <c r="P58" s="109"/>
      <c r="Q58" s="217">
        <f>+'2004'!$L$20</f>
        <v>0</v>
      </c>
      <c r="R58" s="217">
        <f>+'2004'!$L$33</f>
        <v>8499.43</v>
      </c>
      <c r="S58" s="71">
        <f>+'2004'!$L$21+'2004'!$L$22</f>
        <v>0</v>
      </c>
      <c r="T58" s="71">
        <f>+'2004'!$L$34+'2004'!$L$35</f>
        <v>2832.2599999999998</v>
      </c>
      <c r="U58" s="71">
        <f>+'2004'!$L$23+'2004'!$L$24</f>
        <v>0</v>
      </c>
      <c r="V58" s="71">
        <f>+'2004'!$L$36+'2004'!$L$37</f>
        <v>1119.2</v>
      </c>
      <c r="W58" s="71">
        <f>+'2004'!$L$25+'2004'!$L$26</f>
        <v>0</v>
      </c>
      <c r="X58" s="71">
        <f>+'2004'!$L$38+'2004'!$L$39</f>
        <v>1590.29</v>
      </c>
      <c r="Y58" s="71">
        <f>+'2004'!$L$28</f>
        <v>0</v>
      </c>
      <c r="Z58" s="71">
        <f>+'2004'!$L$41</f>
        <v>16.89</v>
      </c>
      <c r="AA58" s="71">
        <f>+'2004'!$L$27</f>
        <v>0</v>
      </c>
      <c r="AB58" s="71">
        <f>+'2004'!$L$40</f>
        <v>181.77</v>
      </c>
      <c r="AC58" s="107">
        <v>0</v>
      </c>
      <c r="AD58" s="107">
        <v>0</v>
      </c>
      <c r="AE58" s="110">
        <f t="shared" si="13"/>
        <v>14239.84</v>
      </c>
      <c r="AF58" s="78"/>
    </row>
    <row r="59" spans="1:32" ht="15.75">
      <c r="A59" s="212" t="s">
        <v>44</v>
      </c>
      <c r="B59" s="69">
        <f t="shared" si="14"/>
        <v>0</v>
      </c>
      <c r="C59" s="69">
        <f t="shared" si="15"/>
        <v>3999280</v>
      </c>
      <c r="D59" s="69">
        <f t="shared" si="16"/>
        <v>0</v>
      </c>
      <c r="E59" s="69">
        <f t="shared" si="17"/>
        <v>2295098</v>
      </c>
      <c r="F59" s="69">
        <f t="shared" si="18"/>
        <v>0</v>
      </c>
      <c r="G59" s="69">
        <f t="shared" si="19"/>
        <v>11631</v>
      </c>
      <c r="H59" s="69">
        <f t="shared" si="20"/>
        <v>0</v>
      </c>
      <c r="I59" s="69">
        <f t="shared" si="21"/>
        <v>10000</v>
      </c>
      <c r="J59" s="69">
        <f t="shared" si="22"/>
        <v>0</v>
      </c>
      <c r="K59" s="69">
        <f t="shared" si="23"/>
        <v>25</v>
      </c>
      <c r="L59" s="69">
        <f t="shared" si="24"/>
        <v>0</v>
      </c>
      <c r="M59" s="69">
        <f t="shared" si="25"/>
        <v>309</v>
      </c>
      <c r="N59" s="69">
        <f t="shared" si="26"/>
        <v>0</v>
      </c>
      <c r="O59" s="69">
        <f t="shared" si="27"/>
        <v>0</v>
      </c>
      <c r="P59" s="109"/>
      <c r="Q59" s="217">
        <f>+'2004'!$M$20</f>
        <v>0</v>
      </c>
      <c r="R59" s="217">
        <f>+'2004'!$M$33</f>
        <v>7998.56</v>
      </c>
      <c r="S59" s="71">
        <f>+'2004'!$M$21+'2004'!$M$22</f>
        <v>0</v>
      </c>
      <c r="T59" s="71">
        <f>+'2004'!$M$34+'2004'!$M$35</f>
        <v>2800.0199999999995</v>
      </c>
      <c r="U59" s="71">
        <f>+'2004'!$M$23+'2004'!$M$24</f>
        <v>0</v>
      </c>
      <c r="V59" s="71">
        <f>+'2004'!$M$36+'2004'!$M$37</f>
        <v>1046.79</v>
      </c>
      <c r="W59" s="71">
        <f>+'2004'!$M$25+'2004'!$M$26</f>
        <v>0</v>
      </c>
      <c r="X59" s="71">
        <f>+'2004'!$M$38+'2004'!$M$39</f>
        <v>440.02</v>
      </c>
      <c r="Y59" s="71">
        <f>+'2004'!$M$28</f>
        <v>0</v>
      </c>
      <c r="Z59" s="71">
        <f>+'2004'!$M$41</f>
        <v>16.33</v>
      </c>
      <c r="AA59" s="71">
        <f>+'2004'!$M$27</f>
        <v>0</v>
      </c>
      <c r="AB59" s="71">
        <f>+'2004'!$M$40</f>
        <v>181.77</v>
      </c>
      <c r="AC59" s="107">
        <v>0</v>
      </c>
      <c r="AD59" s="107">
        <v>0</v>
      </c>
      <c r="AE59" s="110">
        <f t="shared" si="13"/>
        <v>12483.49</v>
      </c>
      <c r="AF59" s="78"/>
    </row>
    <row r="60" spans="1:32" ht="15.75">
      <c r="A60" s="212" t="s">
        <v>45</v>
      </c>
      <c r="B60" s="69">
        <f t="shared" si="14"/>
        <v>0</v>
      </c>
      <c r="C60" s="69">
        <f t="shared" si="15"/>
        <v>3734970</v>
      </c>
      <c r="D60" s="69">
        <f t="shared" si="16"/>
        <v>0</v>
      </c>
      <c r="E60" s="69">
        <f t="shared" si="17"/>
        <v>2141844</v>
      </c>
      <c r="F60" s="69">
        <f t="shared" si="18"/>
        <v>0</v>
      </c>
      <c r="G60" s="69">
        <f t="shared" si="19"/>
        <v>20316</v>
      </c>
      <c r="H60" s="69">
        <f t="shared" si="20"/>
        <v>0</v>
      </c>
      <c r="I60" s="69">
        <f t="shared" si="21"/>
        <v>40438</v>
      </c>
      <c r="J60" s="69">
        <f t="shared" si="22"/>
        <v>0</v>
      </c>
      <c r="K60" s="69">
        <f t="shared" si="23"/>
        <v>24</v>
      </c>
      <c r="L60" s="69">
        <f t="shared" si="24"/>
        <v>0</v>
      </c>
      <c r="M60" s="69">
        <f t="shared" si="25"/>
        <v>309</v>
      </c>
      <c r="N60" s="69">
        <f t="shared" si="26"/>
        <v>0</v>
      </c>
      <c r="O60" s="69">
        <f t="shared" si="27"/>
        <v>0</v>
      </c>
      <c r="P60" s="109"/>
      <c r="Q60" s="217">
        <f>+'2004'!$N$20</f>
        <v>0</v>
      </c>
      <c r="R60" s="217">
        <f>+'2004'!$N$33</f>
        <v>7469.94</v>
      </c>
      <c r="S60" s="71">
        <f>+'2004'!$N$21+'2004'!$N$22</f>
        <v>0</v>
      </c>
      <c r="T60" s="71">
        <f>+'2004'!$N$34+'2004'!$N$35</f>
        <v>2613.0499999999993</v>
      </c>
      <c r="U60" s="71">
        <f>+'2004'!$N$23+'2004'!$N$24</f>
        <v>0</v>
      </c>
      <c r="V60" s="71">
        <f>+'2004'!$N$36+'2004'!$N$37</f>
        <v>1828.43</v>
      </c>
      <c r="W60" s="71">
        <f>+'2004'!$N$25+'2004'!$N$26</f>
        <v>0</v>
      </c>
      <c r="X60" s="71">
        <f>+'2004'!$N$38+'2004'!$N$39</f>
        <v>1779.2800000000002</v>
      </c>
      <c r="Y60" s="71">
        <f>+'2004'!$N$28</f>
        <v>0</v>
      </c>
      <c r="Z60" s="71">
        <f>+'2004'!$N$41</f>
        <v>15.85</v>
      </c>
      <c r="AA60" s="71">
        <f>+'2004'!$N$27</f>
        <v>0</v>
      </c>
      <c r="AB60" s="71">
        <f>+'2004'!$N$40</f>
        <v>181.77</v>
      </c>
      <c r="AC60" s="107">
        <v>0</v>
      </c>
      <c r="AD60" s="107">
        <v>0</v>
      </c>
      <c r="AE60" s="110">
        <f t="shared" si="13"/>
        <v>13888.32</v>
      </c>
      <c r="AF60" s="78"/>
    </row>
    <row r="61" spans="1:32" ht="15.75">
      <c r="A61" s="212" t="s">
        <v>46</v>
      </c>
      <c r="B61" s="69">
        <f t="shared" si="14"/>
        <v>0</v>
      </c>
      <c r="C61" s="69">
        <f t="shared" si="15"/>
        <v>3680310</v>
      </c>
      <c r="D61" s="69">
        <f t="shared" si="16"/>
        <v>0</v>
      </c>
      <c r="E61" s="69">
        <f t="shared" si="17"/>
        <v>1999172</v>
      </c>
      <c r="F61" s="69">
        <f t="shared" si="18"/>
        <v>0</v>
      </c>
      <c r="G61" s="69">
        <f t="shared" si="19"/>
        <v>13894</v>
      </c>
      <c r="H61" s="69">
        <f t="shared" si="20"/>
        <v>0</v>
      </c>
      <c r="I61" s="69">
        <f t="shared" si="21"/>
        <v>14671</v>
      </c>
      <c r="J61" s="69">
        <f t="shared" si="22"/>
        <v>0</v>
      </c>
      <c r="K61" s="69">
        <f t="shared" si="23"/>
        <v>26</v>
      </c>
      <c r="L61" s="69">
        <f t="shared" si="24"/>
        <v>0</v>
      </c>
      <c r="M61" s="69">
        <f t="shared" si="25"/>
        <v>309</v>
      </c>
      <c r="N61" s="69">
        <f t="shared" si="26"/>
        <v>0</v>
      </c>
      <c r="O61" s="69">
        <f t="shared" si="27"/>
        <v>0</v>
      </c>
      <c r="P61" s="109"/>
      <c r="Q61" s="217">
        <f>+'2004'!$O$20</f>
        <v>0</v>
      </c>
      <c r="R61" s="217">
        <f>+'2004'!$O$33</f>
        <v>7360.62</v>
      </c>
      <c r="S61" s="71">
        <f>+'2004'!$O$21+'2004'!$O$22</f>
        <v>0</v>
      </c>
      <c r="T61" s="71">
        <f>+'2004'!$O$34+'2004'!$O$35</f>
        <v>2438.9900000000002</v>
      </c>
      <c r="U61" s="71">
        <f>+'2004'!$O$23+'2004'!$O$24</f>
        <v>0</v>
      </c>
      <c r="V61" s="71">
        <f>+'2004'!$O$36+'2004'!$O$37</f>
        <v>1250.4699999999998</v>
      </c>
      <c r="W61" s="71">
        <f>+'2004'!$O$25+'2004'!$O$26</f>
        <v>0</v>
      </c>
      <c r="X61" s="71">
        <f>+'2004'!$O$38+'2004'!$O$39</f>
        <v>645.52</v>
      </c>
      <c r="Y61" s="71">
        <f>+'2004'!$O$28</f>
        <v>0</v>
      </c>
      <c r="Z61" s="71">
        <f>+'2004'!$O$41</f>
        <v>17.31</v>
      </c>
      <c r="AA61" s="71">
        <f>+'2004'!$O$27</f>
        <v>0</v>
      </c>
      <c r="AB61" s="71">
        <f>+'2004'!$O$40</f>
        <v>181.77</v>
      </c>
      <c r="AC61" s="107">
        <v>0</v>
      </c>
      <c r="AD61" s="107">
        <v>0</v>
      </c>
      <c r="AE61" s="110">
        <f t="shared" si="13"/>
        <v>11894.68</v>
      </c>
      <c r="AF61" s="78"/>
    </row>
    <row r="62" spans="1:32" ht="15.75">
      <c r="A62" s="212" t="s">
        <v>47</v>
      </c>
      <c r="B62" s="69">
        <f t="shared" si="14"/>
        <v>0</v>
      </c>
      <c r="C62" s="69">
        <f t="shared" si="15"/>
        <v>4103065</v>
      </c>
      <c r="D62" s="69">
        <f t="shared" si="16"/>
        <v>0</v>
      </c>
      <c r="E62" s="69">
        <f t="shared" si="17"/>
        <v>2210172</v>
      </c>
      <c r="F62" s="69">
        <f t="shared" si="18"/>
        <v>0</v>
      </c>
      <c r="G62" s="69">
        <f t="shared" si="19"/>
        <v>16740</v>
      </c>
      <c r="H62" s="69">
        <f t="shared" si="20"/>
        <v>0</v>
      </c>
      <c r="I62" s="69">
        <f t="shared" si="21"/>
        <v>14791</v>
      </c>
      <c r="J62" s="69">
        <f t="shared" si="22"/>
        <v>0</v>
      </c>
      <c r="K62" s="69">
        <f t="shared" si="23"/>
        <v>27</v>
      </c>
      <c r="L62" s="69">
        <f t="shared" si="24"/>
        <v>0</v>
      </c>
      <c r="M62" s="69">
        <f t="shared" si="25"/>
        <v>309</v>
      </c>
      <c r="N62" s="69">
        <f t="shared" si="26"/>
        <v>0</v>
      </c>
      <c r="O62" s="69">
        <f t="shared" si="27"/>
        <v>0</v>
      </c>
      <c r="P62" s="109"/>
      <c r="Q62" s="217">
        <f>+'2004'!$P$20</f>
        <v>0</v>
      </c>
      <c r="R62" s="217">
        <f>+'2004'!$P$33</f>
        <v>8206.13</v>
      </c>
      <c r="S62" s="71">
        <f>+'2004'!$P$21+'2004'!$P$22</f>
        <v>0</v>
      </c>
      <c r="T62" s="71">
        <f>+'2004'!$P$34+'2004'!$P$35</f>
        <v>2696.4099999999994</v>
      </c>
      <c r="U62" s="71">
        <f>+'2004'!$P$23+'2004'!$P$24</f>
        <v>0</v>
      </c>
      <c r="V62" s="71">
        <f>+'2004'!$P$36+'2004'!$P$37</f>
        <v>1506.63</v>
      </c>
      <c r="W62" s="71">
        <f>+'2004'!$P$25+'2004'!$P$26</f>
        <v>0</v>
      </c>
      <c r="X62" s="71">
        <f>+'2004'!$P$38+'2004'!$P$39</f>
        <v>650.82</v>
      </c>
      <c r="Y62" s="71">
        <f>+'2004'!$P$28</f>
        <v>0</v>
      </c>
      <c r="Z62" s="71">
        <f>+'2004'!$P$41</f>
        <v>17.85</v>
      </c>
      <c r="AA62" s="71">
        <f>+'2004'!$P$27</f>
        <v>0</v>
      </c>
      <c r="AB62" s="71">
        <f>+'2004'!$P$40</f>
        <v>181.77</v>
      </c>
      <c r="AC62" s="107">
        <v>0</v>
      </c>
      <c r="AD62" s="107">
        <v>0</v>
      </c>
      <c r="AE62" s="110">
        <f t="shared" si="13"/>
        <v>13259.609999999999</v>
      </c>
      <c r="AF62" s="78"/>
    </row>
    <row r="63" spans="1:32" ht="15.75">
      <c r="A63" s="212" t="s">
        <v>53</v>
      </c>
      <c r="B63" s="69">
        <f t="shared" si="14"/>
        <v>0</v>
      </c>
      <c r="C63" s="69">
        <f t="shared" si="15"/>
        <v>4243330</v>
      </c>
      <c r="D63" s="69">
        <f t="shared" si="16"/>
        <v>0</v>
      </c>
      <c r="E63" s="69">
        <f t="shared" si="17"/>
        <v>2126770</v>
      </c>
      <c r="F63" s="69">
        <f t="shared" si="18"/>
        <v>0</v>
      </c>
      <c r="G63" s="69">
        <f t="shared" si="19"/>
        <v>14287</v>
      </c>
      <c r="H63" s="69">
        <f t="shared" si="20"/>
        <v>0</v>
      </c>
      <c r="I63" s="69">
        <f t="shared" si="21"/>
        <v>14649</v>
      </c>
      <c r="J63" s="69">
        <f t="shared" si="22"/>
        <v>0</v>
      </c>
      <c r="K63" s="69">
        <f t="shared" si="23"/>
        <v>77</v>
      </c>
      <c r="L63" s="69">
        <f t="shared" si="24"/>
        <v>0</v>
      </c>
      <c r="M63" s="69">
        <f t="shared" si="25"/>
        <v>315</v>
      </c>
      <c r="N63" s="69">
        <f t="shared" si="26"/>
        <v>0</v>
      </c>
      <c r="O63" s="69">
        <f t="shared" si="27"/>
        <v>0</v>
      </c>
      <c r="P63" s="109"/>
      <c r="Q63" s="217">
        <f>+'2004'!$Q$20+'2004'!$R$20</f>
        <v>0</v>
      </c>
      <c r="R63" s="217">
        <f>+'2004'!$Q$33+'2004'!$R$33</f>
        <v>8486.66</v>
      </c>
      <c r="S63" s="272">
        <f>+'2004'!$Q$21+'2004'!$Q$22+'2004'!$R$21+'2004'!$R$22</f>
        <v>0</v>
      </c>
      <c r="T63" s="272">
        <f>+'2004'!$Q$34+'2004'!$Q$35+'2004'!$R$34+'2004'!$R$35</f>
        <v>2594.6600000000003</v>
      </c>
      <c r="U63" s="272">
        <f>+'2004'!$Q$23+'2004'!$Q$24+'2004'!$R$23+'2004'!$R$24</f>
        <v>0</v>
      </c>
      <c r="V63" s="272">
        <f>+'2004'!$Q$36+'2004'!$Q$37+'2004'!$R$36+'2004'!$R$37</f>
        <v>1285.8</v>
      </c>
      <c r="W63" s="272">
        <f>+'2004'!$Q$25+'2004'!$Q$26+'2004'!$R$25+'2004'!$R$26</f>
        <v>0</v>
      </c>
      <c r="X63" s="272">
        <f>+'2004'!$Q$38+'2004'!$Q$39+'2004'!$R$38+'2004'!$R$39</f>
        <v>644.56</v>
      </c>
      <c r="Y63" s="272">
        <f>+'2004'!$Q$28+'2004'!$R$28</f>
        <v>0</v>
      </c>
      <c r="Z63" s="272">
        <f>+'2004'!$Q$41+'2004'!$R$41</f>
        <v>50.940000000000005</v>
      </c>
      <c r="AA63" s="272">
        <f>+'2004'!$Q$27+'2004'!$R$27</f>
        <v>0</v>
      </c>
      <c r="AB63" s="272">
        <f>+'2004'!$Q$40+'2004'!$R$40</f>
        <v>185.33</v>
      </c>
      <c r="AC63" s="107">
        <v>0</v>
      </c>
      <c r="AD63" s="107">
        <v>0</v>
      </c>
      <c r="AE63" s="110">
        <f t="shared" si="13"/>
        <v>13247.949999999999</v>
      </c>
      <c r="AF63" s="78"/>
    </row>
    <row r="64" spans="1:32" ht="15.75" thickBot="1">
      <c r="A64" s="194"/>
      <c r="B64" s="113">
        <f>SUM(B50:B63)</f>
        <v>13279330</v>
      </c>
      <c r="C64" s="88">
        <f aca="true" t="shared" si="28" ref="C64:O64">SUM(C50:C63)</f>
        <v>35196980</v>
      </c>
      <c r="D64" s="113">
        <f t="shared" si="28"/>
        <v>7098589</v>
      </c>
      <c r="E64" s="112">
        <f t="shared" si="28"/>
        <v>19696556</v>
      </c>
      <c r="F64" s="113">
        <f t="shared" si="28"/>
        <v>39786</v>
      </c>
      <c r="G64" s="112">
        <f t="shared" si="28"/>
        <v>134084</v>
      </c>
      <c r="H64" s="113">
        <f t="shared" si="28"/>
        <v>64444</v>
      </c>
      <c r="I64" s="88">
        <f t="shared" si="28"/>
        <v>124233</v>
      </c>
      <c r="J64" s="113">
        <f t="shared" si="28"/>
        <v>61</v>
      </c>
      <c r="K64" s="88">
        <f t="shared" si="28"/>
        <v>277</v>
      </c>
      <c r="L64" s="113">
        <f t="shared" si="28"/>
        <v>646</v>
      </c>
      <c r="M64" s="88">
        <f t="shared" si="28"/>
        <v>2787</v>
      </c>
      <c r="N64" s="113">
        <f t="shared" si="28"/>
        <v>0</v>
      </c>
      <c r="O64" s="88">
        <f t="shared" si="28"/>
        <v>0</v>
      </c>
      <c r="P64" s="109"/>
      <c r="Q64" s="111">
        <f aca="true" t="shared" si="29" ref="Q64:AE64">SUM(Q50:Q63)</f>
        <v>17263.13</v>
      </c>
      <c r="R64" s="113">
        <f t="shared" si="29"/>
        <v>70393.96</v>
      </c>
      <c r="S64" s="88">
        <f t="shared" si="29"/>
        <v>5678.87</v>
      </c>
      <c r="T64" s="113">
        <f t="shared" si="29"/>
        <v>24029.8</v>
      </c>
      <c r="U64" s="111">
        <f t="shared" si="29"/>
        <v>2482.64</v>
      </c>
      <c r="V64" s="113">
        <f t="shared" si="29"/>
        <v>12067.55</v>
      </c>
      <c r="W64" s="88">
        <f t="shared" si="29"/>
        <v>1881.7399999999998</v>
      </c>
      <c r="X64" s="113">
        <f t="shared" si="29"/>
        <v>5466.279999999999</v>
      </c>
      <c r="Y64" s="111">
        <f>SUM(Y50:Y63)</f>
        <v>37.720000000000006</v>
      </c>
      <c r="Z64" s="113">
        <f>SUM(Z50:Z63)</f>
        <v>184.23</v>
      </c>
      <c r="AA64" s="111">
        <f>SUM(AA50:AA63)</f>
        <v>241.6</v>
      </c>
      <c r="AB64" s="113">
        <f>SUM(AB50:AB63)</f>
        <v>1639.6499999999999</v>
      </c>
      <c r="AC64" s="111">
        <f t="shared" si="29"/>
        <v>0</v>
      </c>
      <c r="AD64" s="113">
        <f t="shared" si="29"/>
        <v>0</v>
      </c>
      <c r="AE64" s="113">
        <f t="shared" si="29"/>
        <v>141367.16999999998</v>
      </c>
      <c r="AF64" s="78"/>
    </row>
    <row r="65" spans="1:32" s="89" customFormat="1" ht="16.5" thickBot="1">
      <c r="A65" s="159"/>
      <c r="B65" s="169"/>
      <c r="C65" s="169"/>
      <c r="D65" s="169"/>
      <c r="E65" s="169"/>
      <c r="F65" s="169"/>
      <c r="G65" s="170"/>
      <c r="H65" s="169"/>
      <c r="I65" s="169"/>
      <c r="J65" s="169"/>
      <c r="K65" s="170"/>
      <c r="L65" s="169"/>
      <c r="M65" s="170"/>
      <c r="N65" s="169"/>
      <c r="O65" s="170"/>
      <c r="P65" s="114"/>
      <c r="Q65" s="114"/>
      <c r="R65" s="114"/>
      <c r="S65" s="114"/>
      <c r="T65" s="114"/>
      <c r="U65" s="156">
        <f>SUM(Q64:AD64)</f>
        <v>141367.17</v>
      </c>
      <c r="V65" s="116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</row>
    <row r="66" spans="1:32" s="89" customFormat="1" ht="15.75">
      <c r="A66" s="160"/>
      <c r="B66" s="171"/>
      <c r="C66" s="169"/>
      <c r="D66" s="171"/>
      <c r="E66" s="169"/>
      <c r="F66" s="171"/>
      <c r="G66" s="170"/>
      <c r="H66" s="171"/>
      <c r="I66" s="171"/>
      <c r="J66" s="171"/>
      <c r="K66" s="172"/>
      <c r="L66" s="171"/>
      <c r="M66" s="172"/>
      <c r="N66" s="171"/>
      <c r="O66" s="172"/>
      <c r="P66" s="114"/>
      <c r="Q66" s="114"/>
      <c r="R66" s="114"/>
      <c r="S66" s="114"/>
      <c r="T66" s="114"/>
      <c r="U66" s="117"/>
      <c r="V66" s="116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</row>
    <row r="67" spans="1:32" s="89" customFormat="1" ht="16.5" thickBot="1">
      <c r="A67" s="160"/>
      <c r="B67" s="171"/>
      <c r="C67" s="169"/>
      <c r="D67" s="171"/>
      <c r="E67" s="169"/>
      <c r="F67" s="171"/>
      <c r="G67" s="170"/>
      <c r="H67" s="171"/>
      <c r="I67" s="171"/>
      <c r="J67" s="171"/>
      <c r="K67" s="172"/>
      <c r="L67" s="171"/>
      <c r="M67" s="172"/>
      <c r="N67" s="171"/>
      <c r="O67" s="172"/>
      <c r="P67" s="114"/>
      <c r="Q67" s="114"/>
      <c r="R67" s="114"/>
      <c r="S67" s="114"/>
      <c r="T67" s="114"/>
      <c r="U67" s="117"/>
      <c r="V67" s="116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</row>
    <row r="68" spans="1:31" ht="16.5" thickBot="1">
      <c r="A68" s="180"/>
      <c r="B68" s="440" t="s">
        <v>89</v>
      </c>
      <c r="C68" s="441"/>
      <c r="D68" s="441"/>
      <c r="E68" s="443"/>
      <c r="F68" s="440" t="s">
        <v>20</v>
      </c>
      <c r="G68" s="441"/>
      <c r="H68" s="441"/>
      <c r="I68" s="441"/>
      <c r="J68" s="441"/>
      <c r="K68" s="441"/>
      <c r="L68" s="441"/>
      <c r="M68" s="441"/>
      <c r="N68" s="441"/>
      <c r="O68" s="443"/>
      <c r="Q68" s="440" t="s">
        <v>58</v>
      </c>
      <c r="R68" s="441"/>
      <c r="S68" s="441"/>
      <c r="T68" s="441"/>
      <c r="U68" s="441"/>
      <c r="V68" s="441"/>
      <c r="W68" s="441"/>
      <c r="X68" s="441"/>
      <c r="Y68" s="441"/>
      <c r="Z68" s="441"/>
      <c r="AA68" s="441"/>
      <c r="AB68" s="441"/>
      <c r="AC68" s="441"/>
      <c r="AD68" s="441"/>
      <c r="AE68" s="443"/>
    </row>
    <row r="69" spans="1:31" s="56" customFormat="1" ht="16.5" thickBot="1">
      <c r="A69" s="157"/>
      <c r="B69" s="428" t="s">
        <v>16</v>
      </c>
      <c r="C69" s="429"/>
      <c r="D69" s="425" t="s">
        <v>17</v>
      </c>
      <c r="E69" s="426"/>
      <c r="F69" s="431" t="s">
        <v>136</v>
      </c>
      <c r="G69" s="431"/>
      <c r="H69" s="418" t="s">
        <v>137</v>
      </c>
      <c r="I69" s="419"/>
      <c r="J69" s="430" t="s">
        <v>135</v>
      </c>
      <c r="K69" s="421"/>
      <c r="L69" s="422" t="s">
        <v>78</v>
      </c>
      <c r="M69" s="417"/>
      <c r="N69" s="427" t="s">
        <v>138</v>
      </c>
      <c r="O69" s="415"/>
      <c r="Q69" s="428" t="s">
        <v>16</v>
      </c>
      <c r="R69" s="429"/>
      <c r="S69" s="425" t="s">
        <v>17</v>
      </c>
      <c r="T69" s="426"/>
      <c r="U69" s="423" t="s">
        <v>136</v>
      </c>
      <c r="V69" s="424"/>
      <c r="W69" s="418" t="s">
        <v>137</v>
      </c>
      <c r="X69" s="419"/>
      <c r="Y69" s="420" t="s">
        <v>139</v>
      </c>
      <c r="Z69" s="421"/>
      <c r="AA69" s="416" t="s">
        <v>78</v>
      </c>
      <c r="AB69" s="417"/>
      <c r="AC69" s="414" t="s">
        <v>138</v>
      </c>
      <c r="AD69" s="415"/>
      <c r="AE69" s="432" t="s">
        <v>18</v>
      </c>
    </row>
    <row r="70" spans="1:31" s="56" customFormat="1" ht="16.5" thickBot="1">
      <c r="A70" s="157"/>
      <c r="B70" s="123" t="s">
        <v>55</v>
      </c>
      <c r="C70" s="128" t="s">
        <v>56</v>
      </c>
      <c r="D70" s="164" t="s">
        <v>55</v>
      </c>
      <c r="E70" s="196" t="s">
        <v>56</v>
      </c>
      <c r="F70" s="166" t="s">
        <v>55</v>
      </c>
      <c r="G70" s="198" t="s">
        <v>56</v>
      </c>
      <c r="H70" s="167" t="s">
        <v>55</v>
      </c>
      <c r="I70" s="200" t="s">
        <v>56</v>
      </c>
      <c r="J70" s="129" t="s">
        <v>55</v>
      </c>
      <c r="K70" s="130" t="s">
        <v>56</v>
      </c>
      <c r="L70" s="129" t="s">
        <v>55</v>
      </c>
      <c r="M70" s="130" t="s">
        <v>56</v>
      </c>
      <c r="N70" s="129" t="s">
        <v>55</v>
      </c>
      <c r="O70" s="130" t="s">
        <v>56</v>
      </c>
      <c r="Q70" s="123" t="s">
        <v>55</v>
      </c>
      <c r="R70" s="128" t="s">
        <v>57</v>
      </c>
      <c r="S70" s="164" t="s">
        <v>55</v>
      </c>
      <c r="T70" s="196" t="s">
        <v>57</v>
      </c>
      <c r="U70" s="168" t="s">
        <v>55</v>
      </c>
      <c r="V70" s="198" t="s">
        <v>57</v>
      </c>
      <c r="W70" s="167" t="s">
        <v>55</v>
      </c>
      <c r="X70" s="200" t="s">
        <v>57</v>
      </c>
      <c r="Y70" s="124" t="s">
        <v>55</v>
      </c>
      <c r="Z70" s="130" t="s">
        <v>57</v>
      </c>
      <c r="AA70" s="124" t="s">
        <v>55</v>
      </c>
      <c r="AB70" s="130" t="s">
        <v>57</v>
      </c>
      <c r="AC70" s="124" t="s">
        <v>55</v>
      </c>
      <c r="AD70" s="130" t="s">
        <v>57</v>
      </c>
      <c r="AE70" s="433"/>
    </row>
    <row r="71" spans="1:31" s="83" customFormat="1" ht="15.75">
      <c r="A71" s="193" t="s">
        <v>87</v>
      </c>
      <c r="B71" s="64"/>
      <c r="C71" s="65"/>
      <c r="D71" s="64"/>
      <c r="E71" s="65"/>
      <c r="F71" s="64"/>
      <c r="G71" s="65"/>
      <c r="H71" s="64"/>
      <c r="I71" s="65"/>
      <c r="J71" s="64"/>
      <c r="K71" s="65"/>
      <c r="L71" s="64"/>
      <c r="M71" s="65"/>
      <c r="N71" s="64"/>
      <c r="O71" s="65"/>
      <c r="Q71" s="287">
        <v>0.002</v>
      </c>
      <c r="R71" s="289"/>
      <c r="S71" s="294">
        <v>0.00122</v>
      </c>
      <c r="T71" s="289"/>
      <c r="U71" s="287">
        <v>0.09</v>
      </c>
      <c r="V71" s="289"/>
      <c r="W71" s="294">
        <v>0.044</v>
      </c>
      <c r="X71" s="289"/>
      <c r="Y71" s="287">
        <v>0.6648</v>
      </c>
      <c r="Z71" s="289"/>
      <c r="AA71" s="287">
        <v>0.5888</v>
      </c>
      <c r="AB71" s="289"/>
      <c r="AC71" s="287">
        <v>0.00122</v>
      </c>
      <c r="AD71" s="289"/>
      <c r="AE71" s="102"/>
    </row>
    <row r="72" spans="1:31" s="83" customFormat="1" ht="16.5" thickBot="1">
      <c r="A72" s="193" t="s">
        <v>88</v>
      </c>
      <c r="B72" s="64"/>
      <c r="C72" s="65"/>
      <c r="D72" s="64"/>
      <c r="E72" s="65"/>
      <c r="F72" s="64"/>
      <c r="G72" s="65"/>
      <c r="H72" s="64"/>
      <c r="I72" s="65"/>
      <c r="J72" s="64"/>
      <c r="K72" s="65"/>
      <c r="L72" s="64"/>
      <c r="M72" s="65"/>
      <c r="N72" s="64"/>
      <c r="O72" s="65"/>
      <c r="Q72" s="290"/>
      <c r="R72" s="291">
        <v>0.0012</v>
      </c>
      <c r="S72" s="292"/>
      <c r="T72" s="291">
        <v>0.007</v>
      </c>
      <c r="U72" s="290"/>
      <c r="V72" s="291">
        <v>0.0548</v>
      </c>
      <c r="W72" s="292"/>
      <c r="X72" s="291">
        <v>0.0254</v>
      </c>
      <c r="Y72" s="290"/>
      <c r="Z72" s="291">
        <v>0.5429</v>
      </c>
      <c r="AA72" s="290"/>
      <c r="AB72" s="291">
        <v>0.3572</v>
      </c>
      <c r="AC72" s="290"/>
      <c r="AD72" s="291">
        <v>0.007</v>
      </c>
      <c r="AE72" s="103"/>
    </row>
    <row r="73" spans="1:31" s="83" customFormat="1" ht="15.75">
      <c r="A73" s="182">
        <v>2005</v>
      </c>
      <c r="B73" s="183"/>
      <c r="C73" s="191"/>
      <c r="D73" s="188"/>
      <c r="E73" s="197"/>
      <c r="F73" s="183"/>
      <c r="G73" s="191"/>
      <c r="H73" s="183"/>
      <c r="I73" s="191"/>
      <c r="J73" s="183"/>
      <c r="K73" s="191"/>
      <c r="L73" s="183"/>
      <c r="M73" s="191"/>
      <c r="N73" s="183"/>
      <c r="O73" s="191"/>
      <c r="P73" s="84"/>
      <c r="Q73" s="105"/>
      <c r="R73" s="63"/>
      <c r="S73" s="64"/>
      <c r="T73" s="65"/>
      <c r="U73" s="62"/>
      <c r="V73" s="65"/>
      <c r="W73" s="64"/>
      <c r="X73" s="65"/>
      <c r="Y73" s="62"/>
      <c r="Z73" s="65"/>
      <c r="AA73" s="62"/>
      <c r="AB73" s="65"/>
      <c r="AC73" s="62"/>
      <c r="AD73" s="65"/>
      <c r="AE73" s="65"/>
    </row>
    <row r="74" spans="1:31" ht="15.75">
      <c r="A74" s="212" t="s">
        <v>53</v>
      </c>
      <c r="B74" s="69">
        <f>-C63</f>
        <v>-4243330</v>
      </c>
      <c r="C74" s="177"/>
      <c r="D74" s="69">
        <f>-E63</f>
        <v>-2126770</v>
      </c>
      <c r="E74" s="177"/>
      <c r="F74" s="69">
        <f>-G63</f>
        <v>-14287</v>
      </c>
      <c r="G74" s="74"/>
      <c r="H74" s="69">
        <f>-I63</f>
        <v>-14649</v>
      </c>
      <c r="I74" s="74"/>
      <c r="J74" s="69">
        <f>-K63</f>
        <v>-77</v>
      </c>
      <c r="K74" s="74"/>
      <c r="L74" s="69">
        <f>-M63</f>
        <v>-315</v>
      </c>
      <c r="M74" s="74"/>
      <c r="N74" s="69">
        <f>-N63</f>
        <v>0</v>
      </c>
      <c r="O74" s="108"/>
      <c r="P74" s="109"/>
      <c r="Q74" s="107">
        <f>-R63</f>
        <v>-8486.66</v>
      </c>
      <c r="R74" s="110"/>
      <c r="S74" s="107">
        <f>-T63</f>
        <v>-2594.6600000000003</v>
      </c>
      <c r="T74" s="110"/>
      <c r="U74" s="107">
        <f>-V63</f>
        <v>-1285.8</v>
      </c>
      <c r="V74" s="110"/>
      <c r="W74" s="107">
        <f>-X63</f>
        <v>-644.56</v>
      </c>
      <c r="X74" s="110"/>
      <c r="Y74" s="107">
        <f>-Z63</f>
        <v>-50.940000000000005</v>
      </c>
      <c r="Z74" s="110"/>
      <c r="AA74" s="107">
        <f>-AB63</f>
        <v>-185.33</v>
      </c>
      <c r="AB74" s="110"/>
      <c r="AC74" s="107">
        <f>-AD63</f>
        <v>0</v>
      </c>
      <c r="AD74" s="110"/>
      <c r="AE74" s="110">
        <f aca="true" t="shared" si="30" ref="AE74:AE87">SUM(Q74:AD74)</f>
        <v>-13247.949999999999</v>
      </c>
    </row>
    <row r="75" spans="1:31" ht="15.75">
      <c r="A75" s="212" t="s">
        <v>36</v>
      </c>
      <c r="B75" s="69">
        <f aca="true" t="shared" si="31" ref="B75:B87">+ROUND(Q75/Q$71,0)</f>
        <v>4375090</v>
      </c>
      <c r="C75" s="69">
        <f aca="true" t="shared" si="32" ref="C75:C87">+ROUND(R75/R$72,0)</f>
        <v>0</v>
      </c>
      <c r="D75" s="69">
        <f aca="true" t="shared" si="33" ref="D75:D87">+ROUND(S75/S$71,0)</f>
        <v>2154320</v>
      </c>
      <c r="E75" s="69">
        <f aca="true" t="shared" si="34" ref="E75:E87">+ROUND(T75/T$72,0)</f>
        <v>0</v>
      </c>
      <c r="F75" s="69">
        <f aca="true" t="shared" si="35" ref="F75:F87">+ROUND(U75/U$71,0)</f>
        <v>13410</v>
      </c>
      <c r="G75" s="69">
        <f aca="true" t="shared" si="36" ref="G75:G87">+ROUND(V75/V$72,0)</f>
        <v>0</v>
      </c>
      <c r="H75" s="69">
        <f aca="true" t="shared" si="37" ref="H75:H87">+ROUND(W75/W$71,0)</f>
        <v>14649</v>
      </c>
      <c r="I75" s="69">
        <f aca="true" t="shared" si="38" ref="I75:I87">+ROUND(X75/X$72,0)</f>
        <v>0</v>
      </c>
      <c r="J75" s="69">
        <f aca="true" t="shared" si="39" ref="J75:J87">+ROUND(Y75/Y$71,0)</f>
        <v>77</v>
      </c>
      <c r="K75" s="69">
        <f aca="true" t="shared" si="40" ref="K75:K87">+ROUND(Z75/Z$72,0)</f>
        <v>0</v>
      </c>
      <c r="L75" s="69">
        <f aca="true" t="shared" si="41" ref="L75:L87">+ROUND(AA75/AA$71,0)</f>
        <v>315</v>
      </c>
      <c r="M75" s="69">
        <f aca="true" t="shared" si="42" ref="M75:M87">+ROUND(AB75/AB$72,0)</f>
        <v>0</v>
      </c>
      <c r="N75" s="69">
        <f aca="true" t="shared" si="43" ref="N75:N87">+ROUND(AC75/AC$71,0)</f>
        <v>0</v>
      </c>
      <c r="O75" s="69">
        <f aca="true" t="shared" si="44" ref="O75:O87">+ROUND(AD75/AD$72,0)</f>
        <v>0</v>
      </c>
      <c r="P75" s="109"/>
      <c r="Q75" s="217">
        <f>+'2005'!$E$20</f>
        <v>8750.18</v>
      </c>
      <c r="R75" s="217">
        <f>+'2005'!$E$33</f>
        <v>0</v>
      </c>
      <c r="S75" s="71">
        <f>+'2005'!$E$21+'2005'!$E$22</f>
        <v>2628.27</v>
      </c>
      <c r="T75" s="71">
        <f>+'2005'!$E$34+'2005'!$E$35</f>
        <v>0</v>
      </c>
      <c r="U75" s="71">
        <f>+'2005'!$E$23+'2005'!$E$24</f>
        <v>1206.9299999999998</v>
      </c>
      <c r="V75" s="71">
        <f>+'2005'!$E$36+'2005'!$E$37</f>
        <v>0</v>
      </c>
      <c r="W75" s="71">
        <f>+'2005'!$E$25+'2005'!$E$26</f>
        <v>644.56</v>
      </c>
      <c r="X75" s="71">
        <f>+'2005'!$E$38+'2005'!$E$39</f>
        <v>0</v>
      </c>
      <c r="Y75" s="71">
        <f>+'2005'!$E$28</f>
        <v>50.870000000000005</v>
      </c>
      <c r="Z75" s="71">
        <f>+'2005'!$E$41</f>
        <v>0</v>
      </c>
      <c r="AA75" s="71">
        <f>+'2005'!$E$27</f>
        <v>185.33</v>
      </c>
      <c r="AB75" s="71">
        <f>+'2005'!$E$40</f>
        <v>0</v>
      </c>
      <c r="AC75" s="107">
        <v>0</v>
      </c>
      <c r="AD75" s="107">
        <v>0</v>
      </c>
      <c r="AE75" s="110">
        <f t="shared" si="30"/>
        <v>13466.140000000001</v>
      </c>
    </row>
    <row r="76" spans="1:31" ht="15.75">
      <c r="A76" s="212" t="s">
        <v>37</v>
      </c>
      <c r="B76" s="69">
        <f t="shared" si="31"/>
        <v>4703185</v>
      </c>
      <c r="C76" s="69">
        <f t="shared" si="32"/>
        <v>0</v>
      </c>
      <c r="D76" s="69">
        <f t="shared" si="33"/>
        <v>2303377</v>
      </c>
      <c r="E76" s="69">
        <f t="shared" si="34"/>
        <v>0</v>
      </c>
      <c r="F76" s="69">
        <f t="shared" si="35"/>
        <v>13911</v>
      </c>
      <c r="G76" s="69">
        <f t="shared" si="36"/>
        <v>0</v>
      </c>
      <c r="H76" s="69">
        <f t="shared" si="37"/>
        <v>14652</v>
      </c>
      <c r="I76" s="69">
        <f t="shared" si="38"/>
        <v>0</v>
      </c>
      <c r="J76" s="69">
        <f t="shared" si="39"/>
        <v>25</v>
      </c>
      <c r="K76" s="69">
        <f t="shared" si="40"/>
        <v>0</v>
      </c>
      <c r="L76" s="69">
        <f t="shared" si="41"/>
        <v>315</v>
      </c>
      <c r="M76" s="69">
        <f t="shared" si="42"/>
        <v>0</v>
      </c>
      <c r="N76" s="69">
        <f t="shared" si="43"/>
        <v>0</v>
      </c>
      <c r="O76" s="69">
        <f t="shared" si="44"/>
        <v>0</v>
      </c>
      <c r="P76" s="109"/>
      <c r="Q76" s="217">
        <f>+'2005'!$F$20</f>
        <v>9406.37</v>
      </c>
      <c r="R76" s="217">
        <f>+'2005'!$F$33</f>
        <v>0</v>
      </c>
      <c r="S76" s="71">
        <f>+'2005'!$F$21+'2005'!$F$22</f>
        <v>2810.12</v>
      </c>
      <c r="T76" s="71">
        <f>+'2005'!$F$34+'2005'!$F$35</f>
        <v>0</v>
      </c>
      <c r="U76" s="71">
        <f>+'2005'!$F$23+'2005'!$F$24</f>
        <v>1252.0299999999997</v>
      </c>
      <c r="V76" s="71">
        <f>+'2005'!$F$36+'2005'!$F$37</f>
        <v>0</v>
      </c>
      <c r="W76" s="71">
        <f>+'2005'!$F$25+'2005'!$F$26</f>
        <v>644.67</v>
      </c>
      <c r="X76" s="71">
        <f>+'2005'!$F$38+'2005'!$F$39</f>
        <v>0</v>
      </c>
      <c r="Y76" s="71">
        <f>+'2005'!$F$28</f>
        <v>16.59</v>
      </c>
      <c r="Z76" s="71">
        <f>+'2005'!$F$41</f>
        <v>0</v>
      </c>
      <c r="AA76" s="71">
        <f>+'2005'!$F$27</f>
        <v>185.36</v>
      </c>
      <c r="AB76" s="71">
        <f>+'2005'!$F$40</f>
        <v>0</v>
      </c>
      <c r="AC76" s="107">
        <v>0</v>
      </c>
      <c r="AD76" s="107">
        <v>0</v>
      </c>
      <c r="AE76" s="110">
        <f t="shared" si="30"/>
        <v>14315.140000000001</v>
      </c>
    </row>
    <row r="77" spans="1:32" ht="15.75">
      <c r="A77" s="212" t="s">
        <v>38</v>
      </c>
      <c r="B77" s="69">
        <f t="shared" si="31"/>
        <v>4497060</v>
      </c>
      <c r="C77" s="69">
        <f t="shared" si="32"/>
        <v>0</v>
      </c>
      <c r="D77" s="69">
        <f t="shared" si="33"/>
        <v>2326844</v>
      </c>
      <c r="E77" s="69">
        <f t="shared" si="34"/>
        <v>0</v>
      </c>
      <c r="F77" s="69">
        <f t="shared" si="35"/>
        <v>24132</v>
      </c>
      <c r="G77" s="69">
        <f t="shared" si="36"/>
        <v>0</v>
      </c>
      <c r="H77" s="69">
        <f t="shared" si="37"/>
        <v>14932</v>
      </c>
      <c r="I77" s="69">
        <f t="shared" si="38"/>
        <v>0</v>
      </c>
      <c r="J77" s="69">
        <f t="shared" si="39"/>
        <v>25</v>
      </c>
      <c r="K77" s="69">
        <f t="shared" si="40"/>
        <v>0</v>
      </c>
      <c r="L77" s="69">
        <f t="shared" si="41"/>
        <v>315</v>
      </c>
      <c r="M77" s="69">
        <f t="shared" si="42"/>
        <v>0</v>
      </c>
      <c r="N77" s="69">
        <f t="shared" si="43"/>
        <v>0</v>
      </c>
      <c r="O77" s="69">
        <f t="shared" si="44"/>
        <v>0</v>
      </c>
      <c r="P77" s="109"/>
      <c r="Q77" s="217">
        <f>+'2005'!$G$20</f>
        <v>8994.12</v>
      </c>
      <c r="R77" s="217">
        <f>+'2005'!$G$33</f>
        <v>0</v>
      </c>
      <c r="S77" s="71">
        <f>+'2005'!$G$21+'2005'!$G$22</f>
        <v>2838.749999999999</v>
      </c>
      <c r="T77" s="71">
        <f>+'2005'!$G$34+'2005'!$G$35</f>
        <v>0</v>
      </c>
      <c r="U77" s="71">
        <f>+'2005'!$G$23+'2005'!$G$24</f>
        <v>2171.8500000000004</v>
      </c>
      <c r="V77" s="71">
        <f>+'2005'!$G$36+'2005'!$G$37</f>
        <v>0</v>
      </c>
      <c r="W77" s="71">
        <f>+'2005'!$G$25+'2005'!$G$26</f>
        <v>657.01</v>
      </c>
      <c r="X77" s="71">
        <f>+'2005'!$G$38+'2005'!$G$39</f>
        <v>0</v>
      </c>
      <c r="Y77" s="71">
        <f>+'2005'!$G$28</f>
        <v>16.74</v>
      </c>
      <c r="Z77" s="71">
        <f>+'2005'!$G$41</f>
        <v>0</v>
      </c>
      <c r="AA77" s="71">
        <f>+'2005'!$G$27</f>
        <v>185.36</v>
      </c>
      <c r="AB77" s="71">
        <f>+'2005'!$G$40</f>
        <v>0</v>
      </c>
      <c r="AC77" s="107">
        <v>0</v>
      </c>
      <c r="AD77" s="107">
        <v>0</v>
      </c>
      <c r="AE77" s="110">
        <f t="shared" si="30"/>
        <v>14863.83</v>
      </c>
      <c r="AF77" s="78"/>
    </row>
    <row r="78" spans="1:32" ht="15.75">
      <c r="A78" s="212" t="s">
        <v>39</v>
      </c>
      <c r="B78" s="69">
        <f t="shared" si="31"/>
        <v>3672675</v>
      </c>
      <c r="C78" s="69">
        <f t="shared" si="32"/>
        <v>632975</v>
      </c>
      <c r="D78" s="69">
        <f t="shared" si="33"/>
        <v>2050951</v>
      </c>
      <c r="E78" s="69">
        <f t="shared" si="34"/>
        <v>37743</v>
      </c>
      <c r="F78" s="69">
        <f t="shared" si="35"/>
        <v>12388</v>
      </c>
      <c r="G78" s="69">
        <f t="shared" si="36"/>
        <v>1044</v>
      </c>
      <c r="H78" s="69">
        <f t="shared" si="37"/>
        <v>13997</v>
      </c>
      <c r="I78" s="69">
        <f t="shared" si="38"/>
        <v>0</v>
      </c>
      <c r="J78" s="69">
        <f t="shared" si="39"/>
        <v>24</v>
      </c>
      <c r="K78" s="69">
        <f t="shared" si="40"/>
        <v>2</v>
      </c>
      <c r="L78" s="69">
        <f t="shared" si="41"/>
        <v>315</v>
      </c>
      <c r="M78" s="69">
        <f t="shared" si="42"/>
        <v>0</v>
      </c>
      <c r="N78" s="69">
        <f t="shared" si="43"/>
        <v>0</v>
      </c>
      <c r="O78" s="69">
        <f t="shared" si="44"/>
        <v>0</v>
      </c>
      <c r="P78" s="109"/>
      <c r="Q78" s="217">
        <f>+'2005'!$H$20</f>
        <v>7345.35</v>
      </c>
      <c r="R78" s="217">
        <f>+'2005'!$H$33</f>
        <v>759.57</v>
      </c>
      <c r="S78" s="71">
        <f>+'2005'!$H$21+'2005'!$H$22</f>
        <v>2502.1600000000003</v>
      </c>
      <c r="T78" s="71">
        <f>+'2005'!$H$34+'2005'!$H$35</f>
        <v>264.20000000000005</v>
      </c>
      <c r="U78" s="71">
        <f>+'2005'!$H$23+'2005'!$H$24</f>
        <v>1114.9</v>
      </c>
      <c r="V78" s="71">
        <f>+'2005'!$H$36+'2005'!$H$37</f>
        <v>57.2</v>
      </c>
      <c r="W78" s="71">
        <f>+'2005'!$H$25+'2005'!$H$26</f>
        <v>615.88</v>
      </c>
      <c r="X78" s="71">
        <f>+'2005'!$H$38+'2005'!$H$39</f>
        <v>0</v>
      </c>
      <c r="Y78" s="71">
        <f>+'2005'!$H$28</f>
        <v>15.84</v>
      </c>
      <c r="Z78" s="71">
        <f>+'2005'!$H$41</f>
        <v>1.32</v>
      </c>
      <c r="AA78" s="71">
        <f>+'2005'!$H$27</f>
        <v>185.36</v>
      </c>
      <c r="AB78" s="71">
        <f>+'2005'!$H$40</f>
        <v>0</v>
      </c>
      <c r="AC78" s="107">
        <v>0</v>
      </c>
      <c r="AD78" s="107">
        <v>0</v>
      </c>
      <c r="AE78" s="110">
        <f t="shared" si="30"/>
        <v>12861.78</v>
      </c>
      <c r="AF78" s="78"/>
    </row>
    <row r="79" spans="1:32" ht="15.75">
      <c r="A79" s="212" t="s">
        <v>40</v>
      </c>
      <c r="B79" s="69">
        <f t="shared" si="31"/>
        <v>350590</v>
      </c>
      <c r="C79" s="69">
        <f t="shared" si="32"/>
        <v>3115133</v>
      </c>
      <c r="D79" s="69">
        <f t="shared" si="33"/>
        <v>189410</v>
      </c>
      <c r="E79" s="69">
        <f t="shared" si="34"/>
        <v>178409</v>
      </c>
      <c r="F79" s="69">
        <f t="shared" si="35"/>
        <v>1702</v>
      </c>
      <c r="G79" s="69">
        <f t="shared" si="36"/>
        <v>11816</v>
      </c>
      <c r="H79" s="69">
        <f t="shared" si="37"/>
        <v>0</v>
      </c>
      <c r="I79" s="69">
        <f t="shared" si="38"/>
        <v>13813</v>
      </c>
      <c r="J79" s="69">
        <f t="shared" si="39"/>
        <v>4</v>
      </c>
      <c r="K79" s="69">
        <f t="shared" si="40"/>
        <v>21</v>
      </c>
      <c r="L79" s="69">
        <f t="shared" si="41"/>
        <v>0</v>
      </c>
      <c r="M79" s="69">
        <f t="shared" si="42"/>
        <v>315</v>
      </c>
      <c r="N79" s="69">
        <f t="shared" si="43"/>
        <v>0</v>
      </c>
      <c r="O79" s="69">
        <f t="shared" si="44"/>
        <v>0</v>
      </c>
      <c r="P79" s="109"/>
      <c r="Q79" s="217">
        <f>+'2005'!$I$20</f>
        <v>701.18</v>
      </c>
      <c r="R79" s="217">
        <f>+'2005'!$I$33</f>
        <v>3738.16</v>
      </c>
      <c r="S79" s="71">
        <f>+'2005'!$I$21+'2005'!$I$22</f>
        <v>231.07999999999998</v>
      </c>
      <c r="T79" s="71">
        <f>+'2005'!$I$34+'2005'!$I$35</f>
        <v>1248.8600000000001</v>
      </c>
      <c r="U79" s="71">
        <f>+'2005'!$I$23+'2005'!$I$24</f>
        <v>153.15</v>
      </c>
      <c r="V79" s="71">
        <f>+'2005'!$I$36+'2005'!$I$37</f>
        <v>647.5</v>
      </c>
      <c r="W79" s="71">
        <f>+'2005'!$I$25+'2005'!$I$26</f>
        <v>0</v>
      </c>
      <c r="X79" s="71">
        <f>+'2005'!$I$38+'2005'!$I$39</f>
        <v>350.85</v>
      </c>
      <c r="Y79" s="71">
        <f>+'2005'!$I$28</f>
        <v>2.67</v>
      </c>
      <c r="Z79" s="71">
        <f>+'2005'!$I$41</f>
        <v>11.44</v>
      </c>
      <c r="AA79" s="71">
        <f>+'2005'!$I$27</f>
        <v>0</v>
      </c>
      <c r="AB79" s="71">
        <f>+'2005'!$I$40</f>
        <v>112.45</v>
      </c>
      <c r="AC79" s="107">
        <v>0</v>
      </c>
      <c r="AD79" s="107">
        <v>0</v>
      </c>
      <c r="AE79" s="110">
        <f t="shared" si="30"/>
        <v>7197.34</v>
      </c>
      <c r="AF79" s="78"/>
    </row>
    <row r="80" spans="1:32" ht="15.75">
      <c r="A80" s="212" t="s">
        <v>41</v>
      </c>
      <c r="B80" s="69">
        <f t="shared" si="31"/>
        <v>1630</v>
      </c>
      <c r="C80" s="69">
        <f t="shared" si="32"/>
        <v>3861117</v>
      </c>
      <c r="D80" s="69">
        <f t="shared" si="33"/>
        <v>0</v>
      </c>
      <c r="E80" s="69">
        <f t="shared" si="34"/>
        <v>208254</v>
      </c>
      <c r="F80" s="69">
        <f t="shared" si="35"/>
        <v>-3590</v>
      </c>
      <c r="G80" s="69">
        <f t="shared" si="36"/>
        <v>9891</v>
      </c>
      <c r="H80" s="69">
        <f t="shared" si="37"/>
        <v>-7382</v>
      </c>
      <c r="I80" s="69">
        <f t="shared" si="38"/>
        <v>6565</v>
      </c>
      <c r="J80" s="69">
        <f t="shared" si="39"/>
        <v>0</v>
      </c>
      <c r="K80" s="69">
        <f t="shared" si="40"/>
        <v>25</v>
      </c>
      <c r="L80" s="69">
        <f t="shared" si="41"/>
        <v>0</v>
      </c>
      <c r="M80" s="69">
        <f t="shared" si="42"/>
        <v>315</v>
      </c>
      <c r="N80" s="69">
        <f t="shared" si="43"/>
        <v>0</v>
      </c>
      <c r="O80" s="69">
        <f t="shared" si="44"/>
        <v>0</v>
      </c>
      <c r="P80" s="109"/>
      <c r="Q80" s="217">
        <f>+'2005'!$J$20</f>
        <v>3.26</v>
      </c>
      <c r="R80" s="217">
        <f>+'2005'!$J$33</f>
        <v>4633.34</v>
      </c>
      <c r="S80" s="71">
        <f>+'2005'!$J$21+'2005'!$J$22</f>
        <v>0</v>
      </c>
      <c r="T80" s="71">
        <f>+'2005'!$J$34+'2005'!$J$35</f>
        <v>1457.7799999999997</v>
      </c>
      <c r="U80" s="71">
        <f>+'2005'!$J$23+'2005'!$J$24</f>
        <v>-323.13</v>
      </c>
      <c r="V80" s="71">
        <f>+'2005'!$J$36+'2005'!$J$37</f>
        <v>542.0300000000001</v>
      </c>
      <c r="W80" s="71">
        <f>+'2005'!$J$25+'2005'!$J$26</f>
        <v>-324.82</v>
      </c>
      <c r="X80" s="71">
        <f>+'2005'!$J$38+'2005'!$J$39</f>
        <v>166.75</v>
      </c>
      <c r="Y80" s="71">
        <f>+'2005'!$J$28</f>
        <v>0</v>
      </c>
      <c r="Z80" s="71">
        <f>+'2005'!$J$41</f>
        <v>13.81</v>
      </c>
      <c r="AA80" s="71">
        <f>+'2005'!$J$27</f>
        <v>0</v>
      </c>
      <c r="AB80" s="71">
        <f>+'2005'!$J$40</f>
        <v>112.45</v>
      </c>
      <c r="AC80" s="107">
        <v>0</v>
      </c>
      <c r="AD80" s="107">
        <v>0</v>
      </c>
      <c r="AE80" s="110">
        <f t="shared" si="30"/>
        <v>6281.47</v>
      </c>
      <c r="AF80" s="78"/>
    </row>
    <row r="81" spans="1:32" ht="15.75">
      <c r="A81" s="212" t="s">
        <v>42</v>
      </c>
      <c r="B81" s="69">
        <f t="shared" si="31"/>
        <v>-35</v>
      </c>
      <c r="C81" s="69">
        <f t="shared" si="32"/>
        <v>4613192</v>
      </c>
      <c r="D81" s="69">
        <f t="shared" si="33"/>
        <v>0</v>
      </c>
      <c r="E81" s="69">
        <f t="shared" si="34"/>
        <v>240987</v>
      </c>
      <c r="F81" s="69">
        <f t="shared" si="35"/>
        <v>3575</v>
      </c>
      <c r="G81" s="69">
        <f t="shared" si="36"/>
        <v>18004</v>
      </c>
      <c r="H81" s="69">
        <f t="shared" si="37"/>
        <v>7382</v>
      </c>
      <c r="I81" s="69">
        <f t="shared" si="38"/>
        <v>21369</v>
      </c>
      <c r="J81" s="69">
        <f t="shared" si="39"/>
        <v>0</v>
      </c>
      <c r="K81" s="69">
        <f t="shared" si="40"/>
        <v>25</v>
      </c>
      <c r="L81" s="69">
        <f t="shared" si="41"/>
        <v>0</v>
      </c>
      <c r="M81" s="69">
        <f t="shared" si="42"/>
        <v>315</v>
      </c>
      <c r="N81" s="69">
        <f t="shared" si="43"/>
        <v>0</v>
      </c>
      <c r="O81" s="69">
        <f t="shared" si="44"/>
        <v>0</v>
      </c>
      <c r="P81" s="109"/>
      <c r="Q81" s="217">
        <f>+'2005'!$K$20</f>
        <v>-0.07</v>
      </c>
      <c r="R81" s="217">
        <f>+'2005'!$K$33</f>
        <v>5535.83</v>
      </c>
      <c r="S81" s="71">
        <f>+'2005'!$K$21+'2005'!$K$22</f>
        <v>0</v>
      </c>
      <c r="T81" s="71">
        <f>+'2005'!$K$34+'2005'!$K$35</f>
        <v>1686.9099999999996</v>
      </c>
      <c r="U81" s="71">
        <f>+'2005'!$K$23+'2005'!$K$24</f>
        <v>321.75</v>
      </c>
      <c r="V81" s="71">
        <f>+'2005'!$K$36+'2005'!$K$37</f>
        <v>986.6399999999999</v>
      </c>
      <c r="W81" s="71">
        <f>+'2005'!$K$25+'2005'!$K$26</f>
        <v>324.82</v>
      </c>
      <c r="X81" s="71">
        <f>+'2005'!$K$38+'2005'!$K$39</f>
        <v>542.78</v>
      </c>
      <c r="Y81" s="71">
        <f>+'2005'!$K$28</f>
        <v>0</v>
      </c>
      <c r="Z81" s="71">
        <f>+'2005'!$K$41</f>
        <v>13.35</v>
      </c>
      <c r="AA81" s="71">
        <f>+'2005'!$K$27</f>
        <v>0</v>
      </c>
      <c r="AB81" s="71">
        <f>+'2005'!$K$40</f>
        <v>112.45</v>
      </c>
      <c r="AC81" s="107">
        <v>0</v>
      </c>
      <c r="AD81" s="107">
        <v>0</v>
      </c>
      <c r="AE81" s="110">
        <f t="shared" si="30"/>
        <v>9524.460000000001</v>
      </c>
      <c r="AF81" s="78"/>
    </row>
    <row r="82" spans="1:32" ht="15.75">
      <c r="A82" s="212" t="s">
        <v>43</v>
      </c>
      <c r="B82" s="69">
        <f t="shared" si="31"/>
        <v>-4050</v>
      </c>
      <c r="C82" s="69">
        <f t="shared" si="32"/>
        <v>6065025</v>
      </c>
      <c r="D82" s="69">
        <f t="shared" si="33"/>
        <v>0</v>
      </c>
      <c r="E82" s="69">
        <f t="shared" si="34"/>
        <v>276231</v>
      </c>
      <c r="F82" s="69">
        <f t="shared" si="35"/>
        <v>0</v>
      </c>
      <c r="G82" s="69">
        <f t="shared" si="36"/>
        <v>15015</v>
      </c>
      <c r="H82" s="69">
        <f t="shared" si="37"/>
        <v>0</v>
      </c>
      <c r="I82" s="69">
        <f t="shared" si="38"/>
        <v>13991</v>
      </c>
      <c r="J82" s="69">
        <f t="shared" si="39"/>
        <v>0</v>
      </c>
      <c r="K82" s="69">
        <f t="shared" si="40"/>
        <v>26</v>
      </c>
      <c r="L82" s="69">
        <f t="shared" si="41"/>
        <v>0</v>
      </c>
      <c r="M82" s="69">
        <f t="shared" si="42"/>
        <v>315</v>
      </c>
      <c r="N82" s="69">
        <f t="shared" si="43"/>
        <v>0</v>
      </c>
      <c r="O82" s="69">
        <f t="shared" si="44"/>
        <v>0</v>
      </c>
      <c r="P82" s="109"/>
      <c r="Q82" s="217">
        <f>+'2005'!$L$20</f>
        <v>-8.1</v>
      </c>
      <c r="R82" s="217">
        <f>+'2005'!$L$33</f>
        <v>7278.03</v>
      </c>
      <c r="S82" s="71">
        <f>+'2005'!$L$21+'2005'!$L$22</f>
        <v>0</v>
      </c>
      <c r="T82" s="71">
        <f>+'2005'!$L$34+'2005'!$L$35</f>
        <v>1933.62</v>
      </c>
      <c r="U82" s="71">
        <f>+'2005'!$L$23+'2005'!$L$24</f>
        <v>0</v>
      </c>
      <c r="V82" s="71">
        <f>+'2005'!$L$36+'2005'!$L$37</f>
        <v>822.8</v>
      </c>
      <c r="W82" s="71">
        <f>+'2005'!$L$25+'2005'!$L$26</f>
        <v>0</v>
      </c>
      <c r="X82" s="71">
        <f>+'2005'!$L$38+'2005'!$L$39</f>
        <v>355.38</v>
      </c>
      <c r="Y82" s="71">
        <f>+'2005'!$L$28</f>
        <v>0</v>
      </c>
      <c r="Z82" s="71">
        <f>+'2005'!$L$41</f>
        <v>14.07</v>
      </c>
      <c r="AA82" s="71">
        <f>+'2005'!$L$27</f>
        <v>0</v>
      </c>
      <c r="AB82" s="71">
        <f>+'2005'!$L$40</f>
        <v>112.45</v>
      </c>
      <c r="AC82" s="107">
        <v>0</v>
      </c>
      <c r="AD82" s="107">
        <v>0</v>
      </c>
      <c r="AE82" s="110">
        <f t="shared" si="30"/>
        <v>10508.249999999998</v>
      </c>
      <c r="AF82" s="78"/>
    </row>
    <row r="83" spans="1:32" ht="15.75">
      <c r="A83" s="212" t="s">
        <v>44</v>
      </c>
      <c r="B83" s="69">
        <f t="shared" si="31"/>
        <v>2300</v>
      </c>
      <c r="C83" s="69">
        <f t="shared" si="32"/>
        <v>4609150</v>
      </c>
      <c r="D83" s="69">
        <f t="shared" si="33"/>
        <v>0</v>
      </c>
      <c r="E83" s="69">
        <f t="shared" si="34"/>
        <v>205917</v>
      </c>
      <c r="F83" s="69">
        <f t="shared" si="35"/>
        <v>0</v>
      </c>
      <c r="G83" s="69">
        <f t="shared" si="36"/>
        <v>7585</v>
      </c>
      <c r="H83" s="69">
        <f t="shared" si="37"/>
        <v>0</v>
      </c>
      <c r="I83" s="69">
        <f t="shared" si="38"/>
        <v>7009</v>
      </c>
      <c r="J83" s="69">
        <f t="shared" si="39"/>
        <v>0</v>
      </c>
      <c r="K83" s="69">
        <f t="shared" si="40"/>
        <v>19</v>
      </c>
      <c r="L83" s="69">
        <f t="shared" si="41"/>
        <v>0</v>
      </c>
      <c r="M83" s="69">
        <f t="shared" si="42"/>
        <v>315</v>
      </c>
      <c r="N83" s="69">
        <f t="shared" si="43"/>
        <v>0</v>
      </c>
      <c r="O83" s="69">
        <f t="shared" si="44"/>
        <v>0</v>
      </c>
      <c r="P83" s="109"/>
      <c r="Q83" s="217">
        <f>+'2005'!$M$20</f>
        <v>4.6</v>
      </c>
      <c r="R83" s="217">
        <f>+'2005'!$M$33</f>
        <v>5530.98</v>
      </c>
      <c r="S83" s="71">
        <f>+'2005'!$M$21+'2005'!$M$22</f>
        <v>0</v>
      </c>
      <c r="T83" s="71">
        <f>+'2005'!$M$34+'2005'!$M$35</f>
        <v>1441.42</v>
      </c>
      <c r="U83" s="71">
        <f>+'2005'!$M$23+'2005'!$M$24</f>
        <v>0</v>
      </c>
      <c r="V83" s="71">
        <f>+'2005'!$M$36+'2005'!$M$37</f>
        <v>415.66</v>
      </c>
      <c r="W83" s="71">
        <f>+'2005'!$M$25+'2005'!$M$26</f>
        <v>0</v>
      </c>
      <c r="X83" s="71">
        <f>+'2005'!$M$38+'2005'!$M$39</f>
        <v>178.01999999999998</v>
      </c>
      <c r="Y83" s="71">
        <f>+'2005'!$M$28</f>
        <v>0</v>
      </c>
      <c r="Z83" s="71">
        <f>+'2005'!$M$41</f>
        <v>10.5</v>
      </c>
      <c r="AA83" s="71">
        <f>+'2005'!$M$27</f>
        <v>0</v>
      </c>
      <c r="AB83" s="71">
        <f>+'2005'!$M$40</f>
        <v>112.45</v>
      </c>
      <c r="AC83" s="107">
        <v>0</v>
      </c>
      <c r="AD83" s="107">
        <v>0</v>
      </c>
      <c r="AE83" s="110">
        <f t="shared" si="30"/>
        <v>7693.63</v>
      </c>
      <c r="AF83" s="78"/>
    </row>
    <row r="84" spans="1:32" ht="15.75">
      <c r="A84" s="212" t="s">
        <v>45</v>
      </c>
      <c r="B84" s="69">
        <f t="shared" si="31"/>
        <v>0</v>
      </c>
      <c r="C84" s="69">
        <f t="shared" si="32"/>
        <v>3802025</v>
      </c>
      <c r="D84" s="69">
        <f t="shared" si="33"/>
        <v>0</v>
      </c>
      <c r="E84" s="69">
        <f t="shared" si="34"/>
        <v>246496</v>
      </c>
      <c r="F84" s="69">
        <f t="shared" si="35"/>
        <v>0</v>
      </c>
      <c r="G84" s="69">
        <f t="shared" si="36"/>
        <v>20385</v>
      </c>
      <c r="H84" s="69">
        <f t="shared" si="37"/>
        <v>0</v>
      </c>
      <c r="I84" s="69">
        <f t="shared" si="38"/>
        <v>22163</v>
      </c>
      <c r="J84" s="69">
        <f t="shared" si="39"/>
        <v>0</v>
      </c>
      <c r="K84" s="69">
        <f t="shared" si="40"/>
        <v>31</v>
      </c>
      <c r="L84" s="69">
        <f t="shared" si="41"/>
        <v>0</v>
      </c>
      <c r="M84" s="69">
        <f t="shared" si="42"/>
        <v>315</v>
      </c>
      <c r="N84" s="69">
        <f t="shared" si="43"/>
        <v>0</v>
      </c>
      <c r="O84" s="69">
        <f t="shared" si="44"/>
        <v>0</v>
      </c>
      <c r="P84" s="109"/>
      <c r="Q84" s="217">
        <f>+'2005'!$N$20</f>
        <v>0</v>
      </c>
      <c r="R84" s="217">
        <f>+'2005'!$N$33</f>
        <v>4562.43</v>
      </c>
      <c r="S84" s="71">
        <f>+'2005'!$N$21+'2005'!$N$22</f>
        <v>0</v>
      </c>
      <c r="T84" s="71">
        <f>+'2005'!$N$34+'2005'!$N$35</f>
        <v>1725.47</v>
      </c>
      <c r="U84" s="71">
        <f>+'2005'!$N$23+'2005'!$N$24</f>
        <v>0</v>
      </c>
      <c r="V84" s="71">
        <f>+'2005'!$N$36+'2005'!$N$37</f>
        <v>1117.08</v>
      </c>
      <c r="W84" s="71">
        <f>+'2005'!$N$25+'2005'!$N$26</f>
        <v>0</v>
      </c>
      <c r="X84" s="71">
        <f>+'2005'!$N$38+'2005'!$N$39</f>
        <v>562.9300000000001</v>
      </c>
      <c r="Y84" s="71">
        <f>+'2005'!$N$28</f>
        <v>0</v>
      </c>
      <c r="Z84" s="71">
        <f>+'2005'!$N$41</f>
        <v>16.66</v>
      </c>
      <c r="AA84" s="71">
        <f>+'2005'!$N$27</f>
        <v>0</v>
      </c>
      <c r="AB84" s="71">
        <f>+'2005'!$N$40</f>
        <v>112.45</v>
      </c>
      <c r="AC84" s="107">
        <v>0</v>
      </c>
      <c r="AD84" s="107">
        <v>0</v>
      </c>
      <c r="AE84" s="110">
        <f t="shared" si="30"/>
        <v>8097.02</v>
      </c>
      <c r="AF84" s="78"/>
    </row>
    <row r="85" spans="1:32" ht="15.75">
      <c r="A85" s="212" t="s">
        <v>46</v>
      </c>
      <c r="B85" s="69">
        <f t="shared" si="31"/>
        <v>0</v>
      </c>
      <c r="C85" s="69">
        <f t="shared" si="32"/>
        <v>3707642</v>
      </c>
      <c r="D85" s="69">
        <f t="shared" si="33"/>
        <v>0</v>
      </c>
      <c r="E85" s="69">
        <f t="shared" si="34"/>
        <v>204789</v>
      </c>
      <c r="F85" s="69">
        <f t="shared" si="35"/>
        <v>0</v>
      </c>
      <c r="G85" s="69">
        <f t="shared" si="36"/>
        <v>13971</v>
      </c>
      <c r="H85" s="69">
        <f t="shared" si="37"/>
        <v>0</v>
      </c>
      <c r="I85" s="69">
        <f t="shared" si="38"/>
        <v>14618</v>
      </c>
      <c r="J85" s="69">
        <f t="shared" si="39"/>
        <v>0</v>
      </c>
      <c r="K85" s="69">
        <f t="shared" si="40"/>
        <v>25</v>
      </c>
      <c r="L85" s="69">
        <f t="shared" si="41"/>
        <v>0</v>
      </c>
      <c r="M85" s="69">
        <f t="shared" si="42"/>
        <v>315</v>
      </c>
      <c r="N85" s="69">
        <f t="shared" si="43"/>
        <v>0</v>
      </c>
      <c r="O85" s="69">
        <f t="shared" si="44"/>
        <v>0</v>
      </c>
      <c r="P85" s="109"/>
      <c r="Q85" s="217">
        <f>+'2005'!$O$20</f>
        <v>0</v>
      </c>
      <c r="R85" s="217">
        <f>+'2005'!$O$33</f>
        <v>4449.17</v>
      </c>
      <c r="S85" s="71">
        <f>+'2005'!$O$21+'2005'!$O$22</f>
        <v>0</v>
      </c>
      <c r="T85" s="71">
        <f>+'2005'!$O$34+'2005'!$O$35</f>
        <v>1433.52</v>
      </c>
      <c r="U85" s="71">
        <f>+'2005'!$O$23+'2005'!$O$24</f>
        <v>0</v>
      </c>
      <c r="V85" s="71">
        <f>+'2005'!$O$36+'2005'!$O$37</f>
        <v>765.62</v>
      </c>
      <c r="W85" s="71">
        <f>+'2005'!$O$25+'2005'!$O$26</f>
        <v>0</v>
      </c>
      <c r="X85" s="71">
        <f>+'2005'!$O$38+'2005'!$O$39</f>
        <v>371.29</v>
      </c>
      <c r="Y85" s="71">
        <f>+'2005'!$O$28</f>
        <v>0</v>
      </c>
      <c r="Z85" s="71">
        <f>+'2005'!$O$41</f>
        <v>13.68</v>
      </c>
      <c r="AA85" s="71">
        <f>+'2005'!$O$27</f>
        <v>0</v>
      </c>
      <c r="AB85" s="71">
        <f>+'2005'!$O$40</f>
        <v>112.45</v>
      </c>
      <c r="AC85" s="107">
        <v>0</v>
      </c>
      <c r="AD85" s="107">
        <v>0</v>
      </c>
      <c r="AE85" s="110">
        <f t="shared" si="30"/>
        <v>7145.7300000000005</v>
      </c>
      <c r="AF85" s="78"/>
    </row>
    <row r="86" spans="1:32" ht="15.75">
      <c r="A86" s="212" t="s">
        <v>47</v>
      </c>
      <c r="B86" s="69">
        <f t="shared" si="31"/>
        <v>0</v>
      </c>
      <c r="C86" s="69">
        <f t="shared" si="32"/>
        <v>3706117</v>
      </c>
      <c r="D86" s="69">
        <f t="shared" si="33"/>
        <v>0</v>
      </c>
      <c r="E86" s="69">
        <f t="shared" si="34"/>
        <v>204749</v>
      </c>
      <c r="F86" s="69">
        <f t="shared" si="35"/>
        <v>0</v>
      </c>
      <c r="G86" s="69">
        <f t="shared" si="36"/>
        <v>13690</v>
      </c>
      <c r="H86" s="69">
        <f t="shared" si="37"/>
        <v>0</v>
      </c>
      <c r="I86" s="69">
        <f t="shared" si="38"/>
        <v>14487</v>
      </c>
      <c r="J86" s="69">
        <f t="shared" si="39"/>
        <v>0</v>
      </c>
      <c r="K86" s="69">
        <f t="shared" si="40"/>
        <v>25</v>
      </c>
      <c r="L86" s="69">
        <f t="shared" si="41"/>
        <v>0</v>
      </c>
      <c r="M86" s="69">
        <f t="shared" si="42"/>
        <v>315</v>
      </c>
      <c r="N86" s="69">
        <f t="shared" si="43"/>
        <v>0</v>
      </c>
      <c r="O86" s="69">
        <f t="shared" si="44"/>
        <v>0</v>
      </c>
      <c r="P86" s="109"/>
      <c r="Q86" s="217">
        <f>+'2005'!$P$20</f>
        <v>0</v>
      </c>
      <c r="R86" s="217">
        <f>+'2005'!$P$33</f>
        <v>4447.34</v>
      </c>
      <c r="S86" s="71">
        <f>+'2005'!$P$21+'2005'!$P$22</f>
        <v>0</v>
      </c>
      <c r="T86" s="71">
        <f>+'2005'!$P$34+'2005'!$P$35</f>
        <v>1433.24</v>
      </c>
      <c r="U86" s="71">
        <f>+'2005'!$P$23+'2005'!$P$24</f>
        <v>0</v>
      </c>
      <c r="V86" s="71">
        <f>+'2005'!$P$36+'2005'!$P$37</f>
        <v>750.1899999999999</v>
      </c>
      <c r="W86" s="71">
        <f>+'2005'!$P$25+'2005'!$P$26</f>
        <v>0</v>
      </c>
      <c r="X86" s="71">
        <f>+'2005'!$P$38+'2005'!$P$39</f>
        <v>367.97</v>
      </c>
      <c r="Y86" s="71">
        <f>+'2005'!$P$28</f>
        <v>0</v>
      </c>
      <c r="Z86" s="71">
        <f>+'2005'!$P$41</f>
        <v>13.35</v>
      </c>
      <c r="AA86" s="71">
        <f>+'2005'!$P$27</f>
        <v>0</v>
      </c>
      <c r="AB86" s="71">
        <f>+'2005'!$P$40</f>
        <v>112.45</v>
      </c>
      <c r="AC86" s="107">
        <v>0</v>
      </c>
      <c r="AD86" s="107">
        <v>0</v>
      </c>
      <c r="AE86" s="110">
        <f t="shared" si="30"/>
        <v>7124.54</v>
      </c>
      <c r="AF86" s="78"/>
    </row>
    <row r="87" spans="1:32" ht="15.75">
      <c r="A87" s="212" t="s">
        <v>53</v>
      </c>
      <c r="B87" s="69">
        <f t="shared" si="31"/>
        <v>0</v>
      </c>
      <c r="C87" s="69">
        <f t="shared" si="32"/>
        <v>5032550</v>
      </c>
      <c r="D87" s="69">
        <f t="shared" si="33"/>
        <v>0</v>
      </c>
      <c r="E87" s="69">
        <f t="shared" si="34"/>
        <v>239733</v>
      </c>
      <c r="F87" s="69">
        <f t="shared" si="35"/>
        <v>0</v>
      </c>
      <c r="G87" s="69">
        <f t="shared" si="36"/>
        <v>13872</v>
      </c>
      <c r="H87" s="69">
        <f t="shared" si="37"/>
        <v>0</v>
      </c>
      <c r="I87" s="69">
        <f t="shared" si="38"/>
        <v>14189</v>
      </c>
      <c r="J87" s="69">
        <f t="shared" si="39"/>
        <v>0</v>
      </c>
      <c r="K87" s="69">
        <f t="shared" si="40"/>
        <v>56</v>
      </c>
      <c r="L87" s="69">
        <f t="shared" si="41"/>
        <v>0</v>
      </c>
      <c r="M87" s="69">
        <f t="shared" si="42"/>
        <v>315</v>
      </c>
      <c r="N87" s="69">
        <f t="shared" si="43"/>
        <v>0</v>
      </c>
      <c r="O87" s="69">
        <f t="shared" si="44"/>
        <v>0</v>
      </c>
      <c r="P87" s="109"/>
      <c r="Q87" s="217">
        <f>+'2005'!$Q$20+'2005'!$R$20</f>
        <v>0</v>
      </c>
      <c r="R87" s="217">
        <f>+'2005'!$Q$33+'2005'!$R$33</f>
        <v>6039.0599999999995</v>
      </c>
      <c r="S87" s="272">
        <f>+'2005'!$Q$21+'2005'!$Q$22+'2005'!$R$21+'2005'!$R$22</f>
        <v>0</v>
      </c>
      <c r="T87" s="272">
        <f>+'2005'!$Q$34+'2005'!$Q$35+'2005'!$R$34+'2005'!$R$35</f>
        <v>1678.1299999999999</v>
      </c>
      <c r="U87" s="272">
        <f>+'2005'!$Q$23+'2005'!$Q$24+'2005'!$R$23+'2005'!$R$24</f>
        <v>0</v>
      </c>
      <c r="V87" s="272">
        <f>+'2005'!$Q$36+'2005'!$Q$37+'2005'!$R$36+'2005'!$R$37</f>
        <v>760.21</v>
      </c>
      <c r="W87" s="272">
        <f>+'2005'!$Q$25+'2005'!$Q$26+'2005'!$R$25+'2005'!$R$26</f>
        <v>0</v>
      </c>
      <c r="X87" s="272">
        <f>+'2005'!$Q$38+'2005'!$Q$39+'2005'!$R$38+'2005'!$R$39</f>
        <v>360.39</v>
      </c>
      <c r="Y87" s="272">
        <f>+'2005'!$Q$28+'2005'!$R$28</f>
        <v>0</v>
      </c>
      <c r="Z87" s="272">
        <f>+'2005'!$Q$41+'2005'!$R$41</f>
        <v>30.21</v>
      </c>
      <c r="AA87" s="272">
        <f>+'2005'!$Q$27+'2005'!$R$27</f>
        <v>0</v>
      </c>
      <c r="AB87" s="272">
        <f>+'2005'!$Q$40+'2005'!$R$40</f>
        <v>112.45</v>
      </c>
      <c r="AC87" s="107">
        <v>0</v>
      </c>
      <c r="AD87" s="107">
        <v>0</v>
      </c>
      <c r="AE87" s="110">
        <f t="shared" si="30"/>
        <v>8980.449999999999</v>
      </c>
      <c r="AF87" s="78"/>
    </row>
    <row r="88" spans="1:32" ht="15.75" thickBot="1">
      <c r="A88" s="187"/>
      <c r="B88" s="88">
        <f aca="true" t="shared" si="45" ref="B88:I88">SUM(B74:B87)</f>
        <v>13355115</v>
      </c>
      <c r="C88" s="113">
        <f t="shared" si="45"/>
        <v>39144926</v>
      </c>
      <c r="D88" s="88">
        <f t="shared" si="45"/>
        <v>6898132</v>
      </c>
      <c r="E88" s="113">
        <f t="shared" si="45"/>
        <v>2043308</v>
      </c>
      <c r="F88" s="88">
        <f t="shared" si="45"/>
        <v>51241</v>
      </c>
      <c r="G88" s="113">
        <f t="shared" si="45"/>
        <v>125273</v>
      </c>
      <c r="H88" s="88">
        <f t="shared" si="45"/>
        <v>43581</v>
      </c>
      <c r="I88" s="113">
        <f t="shared" si="45"/>
        <v>128204</v>
      </c>
      <c r="J88" s="88">
        <f aca="true" t="shared" si="46" ref="J88:O88">SUM(J74:J87)</f>
        <v>78</v>
      </c>
      <c r="K88" s="113">
        <f t="shared" si="46"/>
        <v>255</v>
      </c>
      <c r="L88" s="88">
        <f t="shared" si="46"/>
        <v>945</v>
      </c>
      <c r="M88" s="113">
        <f t="shared" si="46"/>
        <v>2835</v>
      </c>
      <c r="N88" s="88">
        <f t="shared" si="46"/>
        <v>0</v>
      </c>
      <c r="O88" s="113">
        <f t="shared" si="46"/>
        <v>0</v>
      </c>
      <c r="P88" s="109"/>
      <c r="Q88" s="111">
        <f aca="true" t="shared" si="47" ref="Q88:AD88">SUM(Q74:Q87)</f>
        <v>26710.23</v>
      </c>
      <c r="R88" s="113">
        <f t="shared" si="47"/>
        <v>46973.91</v>
      </c>
      <c r="S88" s="88">
        <f t="shared" si="47"/>
        <v>8415.72</v>
      </c>
      <c r="T88" s="113">
        <f t="shared" si="47"/>
        <v>14303.15</v>
      </c>
      <c r="U88" s="111">
        <f t="shared" si="47"/>
        <v>4611.679999999999</v>
      </c>
      <c r="V88" s="113">
        <f t="shared" si="47"/>
        <v>6864.929999999999</v>
      </c>
      <c r="W88" s="88">
        <f t="shared" si="47"/>
        <v>1917.56</v>
      </c>
      <c r="X88" s="113">
        <f t="shared" si="47"/>
        <v>3256.36</v>
      </c>
      <c r="Y88" s="111">
        <f>SUM(Y74:Y87)</f>
        <v>51.769999999999996</v>
      </c>
      <c r="Z88" s="113">
        <f>SUM(Z74:Z87)</f>
        <v>138.39000000000001</v>
      </c>
      <c r="AA88" s="111">
        <f>SUM(AA74:AA87)</f>
        <v>556.08</v>
      </c>
      <c r="AB88" s="113">
        <f>SUM(AB74:AB87)</f>
        <v>1012.0500000000002</v>
      </c>
      <c r="AC88" s="111">
        <f t="shared" si="47"/>
        <v>0</v>
      </c>
      <c r="AD88" s="113">
        <f t="shared" si="47"/>
        <v>0</v>
      </c>
      <c r="AE88" s="113">
        <f>SUM(AE74:AE87)</f>
        <v>114811.82999999999</v>
      </c>
      <c r="AF88" s="78"/>
    </row>
    <row r="89" spans="1:32" s="89" customFormat="1" ht="16.5" thickBot="1">
      <c r="A89" s="202"/>
      <c r="B89" s="171"/>
      <c r="C89" s="203"/>
      <c r="D89" s="204"/>
      <c r="E89" s="205"/>
      <c r="F89" s="203"/>
      <c r="G89" s="206"/>
      <c r="H89" s="159"/>
      <c r="I89" s="203"/>
      <c r="J89" s="207"/>
      <c r="K89" s="172"/>
      <c r="L89" s="207"/>
      <c r="M89" s="172"/>
      <c r="N89" s="207"/>
      <c r="O89" s="172"/>
      <c r="P89" s="114"/>
      <c r="Q89" s="114"/>
      <c r="R89" s="114"/>
      <c r="S89" s="114"/>
      <c r="T89" s="114"/>
      <c r="U89" s="156">
        <f>SUM(Q88:AD88)</f>
        <v>114811.82999999999</v>
      </c>
      <c r="V89" s="116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</row>
    <row r="90" spans="1:32" s="89" customFormat="1" ht="15.75">
      <c r="A90" s="202"/>
      <c r="B90" s="171"/>
      <c r="C90" s="205"/>
      <c r="D90" s="169"/>
      <c r="E90" s="171"/>
      <c r="F90" s="126"/>
      <c r="G90" s="171"/>
      <c r="H90" s="126"/>
      <c r="I90" s="126"/>
      <c r="J90" s="208"/>
      <c r="K90" s="170"/>
      <c r="L90" s="208"/>
      <c r="M90" s="170"/>
      <c r="N90" s="208"/>
      <c r="O90" s="170"/>
      <c r="P90" s="114"/>
      <c r="Q90" s="114"/>
      <c r="R90" s="114"/>
      <c r="S90" s="114"/>
      <c r="T90" s="114"/>
      <c r="U90" s="117"/>
      <c r="V90" s="116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</row>
    <row r="91" spans="1:32" s="89" customFormat="1" ht="16.5" thickBot="1">
      <c r="A91" s="160"/>
      <c r="B91" s="171"/>
      <c r="C91" s="171"/>
      <c r="D91" s="171"/>
      <c r="E91" s="171"/>
      <c r="F91" s="171"/>
      <c r="G91" s="172"/>
      <c r="H91" s="171"/>
      <c r="I91" s="171"/>
      <c r="J91" s="208"/>
      <c r="K91" s="172"/>
      <c r="L91" s="208"/>
      <c r="M91" s="172"/>
      <c r="N91" s="208"/>
      <c r="O91" s="172"/>
      <c r="P91" s="114"/>
      <c r="Q91" s="114"/>
      <c r="R91" s="114"/>
      <c r="S91" s="114"/>
      <c r="T91" s="114"/>
      <c r="U91" s="117"/>
      <c r="V91" s="116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</row>
    <row r="92" spans="1:31" ht="16.5" thickBot="1">
      <c r="A92" s="180"/>
      <c r="B92" s="440" t="s">
        <v>89</v>
      </c>
      <c r="C92" s="441"/>
      <c r="D92" s="442"/>
      <c r="E92" s="443"/>
      <c r="F92" s="444" t="s">
        <v>20</v>
      </c>
      <c r="G92" s="441"/>
      <c r="H92" s="441"/>
      <c r="I92" s="441"/>
      <c r="J92" s="441"/>
      <c r="K92" s="441"/>
      <c r="L92" s="441"/>
      <c r="M92" s="441"/>
      <c r="N92" s="441"/>
      <c r="O92" s="443"/>
      <c r="Q92" s="97"/>
      <c r="R92" s="98"/>
      <c r="S92" s="98"/>
      <c r="T92" s="98"/>
      <c r="U92" s="96" t="s">
        <v>58</v>
      </c>
      <c r="V92" s="96"/>
      <c r="W92" s="98"/>
      <c r="X92" s="98"/>
      <c r="Y92" s="98"/>
      <c r="Z92" s="99"/>
      <c r="AA92" s="98"/>
      <c r="AB92" s="99"/>
      <c r="AC92" s="98"/>
      <c r="AD92" s="99"/>
      <c r="AE92" s="100"/>
    </row>
    <row r="93" spans="1:31" s="56" customFormat="1" ht="16.5" thickBot="1">
      <c r="A93" s="157"/>
      <c r="B93" s="428" t="s">
        <v>16</v>
      </c>
      <c r="C93" s="429"/>
      <c r="D93" s="425" t="s">
        <v>17</v>
      </c>
      <c r="E93" s="426"/>
      <c r="F93" s="431" t="s">
        <v>136</v>
      </c>
      <c r="G93" s="431"/>
      <c r="H93" s="418" t="s">
        <v>137</v>
      </c>
      <c r="I93" s="419"/>
      <c r="J93" s="430" t="s">
        <v>135</v>
      </c>
      <c r="K93" s="421"/>
      <c r="L93" s="422" t="s">
        <v>78</v>
      </c>
      <c r="M93" s="417"/>
      <c r="N93" s="427" t="s">
        <v>138</v>
      </c>
      <c r="O93" s="415"/>
      <c r="Q93" s="428" t="s">
        <v>16</v>
      </c>
      <c r="R93" s="429"/>
      <c r="S93" s="425" t="s">
        <v>17</v>
      </c>
      <c r="T93" s="426"/>
      <c r="U93" s="423" t="s">
        <v>136</v>
      </c>
      <c r="V93" s="424"/>
      <c r="W93" s="418" t="s">
        <v>137</v>
      </c>
      <c r="X93" s="419"/>
      <c r="Y93" s="420" t="s">
        <v>139</v>
      </c>
      <c r="Z93" s="421"/>
      <c r="AA93" s="416" t="s">
        <v>78</v>
      </c>
      <c r="AB93" s="417"/>
      <c r="AC93" s="414" t="s">
        <v>138</v>
      </c>
      <c r="AD93" s="415"/>
      <c r="AE93" s="131" t="s">
        <v>18</v>
      </c>
    </row>
    <row r="94" spans="1:31" s="56" customFormat="1" ht="16.5" thickBot="1">
      <c r="A94" s="157"/>
      <c r="B94" s="128" t="s">
        <v>72</v>
      </c>
      <c r="C94" s="128"/>
      <c r="D94" s="196" t="str">
        <f>+B94</f>
        <v>Pre-May 1</v>
      </c>
      <c r="E94" s="196"/>
      <c r="F94" s="198" t="str">
        <f>+B94</f>
        <v>Pre-May 1</v>
      </c>
      <c r="G94" s="198"/>
      <c r="H94" s="200" t="str">
        <f>+B94</f>
        <v>Pre-May 1</v>
      </c>
      <c r="I94" s="200"/>
      <c r="J94" s="130" t="str">
        <f>+B94</f>
        <v>Pre-May 1</v>
      </c>
      <c r="K94" s="130"/>
      <c r="L94" s="283" t="str">
        <f>+B94</f>
        <v>Pre-May 1</v>
      </c>
      <c r="M94" s="283"/>
      <c r="N94" s="284" t="str">
        <f>+B94</f>
        <v>Pre-May 1</v>
      </c>
      <c r="O94" s="284"/>
      <c r="Q94" s="128" t="s">
        <v>72</v>
      </c>
      <c r="R94" s="128"/>
      <c r="S94" s="196" t="str">
        <f>+Q94</f>
        <v>Pre-May 1</v>
      </c>
      <c r="T94" s="196"/>
      <c r="U94" s="198" t="str">
        <f>+Q94</f>
        <v>Pre-May 1</v>
      </c>
      <c r="V94" s="198"/>
      <c r="W94" s="200" t="str">
        <f>+Q94</f>
        <v>Pre-May 1</v>
      </c>
      <c r="X94" s="200"/>
      <c r="Y94" s="130" t="str">
        <f>+Q94</f>
        <v>Pre-May 1</v>
      </c>
      <c r="Z94" s="130"/>
      <c r="AA94" s="283" t="str">
        <f>+Q94</f>
        <v>Pre-May 1</v>
      </c>
      <c r="AB94" s="286"/>
      <c r="AC94" s="284" t="str">
        <f>+Q94</f>
        <v>Pre-May 1</v>
      </c>
      <c r="AD94" s="285"/>
      <c r="AE94" s="282"/>
    </row>
    <row r="95" spans="1:31" s="83" customFormat="1" ht="15.75">
      <c r="A95" s="181" t="s">
        <v>90</v>
      </c>
      <c r="B95" s="65"/>
      <c r="C95" s="64"/>
      <c r="D95" s="65"/>
      <c r="E95" s="64"/>
      <c r="F95" s="65"/>
      <c r="G95" s="64"/>
      <c r="H95" s="65"/>
      <c r="I95" s="64"/>
      <c r="J95" s="65"/>
      <c r="K95" s="104"/>
      <c r="L95" s="65"/>
      <c r="M95" s="104"/>
      <c r="N95" s="65"/>
      <c r="O95" s="104"/>
      <c r="Q95" s="289">
        <v>0.0012</v>
      </c>
      <c r="R95" s="288"/>
      <c r="S95" s="289">
        <v>0.007</v>
      </c>
      <c r="T95" s="294"/>
      <c r="U95" s="289">
        <v>0.0548</v>
      </c>
      <c r="V95" s="294"/>
      <c r="W95" s="289">
        <v>0.0254</v>
      </c>
      <c r="X95" s="294"/>
      <c r="Y95" s="289">
        <v>0.5429</v>
      </c>
      <c r="Z95" s="288"/>
      <c r="AA95" s="289">
        <v>0.3572</v>
      </c>
      <c r="AB95" s="288"/>
      <c r="AC95" s="289">
        <v>0.007</v>
      </c>
      <c r="AD95" s="288"/>
      <c r="AE95" s="102"/>
    </row>
    <row r="96" spans="1:31" s="83" customFormat="1" ht="16.5" thickBot="1">
      <c r="A96" s="181"/>
      <c r="B96" s="65"/>
      <c r="C96" s="64"/>
      <c r="D96" s="65"/>
      <c r="E96" s="64"/>
      <c r="F96" s="65"/>
      <c r="G96" s="64"/>
      <c r="H96" s="65"/>
      <c r="I96" s="64"/>
      <c r="J96" s="65"/>
      <c r="K96" s="104"/>
      <c r="L96" s="65"/>
      <c r="M96" s="104"/>
      <c r="N96" s="65"/>
      <c r="O96" s="104"/>
      <c r="Q96" s="291"/>
      <c r="R96" s="295"/>
      <c r="S96" s="291"/>
      <c r="T96" s="292"/>
      <c r="U96" s="291"/>
      <c r="V96" s="292"/>
      <c r="W96" s="291"/>
      <c r="X96" s="292"/>
      <c r="Y96" s="291"/>
      <c r="Z96" s="295"/>
      <c r="AA96" s="291"/>
      <c r="AB96" s="295"/>
      <c r="AC96" s="291"/>
      <c r="AD96" s="295"/>
      <c r="AE96" s="103"/>
    </row>
    <row r="97" spans="1:31" s="83" customFormat="1" ht="15.75">
      <c r="A97" s="182">
        <v>2006</v>
      </c>
      <c r="B97" s="191"/>
      <c r="C97" s="183"/>
      <c r="D97" s="197"/>
      <c r="E97" s="188"/>
      <c r="F97" s="191"/>
      <c r="G97" s="183"/>
      <c r="H97" s="191"/>
      <c r="I97" s="183"/>
      <c r="J97" s="191"/>
      <c r="K97" s="184"/>
      <c r="L97" s="191"/>
      <c r="M97" s="184"/>
      <c r="N97" s="191"/>
      <c r="O97" s="184"/>
      <c r="P97" s="84"/>
      <c r="Q97" s="63"/>
      <c r="R97" s="106"/>
      <c r="S97" s="65"/>
      <c r="T97" s="64"/>
      <c r="U97" s="65"/>
      <c r="V97" s="64"/>
      <c r="W97" s="65"/>
      <c r="X97" s="64"/>
      <c r="Y97" s="65"/>
      <c r="Z97" s="104"/>
      <c r="AA97" s="65"/>
      <c r="AB97" s="104"/>
      <c r="AC97" s="65"/>
      <c r="AD97" s="104"/>
      <c r="AE97" s="65"/>
    </row>
    <row r="98" spans="1:31" ht="15.75">
      <c r="A98" s="212" t="s">
        <v>53</v>
      </c>
      <c r="B98" s="69">
        <f>-C87</f>
        <v>-5032550</v>
      </c>
      <c r="C98" s="177"/>
      <c r="D98" s="69">
        <f>-E87</f>
        <v>-239733</v>
      </c>
      <c r="E98" s="177"/>
      <c r="F98" s="69">
        <f>-G87</f>
        <v>-13872</v>
      </c>
      <c r="G98" s="74"/>
      <c r="H98" s="69">
        <f>-I87</f>
        <v>-14189</v>
      </c>
      <c r="I98" s="74"/>
      <c r="J98" s="69">
        <f>-K87</f>
        <v>-56</v>
      </c>
      <c r="K98" s="74"/>
      <c r="L98" s="69">
        <f>-M87</f>
        <v>-315</v>
      </c>
      <c r="M98" s="74"/>
      <c r="N98" s="69">
        <f>-N87</f>
        <v>0</v>
      </c>
      <c r="O98" s="108"/>
      <c r="P98" s="109"/>
      <c r="Q98" s="107">
        <f>-R87</f>
        <v>-6039.0599999999995</v>
      </c>
      <c r="R98" s="110"/>
      <c r="S98" s="107">
        <f>-T87</f>
        <v>-1678.1299999999999</v>
      </c>
      <c r="T98" s="110"/>
      <c r="U98" s="107">
        <f>-V87</f>
        <v>-760.21</v>
      </c>
      <c r="V98" s="110"/>
      <c r="W98" s="107">
        <f>-X87</f>
        <v>-360.39</v>
      </c>
      <c r="X98" s="110"/>
      <c r="Y98" s="107">
        <f>-Z87</f>
        <v>-30.21</v>
      </c>
      <c r="Z98" s="110"/>
      <c r="AA98" s="107">
        <f>-AB87</f>
        <v>-112.45</v>
      </c>
      <c r="AB98" s="110"/>
      <c r="AC98" s="107">
        <f>-AD87</f>
        <v>0</v>
      </c>
      <c r="AD98" s="110"/>
      <c r="AE98" s="110">
        <f aca="true" t="shared" si="48" ref="AE98:AE111">SUM(Q98:AD98)</f>
        <v>-8980.449999999999</v>
      </c>
    </row>
    <row r="99" spans="1:31" ht="15.75">
      <c r="A99" s="212" t="s">
        <v>36</v>
      </c>
      <c r="B99" s="69">
        <f aca="true" t="shared" si="49" ref="B99:B111">+ROUND(Q99/Q$95,0)</f>
        <v>4830942</v>
      </c>
      <c r="C99" s="69"/>
      <c r="D99" s="69">
        <f aca="true" t="shared" si="50" ref="D99:D111">+ROUND(S99/S$95,0)</f>
        <v>226759</v>
      </c>
      <c r="E99" s="69"/>
      <c r="F99" s="69">
        <f aca="true" t="shared" si="51" ref="F99:F111">+ROUND(U99/U$95,0)</f>
        <v>12957</v>
      </c>
      <c r="G99" s="69"/>
      <c r="H99" s="69">
        <f aca="true" t="shared" si="52" ref="H99:H111">+ROUND(W99/W$95,0)</f>
        <v>14189</v>
      </c>
      <c r="I99" s="69"/>
      <c r="J99" s="69">
        <f aca="true" t="shared" si="53" ref="J99:J111">+ROUND(Y99/Y$95,0)</f>
        <v>52</v>
      </c>
      <c r="K99" s="69"/>
      <c r="L99" s="69">
        <f aca="true" t="shared" si="54" ref="L99:L111">+ROUND(AA99/AA$95,0)</f>
        <v>315</v>
      </c>
      <c r="M99" s="69"/>
      <c r="N99" s="69">
        <f aca="true" t="shared" si="55" ref="N99:N111">+ROUND(AC99/AC$95,0)</f>
        <v>0</v>
      </c>
      <c r="O99" s="69"/>
      <c r="P99" s="109"/>
      <c r="Q99" s="217">
        <f>+'2006'!$E$21</f>
        <v>5797.129999999999</v>
      </c>
      <c r="R99" s="217"/>
      <c r="S99" s="71">
        <f>+'2006'!$E$22+'2006'!$E$23+'2006'!$E$24</f>
        <v>1587.31</v>
      </c>
      <c r="T99" s="71"/>
      <c r="U99" s="71">
        <f>+'2006'!$E$26+'2006'!$E$25</f>
        <v>710.06</v>
      </c>
      <c r="V99" s="71"/>
      <c r="W99" s="71">
        <f>+'2006'!$E$28+'2006'!$E$27</f>
        <v>360.39</v>
      </c>
      <c r="X99" s="71"/>
      <c r="Y99" s="71">
        <f>+'2006'!$E$30</f>
        <v>28.17</v>
      </c>
      <c r="Z99" s="71"/>
      <c r="AA99" s="71">
        <f>+'2006'!$E$29</f>
        <v>112.45</v>
      </c>
      <c r="AB99" s="71"/>
      <c r="AC99" s="107">
        <v>0</v>
      </c>
      <c r="AD99" s="107"/>
      <c r="AE99" s="110">
        <f t="shared" si="48"/>
        <v>8595.509999999998</v>
      </c>
    </row>
    <row r="100" spans="1:31" ht="15.75">
      <c r="A100" s="212" t="s">
        <v>37</v>
      </c>
      <c r="B100" s="69">
        <f t="shared" si="49"/>
        <v>4880758</v>
      </c>
      <c r="C100" s="69"/>
      <c r="D100" s="69">
        <f t="shared" si="50"/>
        <v>242731</v>
      </c>
      <c r="E100" s="69"/>
      <c r="F100" s="69">
        <f t="shared" si="51"/>
        <v>13844</v>
      </c>
      <c r="G100" s="69"/>
      <c r="H100" s="69">
        <f t="shared" si="52"/>
        <v>14388</v>
      </c>
      <c r="I100" s="69"/>
      <c r="J100" s="69">
        <f t="shared" si="53"/>
        <v>26</v>
      </c>
      <c r="K100" s="69"/>
      <c r="L100" s="69">
        <f t="shared" si="54"/>
        <v>315</v>
      </c>
      <c r="M100" s="69"/>
      <c r="N100" s="69">
        <f t="shared" si="55"/>
        <v>0</v>
      </c>
      <c r="O100" s="69"/>
      <c r="P100" s="109"/>
      <c r="Q100" s="217">
        <f>+'2006'!$F$21</f>
        <v>5856.910000000002</v>
      </c>
      <c r="R100" s="217"/>
      <c r="S100" s="71">
        <f>+'2006'!$F$22+'2006'!$F$23+'2006'!$F$24</f>
        <v>1699.12</v>
      </c>
      <c r="T100" s="71"/>
      <c r="U100" s="71">
        <f>+'2006'!$F$26+'2006'!$F$25</f>
        <v>758.63</v>
      </c>
      <c r="V100" s="71"/>
      <c r="W100" s="71">
        <f>+'2006'!$F$28+'2006'!$F$27</f>
        <v>365.45</v>
      </c>
      <c r="X100" s="71"/>
      <c r="Y100" s="71">
        <f>+'2006'!$F$30</f>
        <v>14.25</v>
      </c>
      <c r="Z100" s="71"/>
      <c r="AA100" s="71">
        <f>+'2006'!$F$29</f>
        <v>112.45</v>
      </c>
      <c r="AB100" s="71"/>
      <c r="AC100" s="107">
        <v>0</v>
      </c>
      <c r="AD100" s="107"/>
      <c r="AE100" s="110">
        <f t="shared" si="48"/>
        <v>8806.810000000003</v>
      </c>
    </row>
    <row r="101" spans="1:32" ht="15.75">
      <c r="A101" s="212" t="s">
        <v>38</v>
      </c>
      <c r="B101" s="69">
        <f t="shared" si="49"/>
        <v>4764625</v>
      </c>
      <c r="C101" s="69"/>
      <c r="D101" s="69">
        <f t="shared" si="50"/>
        <v>235266</v>
      </c>
      <c r="E101" s="69"/>
      <c r="F101" s="69">
        <f t="shared" si="51"/>
        <v>13943</v>
      </c>
      <c r="G101" s="69"/>
      <c r="H101" s="69">
        <f t="shared" si="52"/>
        <v>14177</v>
      </c>
      <c r="I101" s="69"/>
      <c r="J101" s="69">
        <f t="shared" si="53"/>
        <v>26</v>
      </c>
      <c r="K101" s="69"/>
      <c r="L101" s="69">
        <f t="shared" si="54"/>
        <v>315</v>
      </c>
      <c r="M101" s="69"/>
      <c r="N101" s="69">
        <f t="shared" si="55"/>
        <v>0</v>
      </c>
      <c r="O101" s="69"/>
      <c r="P101" s="109"/>
      <c r="Q101" s="217">
        <f>+'2006'!$G$21</f>
        <v>5717.549999999999</v>
      </c>
      <c r="R101" s="217"/>
      <c r="S101" s="71">
        <f>+'2006'!$G$22+'2006'!$G$23+'2006'!$G$24</f>
        <v>1646.86</v>
      </c>
      <c r="T101" s="71"/>
      <c r="U101" s="71">
        <f>+'2006'!$G$26+'2006'!$G$25</f>
        <v>764.07</v>
      </c>
      <c r="V101" s="71"/>
      <c r="W101" s="71">
        <f>+'2006'!$G$28+'2006'!$G$27</f>
        <v>360.09</v>
      </c>
      <c r="X101" s="71"/>
      <c r="Y101" s="71">
        <f>+'2006'!$G$30</f>
        <v>14.04</v>
      </c>
      <c r="Z101" s="71"/>
      <c r="AA101" s="71">
        <f>+'2006'!$G$29</f>
        <v>112.45</v>
      </c>
      <c r="AB101" s="71"/>
      <c r="AC101" s="107">
        <v>0</v>
      </c>
      <c r="AD101" s="107"/>
      <c r="AE101" s="110">
        <f t="shared" si="48"/>
        <v>8615.06</v>
      </c>
      <c r="AF101" s="78"/>
    </row>
    <row r="102" spans="1:32" ht="15.75">
      <c r="A102" s="212" t="s">
        <v>39</v>
      </c>
      <c r="B102" s="69">
        <f t="shared" si="49"/>
        <v>3564742</v>
      </c>
      <c r="C102" s="69"/>
      <c r="D102" s="69">
        <f t="shared" si="50"/>
        <v>181851</v>
      </c>
      <c r="E102" s="69"/>
      <c r="F102" s="69">
        <f t="shared" si="51"/>
        <v>12281</v>
      </c>
      <c r="G102" s="69"/>
      <c r="H102" s="69">
        <f t="shared" si="52"/>
        <v>14146</v>
      </c>
      <c r="I102" s="69"/>
      <c r="J102" s="69">
        <f t="shared" si="53"/>
        <v>15</v>
      </c>
      <c r="K102" s="69"/>
      <c r="L102" s="69">
        <f t="shared" si="54"/>
        <v>315</v>
      </c>
      <c r="M102" s="69"/>
      <c r="N102" s="69">
        <f t="shared" si="55"/>
        <v>0</v>
      </c>
      <c r="O102" s="69"/>
      <c r="P102" s="109"/>
      <c r="Q102" s="217">
        <f>+'2006'!$H$21</f>
        <v>4277.69</v>
      </c>
      <c r="R102" s="217"/>
      <c r="S102" s="71">
        <f>+'2006'!$H$22+'2006'!$H$23+'2006'!$H$24</f>
        <v>1272.96</v>
      </c>
      <c r="T102" s="71"/>
      <c r="U102" s="71">
        <f>+'2006'!$H$26+'2006'!$H$25</f>
        <v>672.98</v>
      </c>
      <c r="V102" s="71"/>
      <c r="W102" s="71">
        <f>+'2006'!$H$28+'2006'!$H$27</f>
        <v>359.32</v>
      </c>
      <c r="X102" s="71"/>
      <c r="Y102" s="71">
        <f>+'2006'!$H$30</f>
        <v>8.120000000000001</v>
      </c>
      <c r="Z102" s="71"/>
      <c r="AA102" s="71">
        <f>+'2006'!$H$29</f>
        <v>112.45</v>
      </c>
      <c r="AB102" s="71"/>
      <c r="AC102" s="107">
        <v>0</v>
      </c>
      <c r="AD102" s="107"/>
      <c r="AE102" s="110">
        <f t="shared" si="48"/>
        <v>6703.519999999999</v>
      </c>
      <c r="AF102" s="78"/>
    </row>
    <row r="103" spans="1:32" ht="15.75">
      <c r="A103" s="212" t="s">
        <v>40</v>
      </c>
      <c r="B103" s="69">
        <f t="shared" si="49"/>
        <v>3295058</v>
      </c>
      <c r="C103" s="69"/>
      <c r="D103" s="69">
        <f t="shared" si="50"/>
        <v>191750</v>
      </c>
      <c r="E103" s="69"/>
      <c r="F103" s="69">
        <f t="shared" si="51"/>
        <v>12909</v>
      </c>
      <c r="G103" s="69"/>
      <c r="H103" s="69">
        <f t="shared" si="52"/>
        <v>14001</v>
      </c>
      <c r="I103" s="69"/>
      <c r="J103" s="69">
        <f t="shared" si="53"/>
        <v>24</v>
      </c>
      <c r="K103" s="69"/>
      <c r="L103" s="69">
        <f t="shared" si="54"/>
        <v>315</v>
      </c>
      <c r="M103" s="69"/>
      <c r="N103" s="69">
        <f t="shared" si="55"/>
        <v>0</v>
      </c>
      <c r="O103" s="69"/>
      <c r="P103" s="109"/>
      <c r="Q103" s="217">
        <f>+'2006'!$I$21</f>
        <v>3954.07</v>
      </c>
      <c r="R103" s="217"/>
      <c r="S103" s="71">
        <f>+'2006'!$I$22+'2006'!$I$23+'2006'!$I$24</f>
        <v>1342.25</v>
      </c>
      <c r="T103" s="71"/>
      <c r="U103" s="71">
        <f>+'2006'!$I$26+'2006'!$I$25</f>
        <v>707.4100000000001</v>
      </c>
      <c r="V103" s="71"/>
      <c r="W103" s="71">
        <f>+'2006'!$I$28+'2006'!$I$27</f>
        <v>355.63</v>
      </c>
      <c r="X103" s="71"/>
      <c r="Y103" s="71">
        <f>+'2006'!$I$30</f>
        <v>12.91</v>
      </c>
      <c r="Z103" s="71"/>
      <c r="AA103" s="71">
        <f>+'2006'!$I$29</f>
        <v>112.45</v>
      </c>
      <c r="AB103" s="71"/>
      <c r="AC103" s="107">
        <v>0</v>
      </c>
      <c r="AD103" s="107"/>
      <c r="AE103" s="110">
        <f t="shared" si="48"/>
        <v>6484.719999999999</v>
      </c>
      <c r="AF103" s="78"/>
    </row>
    <row r="104" spans="1:32" ht="15.75">
      <c r="A104" s="212" t="s">
        <v>41</v>
      </c>
      <c r="B104" s="69">
        <f t="shared" si="49"/>
        <v>306033</v>
      </c>
      <c r="C104" s="69"/>
      <c r="D104" s="69">
        <f t="shared" si="50"/>
        <v>16419</v>
      </c>
      <c r="E104" s="69"/>
      <c r="F104" s="69">
        <f t="shared" si="51"/>
        <v>1084</v>
      </c>
      <c r="G104" s="69"/>
      <c r="H104" s="69">
        <f t="shared" si="52"/>
        <v>0</v>
      </c>
      <c r="I104" s="69"/>
      <c r="J104" s="69">
        <f t="shared" si="53"/>
        <v>3</v>
      </c>
      <c r="K104" s="69"/>
      <c r="L104" s="69">
        <f t="shared" si="54"/>
        <v>0</v>
      </c>
      <c r="M104" s="69"/>
      <c r="N104" s="69">
        <f t="shared" si="55"/>
        <v>0</v>
      </c>
      <c r="O104" s="69"/>
      <c r="P104" s="109"/>
      <c r="Q104" s="217">
        <f>+'2006'!$J$21</f>
        <v>367.24</v>
      </c>
      <c r="R104" s="217"/>
      <c r="S104" s="71">
        <f>+'2006'!$J$22+'2006'!$J$23+'2006'!$J$24</f>
        <v>114.92999999999999</v>
      </c>
      <c r="T104" s="71"/>
      <c r="U104" s="71">
        <f>+'2006'!$J$26+'2006'!$J$25</f>
        <v>59.380000000000024</v>
      </c>
      <c r="V104" s="71"/>
      <c r="W104" s="71">
        <f>+'2006'!$J$28+'2006'!$J$27</f>
        <v>0</v>
      </c>
      <c r="X104" s="71"/>
      <c r="Y104" s="71">
        <f>+'2006'!$J$30</f>
        <v>1.89</v>
      </c>
      <c r="Z104" s="71"/>
      <c r="AA104" s="71">
        <f>+'2006'!$J$29</f>
        <v>0</v>
      </c>
      <c r="AB104" s="71"/>
      <c r="AC104" s="107">
        <v>0</v>
      </c>
      <c r="AD104" s="107"/>
      <c r="AE104" s="110">
        <f t="shared" si="48"/>
        <v>543.44</v>
      </c>
      <c r="AF104" s="78"/>
    </row>
    <row r="105" spans="1:32" ht="15.75">
      <c r="A105" s="212" t="s">
        <v>42</v>
      </c>
      <c r="B105" s="69">
        <f t="shared" si="49"/>
        <v>8117</v>
      </c>
      <c r="C105" s="69"/>
      <c r="D105" s="69">
        <f t="shared" si="50"/>
        <v>0</v>
      </c>
      <c r="E105" s="69"/>
      <c r="F105" s="69">
        <f t="shared" si="51"/>
        <v>-271</v>
      </c>
      <c r="G105" s="69"/>
      <c r="H105" s="69">
        <f t="shared" si="52"/>
        <v>0</v>
      </c>
      <c r="I105" s="69"/>
      <c r="J105" s="69">
        <f t="shared" si="53"/>
        <v>-2</v>
      </c>
      <c r="K105" s="69"/>
      <c r="L105" s="69">
        <f t="shared" si="54"/>
        <v>0</v>
      </c>
      <c r="M105" s="69"/>
      <c r="N105" s="69">
        <f t="shared" si="55"/>
        <v>0</v>
      </c>
      <c r="O105" s="69"/>
      <c r="P105" s="109"/>
      <c r="Q105" s="217">
        <f>+'2006'!$K$21</f>
        <v>9.74</v>
      </c>
      <c r="R105" s="217"/>
      <c r="S105" s="71">
        <f>+'2006'!$K$22+'2006'!$K$23+'2006'!$K$24</f>
        <v>0</v>
      </c>
      <c r="T105" s="71"/>
      <c r="U105" s="71">
        <f>+'2006'!$K$26+'2006'!$K$25</f>
        <v>-14.86</v>
      </c>
      <c r="V105" s="71"/>
      <c r="W105" s="71">
        <f>+'2006'!$K$28+'2006'!$K$27</f>
        <v>0</v>
      </c>
      <c r="X105" s="71"/>
      <c r="Y105" s="71">
        <f>+'2006'!$K$30</f>
        <v>-1.31</v>
      </c>
      <c r="Z105" s="71"/>
      <c r="AA105" s="71">
        <f>+'2006'!$K$29</f>
        <v>0</v>
      </c>
      <c r="AB105" s="71"/>
      <c r="AC105" s="107">
        <v>0</v>
      </c>
      <c r="AD105" s="107"/>
      <c r="AE105" s="110">
        <f t="shared" si="48"/>
        <v>-6.43</v>
      </c>
      <c r="AF105" s="78"/>
    </row>
    <row r="106" spans="1:32" ht="15.75">
      <c r="A106" s="212" t="s">
        <v>43</v>
      </c>
      <c r="B106" s="69">
        <f t="shared" si="49"/>
        <v>7367</v>
      </c>
      <c r="C106" s="69"/>
      <c r="D106" s="69">
        <f t="shared" si="50"/>
        <v>-154</v>
      </c>
      <c r="E106" s="69"/>
      <c r="F106" s="69">
        <f t="shared" si="51"/>
        <v>271</v>
      </c>
      <c r="G106" s="69"/>
      <c r="H106" s="69">
        <f t="shared" si="52"/>
        <v>0</v>
      </c>
      <c r="I106" s="69"/>
      <c r="J106" s="69">
        <f t="shared" si="53"/>
        <v>2</v>
      </c>
      <c r="K106" s="69"/>
      <c r="L106" s="69">
        <f t="shared" si="54"/>
        <v>0</v>
      </c>
      <c r="M106" s="69"/>
      <c r="N106" s="69">
        <f t="shared" si="55"/>
        <v>0</v>
      </c>
      <c r="O106" s="69"/>
      <c r="P106" s="109"/>
      <c r="Q106" s="217">
        <f>+'2006'!$L$21</f>
        <v>8.84</v>
      </c>
      <c r="R106" s="217"/>
      <c r="S106" s="71">
        <f>+'2006'!$L$22+'2006'!$L$23+'2006'!$L$24</f>
        <v>-1.08</v>
      </c>
      <c r="T106" s="71"/>
      <c r="U106" s="71">
        <f>+'2006'!$L$26+'2006'!$L$25</f>
        <v>14.83</v>
      </c>
      <c r="V106" s="71"/>
      <c r="W106" s="71">
        <f>+'2006'!$L$28+'2006'!$L$27</f>
        <v>0</v>
      </c>
      <c r="X106" s="71"/>
      <c r="Y106" s="71">
        <f>+'2006'!$L$30</f>
        <v>1.31</v>
      </c>
      <c r="Z106" s="71"/>
      <c r="AA106" s="71">
        <f>+'2006'!$L$29</f>
        <v>0</v>
      </c>
      <c r="AB106" s="71"/>
      <c r="AC106" s="107">
        <v>0</v>
      </c>
      <c r="AD106" s="107"/>
      <c r="AE106" s="110">
        <f t="shared" si="48"/>
        <v>23.9</v>
      </c>
      <c r="AF106" s="78"/>
    </row>
    <row r="107" spans="1:32" ht="15.75">
      <c r="A107" s="212" t="s">
        <v>44</v>
      </c>
      <c r="B107" s="69">
        <f t="shared" si="49"/>
        <v>2917</v>
      </c>
      <c r="C107" s="69"/>
      <c r="D107" s="69">
        <f t="shared" si="50"/>
        <v>-10</v>
      </c>
      <c r="E107" s="69"/>
      <c r="F107" s="69">
        <f t="shared" si="51"/>
        <v>0</v>
      </c>
      <c r="G107" s="69"/>
      <c r="H107" s="69">
        <f t="shared" si="52"/>
        <v>0</v>
      </c>
      <c r="I107" s="69"/>
      <c r="J107" s="69">
        <f t="shared" si="53"/>
        <v>0</v>
      </c>
      <c r="K107" s="69"/>
      <c r="L107" s="69">
        <f t="shared" si="54"/>
        <v>0</v>
      </c>
      <c r="M107" s="69"/>
      <c r="N107" s="69">
        <f t="shared" si="55"/>
        <v>0</v>
      </c>
      <c r="O107" s="69"/>
      <c r="P107" s="109"/>
      <c r="Q107" s="217">
        <f>+'2006'!$M$21</f>
        <v>3.5</v>
      </c>
      <c r="R107" s="217"/>
      <c r="S107" s="71">
        <f>+'2006'!$M$22+'2006'!$M$23+'2006'!$M$24</f>
        <v>-0.07</v>
      </c>
      <c r="T107" s="71"/>
      <c r="U107" s="71">
        <f>+'2006'!$M$26+'2006'!$M$25</f>
        <v>0</v>
      </c>
      <c r="V107" s="71"/>
      <c r="W107" s="71">
        <f>+'2006'!$M$28+'2006'!$M$27</f>
        <v>0</v>
      </c>
      <c r="X107" s="71"/>
      <c r="Y107" s="71">
        <f>+'2006'!$M$30</f>
        <v>0</v>
      </c>
      <c r="Z107" s="71"/>
      <c r="AA107" s="71">
        <f>+'2006'!$M$29</f>
        <v>0</v>
      </c>
      <c r="AB107" s="71"/>
      <c r="AC107" s="107">
        <v>0</v>
      </c>
      <c r="AD107" s="107"/>
      <c r="AE107" s="110">
        <f t="shared" si="48"/>
        <v>3.43</v>
      </c>
      <c r="AF107" s="78"/>
    </row>
    <row r="108" spans="1:32" ht="15.75">
      <c r="A108" s="212" t="s">
        <v>45</v>
      </c>
      <c r="B108" s="69">
        <f t="shared" si="49"/>
        <v>0</v>
      </c>
      <c r="C108" s="69"/>
      <c r="D108" s="69">
        <f t="shared" si="50"/>
        <v>0</v>
      </c>
      <c r="E108" s="69"/>
      <c r="F108" s="69">
        <f t="shared" si="51"/>
        <v>0</v>
      </c>
      <c r="G108" s="69"/>
      <c r="H108" s="69">
        <f t="shared" si="52"/>
        <v>0</v>
      </c>
      <c r="I108" s="69"/>
      <c r="J108" s="69">
        <f t="shared" si="53"/>
        <v>0</v>
      </c>
      <c r="K108" s="69"/>
      <c r="L108" s="69">
        <f t="shared" si="54"/>
        <v>0</v>
      </c>
      <c r="M108" s="69"/>
      <c r="N108" s="69">
        <f t="shared" si="55"/>
        <v>0</v>
      </c>
      <c r="O108" s="69"/>
      <c r="P108" s="109"/>
      <c r="Q108" s="217">
        <f>+'2006'!$N$21</f>
        <v>0</v>
      </c>
      <c r="R108" s="217"/>
      <c r="S108" s="71">
        <f>+'2006'!$N$22+'2006'!$N$23+'2006'!$N$24</f>
        <v>0</v>
      </c>
      <c r="T108" s="71"/>
      <c r="U108" s="71">
        <f>+'2006'!$N$26+'2006'!$N$25</f>
        <v>0</v>
      </c>
      <c r="V108" s="71"/>
      <c r="W108" s="71">
        <f>+'2006'!$N$28+'2006'!$N$27</f>
        <v>0</v>
      </c>
      <c r="X108" s="71"/>
      <c r="Y108" s="71">
        <f>+'2006'!$N$30</f>
        <v>0</v>
      </c>
      <c r="Z108" s="71"/>
      <c r="AA108" s="71">
        <f>+'2006'!$N$29</f>
        <v>0</v>
      </c>
      <c r="AB108" s="71"/>
      <c r="AC108" s="107">
        <v>0</v>
      </c>
      <c r="AD108" s="107"/>
      <c r="AE108" s="110">
        <f t="shared" si="48"/>
        <v>0</v>
      </c>
      <c r="AF108" s="78"/>
    </row>
    <row r="109" spans="1:32" ht="15.75">
      <c r="A109" s="212" t="s">
        <v>46</v>
      </c>
      <c r="B109" s="69">
        <f t="shared" si="49"/>
        <v>0</v>
      </c>
      <c r="C109" s="69"/>
      <c r="D109" s="69">
        <f t="shared" si="50"/>
        <v>0</v>
      </c>
      <c r="E109" s="69"/>
      <c r="F109" s="69">
        <f t="shared" si="51"/>
        <v>0</v>
      </c>
      <c r="G109" s="69"/>
      <c r="H109" s="69">
        <f t="shared" si="52"/>
        <v>0</v>
      </c>
      <c r="I109" s="69"/>
      <c r="J109" s="69">
        <f t="shared" si="53"/>
        <v>0</v>
      </c>
      <c r="K109" s="69"/>
      <c r="L109" s="69">
        <f t="shared" si="54"/>
        <v>0</v>
      </c>
      <c r="M109" s="69"/>
      <c r="N109" s="69">
        <f t="shared" si="55"/>
        <v>0</v>
      </c>
      <c r="O109" s="69"/>
      <c r="P109" s="109"/>
      <c r="Q109" s="217">
        <f>+'2006'!$O$21</f>
        <v>0</v>
      </c>
      <c r="R109" s="217"/>
      <c r="S109" s="71">
        <f>+'2006'!$O$22+'2006'!$O$23+'2006'!$O$24</f>
        <v>0</v>
      </c>
      <c r="T109" s="71"/>
      <c r="U109" s="71">
        <f>+'2006'!$O$26+'2006'!$O$25</f>
        <v>0</v>
      </c>
      <c r="V109" s="71"/>
      <c r="W109" s="71">
        <f>+'2006'!$O$28+'2006'!$O$27</f>
        <v>0</v>
      </c>
      <c r="X109" s="71"/>
      <c r="Y109" s="71">
        <f>+'2006'!$O$30</f>
        <v>0</v>
      </c>
      <c r="Z109" s="71"/>
      <c r="AA109" s="71">
        <f>+'2006'!$O$29</f>
        <v>0</v>
      </c>
      <c r="AB109" s="71"/>
      <c r="AC109" s="107">
        <v>0</v>
      </c>
      <c r="AD109" s="107"/>
      <c r="AE109" s="110">
        <f t="shared" si="48"/>
        <v>0</v>
      </c>
      <c r="AF109" s="78"/>
    </row>
    <row r="110" spans="1:32" ht="15.75">
      <c r="A110" s="212" t="s">
        <v>47</v>
      </c>
      <c r="B110" s="69">
        <f t="shared" si="49"/>
        <v>0</v>
      </c>
      <c r="C110" s="69"/>
      <c r="D110" s="69">
        <f t="shared" si="50"/>
        <v>0</v>
      </c>
      <c r="E110" s="69"/>
      <c r="F110" s="69">
        <f t="shared" si="51"/>
        <v>0</v>
      </c>
      <c r="G110" s="69"/>
      <c r="H110" s="69">
        <f t="shared" si="52"/>
        <v>0</v>
      </c>
      <c r="I110" s="69"/>
      <c r="J110" s="69">
        <f t="shared" si="53"/>
        <v>0</v>
      </c>
      <c r="K110" s="69"/>
      <c r="L110" s="69">
        <f t="shared" si="54"/>
        <v>0</v>
      </c>
      <c r="M110" s="69"/>
      <c r="N110" s="69">
        <f t="shared" si="55"/>
        <v>0</v>
      </c>
      <c r="O110" s="69"/>
      <c r="P110" s="109"/>
      <c r="Q110" s="217">
        <f>+'2006'!$P$21</f>
        <v>0</v>
      </c>
      <c r="R110" s="217"/>
      <c r="S110" s="71">
        <f>+'2006'!$P$22+'2006'!$P$23+'2006'!$P$24</f>
        <v>0</v>
      </c>
      <c r="T110" s="71"/>
      <c r="U110" s="71">
        <f>+'2006'!$P$26+'2006'!$P$25</f>
        <v>0</v>
      </c>
      <c r="V110" s="71"/>
      <c r="W110" s="71">
        <f>+'2006'!$P$28+'2006'!$P$27</f>
        <v>0</v>
      </c>
      <c r="X110" s="71"/>
      <c r="Y110" s="71">
        <f>+'2006'!$P$30</f>
        <v>0</v>
      </c>
      <c r="Z110" s="71"/>
      <c r="AA110" s="71">
        <f>+'2006'!$P$29</f>
        <v>0</v>
      </c>
      <c r="AB110" s="71"/>
      <c r="AC110" s="107">
        <v>0</v>
      </c>
      <c r="AD110" s="107"/>
      <c r="AE110" s="110">
        <f t="shared" si="48"/>
        <v>0</v>
      </c>
      <c r="AF110" s="78"/>
    </row>
    <row r="111" spans="1:32" ht="15.75">
      <c r="A111" s="212" t="s">
        <v>53</v>
      </c>
      <c r="B111" s="69">
        <f t="shared" si="49"/>
        <v>0</v>
      </c>
      <c r="C111" s="69"/>
      <c r="D111" s="69">
        <f t="shared" si="50"/>
        <v>0</v>
      </c>
      <c r="E111" s="69"/>
      <c r="F111" s="69">
        <f t="shared" si="51"/>
        <v>0</v>
      </c>
      <c r="G111" s="69"/>
      <c r="H111" s="69">
        <f t="shared" si="52"/>
        <v>0</v>
      </c>
      <c r="I111" s="69"/>
      <c r="J111" s="69">
        <f t="shared" si="53"/>
        <v>0</v>
      </c>
      <c r="K111" s="69"/>
      <c r="L111" s="69">
        <f t="shared" si="54"/>
        <v>0</v>
      </c>
      <c r="M111" s="69"/>
      <c r="N111" s="69">
        <f t="shared" si="55"/>
        <v>0</v>
      </c>
      <c r="O111" s="69"/>
      <c r="P111" s="109"/>
      <c r="Q111" s="217">
        <f>+'2006'!$Q$21+'2006'!$R$21</f>
        <v>0</v>
      </c>
      <c r="R111" s="217"/>
      <c r="S111" s="272">
        <f>+'2006'!$Q$22+'2006'!$Q$23+'2006'!$R$22+'2006'!$R$23+'2006'!$Q$24+'2006'!$R$24</f>
        <v>0</v>
      </c>
      <c r="T111" s="272"/>
      <c r="U111" s="272">
        <f>+'2006'!$Q$26+'2006'!$Q$25+'2006'!$R$26+'2006'!$R$25</f>
        <v>0</v>
      </c>
      <c r="V111" s="272"/>
      <c r="W111" s="272">
        <f>+'2006'!$Q$28+'2006'!$Q$27+'2006'!$R$28+'2006'!$R$27</f>
        <v>0</v>
      </c>
      <c r="X111" s="272"/>
      <c r="Y111" s="272">
        <f>+'2006'!$Q$30+'2006'!$R$30</f>
        <v>0</v>
      </c>
      <c r="Z111" s="272"/>
      <c r="AA111" s="272">
        <f>+'2006'!$Q$29+'2006'!$R$29</f>
        <v>0</v>
      </c>
      <c r="AB111" s="272"/>
      <c r="AC111" s="107">
        <v>0</v>
      </c>
      <c r="AD111" s="107"/>
      <c r="AE111" s="110">
        <f t="shared" si="48"/>
        <v>0</v>
      </c>
      <c r="AF111" s="78"/>
    </row>
    <row r="112" spans="1:32" ht="15.75" thickBot="1">
      <c r="A112" s="187"/>
      <c r="B112" s="113">
        <f aca="true" t="shared" si="56" ref="B112:O112">SUM(B98:B111)</f>
        <v>16628009</v>
      </c>
      <c r="C112" s="88">
        <f t="shared" si="56"/>
        <v>0</v>
      </c>
      <c r="D112" s="113">
        <f t="shared" si="56"/>
        <v>854879</v>
      </c>
      <c r="E112" s="88">
        <f t="shared" si="56"/>
        <v>0</v>
      </c>
      <c r="F112" s="113">
        <f t="shared" si="56"/>
        <v>53146</v>
      </c>
      <c r="G112" s="88">
        <f t="shared" si="56"/>
        <v>0</v>
      </c>
      <c r="H112" s="113">
        <f t="shared" si="56"/>
        <v>56712</v>
      </c>
      <c r="I112" s="88">
        <f t="shared" si="56"/>
        <v>0</v>
      </c>
      <c r="J112" s="113">
        <f t="shared" si="56"/>
        <v>90</v>
      </c>
      <c r="K112" s="112">
        <f t="shared" si="56"/>
        <v>0</v>
      </c>
      <c r="L112" s="113">
        <f>SUM(L98:L111)</f>
        <v>1260</v>
      </c>
      <c r="M112" s="112">
        <f>SUM(M98:M111)</f>
        <v>0</v>
      </c>
      <c r="N112" s="113">
        <f t="shared" si="56"/>
        <v>0</v>
      </c>
      <c r="O112" s="112">
        <f t="shared" si="56"/>
        <v>0</v>
      </c>
      <c r="P112" s="109"/>
      <c r="Q112" s="113">
        <f aca="true" t="shared" si="57" ref="Q112:AD112">SUM(Q98:Q111)</f>
        <v>19953.610000000004</v>
      </c>
      <c r="R112" s="112">
        <f t="shared" si="57"/>
        <v>0</v>
      </c>
      <c r="S112" s="113">
        <f t="shared" si="57"/>
        <v>5984.150000000001</v>
      </c>
      <c r="T112" s="88">
        <f t="shared" si="57"/>
        <v>0</v>
      </c>
      <c r="U112" s="113">
        <f t="shared" si="57"/>
        <v>2912.2899999999995</v>
      </c>
      <c r="V112" s="88">
        <f t="shared" si="57"/>
        <v>0</v>
      </c>
      <c r="W112" s="113">
        <f t="shared" si="57"/>
        <v>1440.4899999999998</v>
      </c>
      <c r="X112" s="88">
        <f t="shared" si="57"/>
        <v>0</v>
      </c>
      <c r="Y112" s="113">
        <f>SUM(Y98:Y111)</f>
        <v>49.17</v>
      </c>
      <c r="Z112" s="112">
        <f>SUM(Z98:Z111)</f>
        <v>0</v>
      </c>
      <c r="AA112" s="113">
        <f>SUM(AA98:AA111)</f>
        <v>449.8</v>
      </c>
      <c r="AB112" s="112">
        <f>SUM(AB98:AB111)</f>
        <v>0</v>
      </c>
      <c r="AC112" s="113">
        <f t="shared" si="57"/>
        <v>0</v>
      </c>
      <c r="AD112" s="112">
        <f t="shared" si="57"/>
        <v>0</v>
      </c>
      <c r="AE112" s="113">
        <f>SUM(AE98:AE111)</f>
        <v>30789.51</v>
      </c>
      <c r="AF112" s="78"/>
    </row>
    <row r="113" spans="2:32" s="89" customFormat="1" ht="16.5" thickBot="1">
      <c r="B113" s="114"/>
      <c r="C113" s="114"/>
      <c r="D113" s="114"/>
      <c r="E113" s="114"/>
      <c r="F113" s="114"/>
      <c r="G113" s="115"/>
      <c r="H113" s="114"/>
      <c r="I113" s="114"/>
      <c r="J113" s="114"/>
      <c r="K113" s="115"/>
      <c r="L113" s="114"/>
      <c r="M113" s="115"/>
      <c r="N113" s="114"/>
      <c r="O113" s="115"/>
      <c r="P113" s="114"/>
      <c r="Q113" s="114"/>
      <c r="R113" s="114"/>
      <c r="S113" s="114"/>
      <c r="T113" s="114"/>
      <c r="U113" s="156">
        <f>SUM(Q112:AD112)</f>
        <v>30789.510000000006</v>
      </c>
      <c r="V113" s="116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</row>
    <row r="114" spans="1:32" ht="15">
      <c r="A114" s="82"/>
      <c r="B114" s="82"/>
      <c r="C114" s="82"/>
      <c r="D114" s="82"/>
      <c r="E114" s="82"/>
      <c r="F114" s="74"/>
      <c r="G114" s="173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</row>
    <row r="115" spans="1:32" ht="18" customHeight="1">
      <c r="A115" s="82"/>
      <c r="B115" s="82"/>
      <c r="C115" s="82"/>
      <c r="D115" s="155"/>
      <c r="E115" s="82"/>
      <c r="F115" s="82"/>
      <c r="G115" s="82"/>
      <c r="H115" s="118"/>
      <c r="I115" s="118"/>
      <c r="J115" s="118"/>
      <c r="K115" s="118"/>
      <c r="L115" s="118"/>
      <c r="M115" s="118"/>
      <c r="N115" s="118"/>
      <c r="O115" s="118"/>
      <c r="P115" s="119"/>
      <c r="Q115" s="78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78"/>
    </row>
    <row r="116" spans="1:31" ht="14.25" customHeight="1">
      <c r="A116" s="91"/>
      <c r="B116" s="91"/>
      <c r="C116" s="91"/>
      <c r="D116" s="162"/>
      <c r="E116" s="162"/>
      <c r="F116" s="174"/>
      <c r="G116" s="92"/>
      <c r="H116" s="120"/>
      <c r="I116" s="120"/>
      <c r="J116" s="121"/>
      <c r="K116" s="121"/>
      <c r="L116" s="121"/>
      <c r="M116" s="121"/>
      <c r="N116" s="121"/>
      <c r="O116" s="121"/>
      <c r="P116" s="120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</row>
    <row r="117" spans="1:31" ht="15" customHeight="1">
      <c r="A117" s="91"/>
      <c r="B117" s="91"/>
      <c r="C117" s="91"/>
      <c r="D117" s="162"/>
      <c r="E117" s="162"/>
      <c r="F117" s="174"/>
      <c r="G117" s="92"/>
      <c r="H117" s="120"/>
      <c r="I117" s="120"/>
      <c r="J117" s="121"/>
      <c r="K117" s="121"/>
      <c r="L117" s="121"/>
      <c r="M117" s="121"/>
      <c r="N117" s="121"/>
      <c r="O117" s="121"/>
      <c r="P117" s="120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</row>
    <row r="118" spans="1:31" ht="15">
      <c r="A118" s="91"/>
      <c r="B118" s="93"/>
      <c r="C118" s="93"/>
      <c r="D118" s="162"/>
      <c r="E118" s="162"/>
      <c r="F118" s="174"/>
      <c r="G118" s="92"/>
      <c r="H118" s="120"/>
      <c r="I118" s="120"/>
      <c r="J118" s="121"/>
      <c r="K118" s="121"/>
      <c r="L118" s="121"/>
      <c r="M118" s="121"/>
      <c r="N118" s="121"/>
      <c r="O118" s="121"/>
      <c r="P118" s="120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</row>
    <row r="119" spans="1:31" ht="12" customHeight="1">
      <c r="A119" s="91"/>
      <c r="B119" s="91"/>
      <c r="C119" s="91"/>
      <c r="D119" s="162"/>
      <c r="E119" s="162"/>
      <c r="F119" s="174"/>
      <c r="G119" s="92"/>
      <c r="H119" s="120"/>
      <c r="I119" s="120"/>
      <c r="J119" s="121"/>
      <c r="K119" s="121"/>
      <c r="L119" s="121"/>
      <c r="M119" s="121"/>
      <c r="N119" s="121"/>
      <c r="O119" s="121"/>
      <c r="P119" s="120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</row>
    <row r="120" spans="1:16" ht="12" customHeight="1">
      <c r="A120" s="91"/>
      <c r="B120" s="91"/>
      <c r="C120" s="91"/>
      <c r="D120" s="162"/>
      <c r="E120" s="162"/>
      <c r="F120" s="174"/>
      <c r="G120" s="92"/>
      <c r="H120" s="120"/>
      <c r="I120" s="120"/>
      <c r="J120" s="121"/>
      <c r="K120" s="121"/>
      <c r="L120" s="121"/>
      <c r="M120" s="121"/>
      <c r="N120" s="121"/>
      <c r="O120" s="121"/>
      <c r="P120" s="120"/>
    </row>
    <row r="121" spans="1:16" ht="12" customHeight="1">
      <c r="A121" s="91"/>
      <c r="B121" s="91"/>
      <c r="C121" s="91"/>
      <c r="D121" s="162"/>
      <c r="E121" s="162"/>
      <c r="F121" s="175"/>
      <c r="G121" s="92"/>
      <c r="H121" s="120"/>
      <c r="I121" s="120"/>
      <c r="J121" s="121"/>
      <c r="K121" s="121"/>
      <c r="L121" s="121"/>
      <c r="M121" s="121"/>
      <c r="N121" s="121"/>
      <c r="O121" s="121"/>
      <c r="P121" s="120"/>
    </row>
    <row r="122" spans="1:16" ht="12" customHeight="1">
      <c r="A122" s="91"/>
      <c r="B122" s="91"/>
      <c r="C122" s="91"/>
      <c r="D122" s="162"/>
      <c r="E122" s="162"/>
      <c r="F122" s="125"/>
      <c r="G122" s="92"/>
      <c r="H122" s="120"/>
      <c r="I122" s="120"/>
      <c r="J122" s="121"/>
      <c r="K122" s="121"/>
      <c r="L122" s="121"/>
      <c r="M122" s="121"/>
      <c r="N122" s="121"/>
      <c r="O122" s="121"/>
      <c r="P122" s="120"/>
    </row>
    <row r="123" spans="1:16" ht="12" customHeight="1">
      <c r="A123" s="163"/>
      <c r="B123" s="91"/>
      <c r="C123" s="91"/>
      <c r="D123" s="162"/>
      <c r="E123" s="162"/>
      <c r="F123" s="125"/>
      <c r="G123" s="92"/>
      <c r="H123" s="120"/>
      <c r="I123" s="120"/>
      <c r="J123" s="121"/>
      <c r="K123" s="121"/>
      <c r="L123" s="121"/>
      <c r="M123" s="121"/>
      <c r="N123" s="121"/>
      <c r="O123" s="121"/>
      <c r="P123" s="120"/>
    </row>
    <row r="124" spans="1:16" ht="12" customHeight="1">
      <c r="A124" s="91"/>
      <c r="B124" s="91"/>
      <c r="C124" s="91"/>
      <c r="D124" s="162"/>
      <c r="E124" s="162"/>
      <c r="F124" s="125"/>
      <c r="G124" s="92"/>
      <c r="H124" s="120"/>
      <c r="I124" s="120"/>
      <c r="J124" s="121"/>
      <c r="K124" s="121"/>
      <c r="L124" s="121"/>
      <c r="M124" s="121"/>
      <c r="N124" s="121"/>
      <c r="O124" s="121"/>
      <c r="P124" s="120"/>
    </row>
    <row r="125" spans="1:16" ht="11.25" customHeight="1">
      <c r="A125" s="91"/>
      <c r="B125" s="91"/>
      <c r="C125" s="91"/>
      <c r="D125" s="162"/>
      <c r="E125" s="162"/>
      <c r="F125" s="175"/>
      <c r="G125" s="92"/>
      <c r="H125" s="120"/>
      <c r="I125" s="120"/>
      <c r="J125" s="121"/>
      <c r="K125" s="121"/>
      <c r="L125" s="121"/>
      <c r="M125" s="121"/>
      <c r="N125" s="121"/>
      <c r="O125" s="121"/>
      <c r="P125" s="120"/>
    </row>
    <row r="126" spans="1:16" ht="12" customHeight="1">
      <c r="A126" s="91"/>
      <c r="B126" s="91"/>
      <c r="C126" s="91"/>
      <c r="D126" s="162"/>
      <c r="E126" s="162"/>
      <c r="F126" s="175"/>
      <c r="G126" s="92"/>
      <c r="H126" s="120"/>
      <c r="I126" s="120"/>
      <c r="J126" s="121"/>
      <c r="K126" s="121"/>
      <c r="L126" s="121"/>
      <c r="M126" s="121"/>
      <c r="N126" s="121"/>
      <c r="O126" s="121"/>
      <c r="P126" s="120"/>
    </row>
    <row r="127" spans="1:16" ht="12" customHeight="1">
      <c r="A127" s="91"/>
      <c r="B127" s="94"/>
      <c r="C127" s="94"/>
      <c r="D127" s="162"/>
      <c r="E127" s="162"/>
      <c r="F127" s="175"/>
      <c r="G127" s="92"/>
      <c r="H127" s="120"/>
      <c r="I127" s="120"/>
      <c r="J127" s="121"/>
      <c r="K127" s="121"/>
      <c r="L127" s="121"/>
      <c r="M127" s="121"/>
      <c r="N127" s="121"/>
      <c r="O127" s="121"/>
      <c r="P127" s="120"/>
    </row>
    <row r="128" spans="1:16" ht="9.75" customHeight="1">
      <c r="A128" s="91"/>
      <c r="B128" s="91"/>
      <c r="C128" s="91"/>
      <c r="D128" s="92"/>
      <c r="E128" s="162"/>
      <c r="F128" s="175"/>
      <c r="G128" s="92"/>
      <c r="H128" s="120"/>
      <c r="I128" s="120"/>
      <c r="J128" s="121"/>
      <c r="K128" s="121"/>
      <c r="L128" s="121"/>
      <c r="M128" s="121"/>
      <c r="N128" s="121"/>
      <c r="O128" s="121"/>
      <c r="P128" s="120"/>
    </row>
    <row r="129" spans="1:16" ht="15">
      <c r="A129" s="91"/>
      <c r="B129" s="91"/>
      <c r="C129" s="91"/>
      <c r="D129" s="92"/>
      <c r="E129" s="92"/>
      <c r="F129" s="174"/>
      <c r="G129" s="92"/>
      <c r="H129" s="120"/>
      <c r="I129" s="120"/>
      <c r="J129" s="120"/>
      <c r="K129" s="120"/>
      <c r="L129" s="120"/>
      <c r="M129" s="120"/>
      <c r="N129" s="120"/>
      <c r="O129" s="120"/>
      <c r="P129" s="120"/>
    </row>
    <row r="130" spans="1:7" ht="15">
      <c r="A130" s="82"/>
      <c r="B130" s="82"/>
      <c r="C130" s="82"/>
      <c r="D130" s="82"/>
      <c r="E130" s="82"/>
      <c r="F130" s="82"/>
      <c r="G130" s="82"/>
    </row>
    <row r="131" spans="1:7" ht="15">
      <c r="A131" s="82"/>
      <c r="B131" s="82"/>
      <c r="C131" s="82"/>
      <c r="D131" s="82"/>
      <c r="E131" s="82"/>
      <c r="F131" s="82"/>
      <c r="G131" s="82"/>
    </row>
    <row r="132" spans="1:7" ht="15">
      <c r="A132" s="82"/>
      <c r="B132" s="82"/>
      <c r="C132" s="82"/>
      <c r="D132" s="82"/>
      <c r="E132" s="82"/>
      <c r="F132" s="82"/>
      <c r="G132" s="82"/>
    </row>
    <row r="133" spans="1:7" ht="15">
      <c r="A133" s="82"/>
      <c r="B133" s="82"/>
      <c r="C133" s="82"/>
      <c r="D133" s="82"/>
      <c r="E133" s="82"/>
      <c r="F133" s="82"/>
      <c r="G133" s="82"/>
    </row>
    <row r="134" spans="1:7" ht="15">
      <c r="A134" s="82"/>
      <c r="B134" s="82"/>
      <c r="C134" s="82"/>
      <c r="D134" s="82"/>
      <c r="E134" s="82"/>
      <c r="F134" s="82"/>
      <c r="G134" s="82"/>
    </row>
    <row r="135" spans="1:7" ht="15">
      <c r="A135" s="82"/>
      <c r="B135" s="82"/>
      <c r="C135" s="82"/>
      <c r="D135" s="82"/>
      <c r="E135" s="82"/>
      <c r="F135" s="82"/>
      <c r="G135" s="82"/>
    </row>
    <row r="136" spans="1:7" ht="15">
      <c r="A136" s="82"/>
      <c r="B136" s="82"/>
      <c r="C136" s="82"/>
      <c r="D136" s="82"/>
      <c r="E136" s="82"/>
      <c r="F136" s="82"/>
      <c r="G136" s="82"/>
    </row>
    <row r="137" spans="1:7" ht="15">
      <c r="A137" s="82"/>
      <c r="B137" s="82"/>
      <c r="C137" s="82"/>
      <c r="D137" s="82"/>
      <c r="E137" s="82"/>
      <c r="F137" s="82"/>
      <c r="G137" s="82"/>
    </row>
    <row r="138" spans="1:7" ht="15">
      <c r="A138" s="82"/>
      <c r="B138" s="82"/>
      <c r="C138" s="82"/>
      <c r="D138" s="82"/>
      <c r="E138" s="82"/>
      <c r="F138" s="82"/>
      <c r="G138" s="82"/>
    </row>
    <row r="139" spans="1:7" ht="15">
      <c r="A139" s="82"/>
      <c r="B139" s="82"/>
      <c r="C139" s="82"/>
      <c r="D139" s="82"/>
      <c r="E139" s="82"/>
      <c r="F139" s="82"/>
      <c r="G139" s="82"/>
    </row>
    <row r="140" spans="1:7" ht="15">
      <c r="A140" s="82"/>
      <c r="B140" s="82"/>
      <c r="C140" s="82"/>
      <c r="D140" s="82"/>
      <c r="E140" s="82"/>
      <c r="F140" s="82"/>
      <c r="G140" s="82"/>
    </row>
    <row r="141" spans="1:7" ht="15">
      <c r="A141" s="82"/>
      <c r="B141" s="82"/>
      <c r="C141" s="82"/>
      <c r="D141" s="82"/>
      <c r="E141" s="82"/>
      <c r="F141" s="82"/>
      <c r="G141" s="82"/>
    </row>
    <row r="142" spans="1:7" ht="15">
      <c r="A142" s="82"/>
      <c r="B142" s="82"/>
      <c r="C142" s="82"/>
      <c r="D142" s="82"/>
      <c r="E142" s="82"/>
      <c r="F142" s="82"/>
      <c r="G142" s="82"/>
    </row>
    <row r="143" spans="1:7" ht="15">
      <c r="A143" s="82"/>
      <c r="B143" s="82"/>
      <c r="C143" s="82"/>
      <c r="D143" s="82"/>
      <c r="E143" s="82"/>
      <c r="F143" s="82"/>
      <c r="G143" s="82"/>
    </row>
    <row r="144" spans="1:7" ht="15">
      <c r="A144" s="82"/>
      <c r="B144" s="82"/>
      <c r="C144" s="82"/>
      <c r="D144" s="82"/>
      <c r="E144" s="82"/>
      <c r="F144" s="82"/>
      <c r="G144" s="82"/>
    </row>
    <row r="145" spans="1:7" ht="15">
      <c r="A145" s="82"/>
      <c r="B145" s="82"/>
      <c r="C145" s="82"/>
      <c r="D145" s="82"/>
      <c r="E145" s="82"/>
      <c r="F145" s="82"/>
      <c r="G145" s="82"/>
    </row>
    <row r="146" spans="1:7" ht="15">
      <c r="A146" s="82"/>
      <c r="B146" s="82"/>
      <c r="C146" s="82"/>
      <c r="D146" s="82"/>
      <c r="E146" s="82"/>
      <c r="F146" s="82"/>
      <c r="G146" s="82"/>
    </row>
    <row r="147" spans="1:7" ht="15">
      <c r="A147" s="82"/>
      <c r="B147" s="82"/>
      <c r="C147" s="82"/>
      <c r="D147" s="82"/>
      <c r="E147" s="82"/>
      <c r="F147" s="82"/>
      <c r="G147" s="82"/>
    </row>
    <row r="148" spans="1:7" ht="15">
      <c r="A148" s="82"/>
      <c r="B148" s="82"/>
      <c r="C148" s="82"/>
      <c r="D148" s="82"/>
      <c r="E148" s="82"/>
      <c r="F148" s="82"/>
      <c r="G148" s="82"/>
    </row>
    <row r="149" spans="1:7" ht="15">
      <c r="A149" s="82"/>
      <c r="B149" s="82"/>
      <c r="C149" s="82"/>
      <c r="D149" s="82"/>
      <c r="E149" s="82"/>
      <c r="F149" s="82"/>
      <c r="G149" s="82"/>
    </row>
  </sheetData>
  <sheetProtection/>
  <mergeCells count="87">
    <mergeCell ref="Q22:AE22"/>
    <mergeCell ref="Y45:Z45"/>
    <mergeCell ref="AA45:AB45"/>
    <mergeCell ref="AC45:AD45"/>
    <mergeCell ref="Y23:Z23"/>
    <mergeCell ref="W45:X45"/>
    <mergeCell ref="Q44:AE44"/>
    <mergeCell ref="Q23:R23"/>
    <mergeCell ref="S23:T23"/>
    <mergeCell ref="U45:V45"/>
    <mergeCell ref="F23:G23"/>
    <mergeCell ref="H23:I23"/>
    <mergeCell ref="F44:O44"/>
    <mergeCell ref="B68:E68"/>
    <mergeCell ref="F68:O68"/>
    <mergeCell ref="AA4:AB4"/>
    <mergeCell ref="AA23:AB23"/>
    <mergeCell ref="Q68:AE68"/>
    <mergeCell ref="J23:K23"/>
    <mergeCell ref="L4:M4"/>
    <mergeCell ref="L23:M23"/>
    <mergeCell ref="D4:E4"/>
    <mergeCell ref="J4:K4"/>
    <mergeCell ref="B92:E92"/>
    <mergeCell ref="F92:O92"/>
    <mergeCell ref="B44:E44"/>
    <mergeCell ref="B23:C23"/>
    <mergeCell ref="D23:E23"/>
    <mergeCell ref="B22:E22"/>
    <mergeCell ref="F22:O22"/>
    <mergeCell ref="N23:O23"/>
    <mergeCell ref="L45:M45"/>
    <mergeCell ref="N45:O45"/>
    <mergeCell ref="Q45:R45"/>
    <mergeCell ref="S45:T45"/>
    <mergeCell ref="A1:AE1"/>
    <mergeCell ref="B3:E3"/>
    <mergeCell ref="F3:O3"/>
    <mergeCell ref="N4:O4"/>
    <mergeCell ref="Q4:R4"/>
    <mergeCell ref="Q3:AE3"/>
    <mergeCell ref="B4:C4"/>
    <mergeCell ref="W4:X4"/>
    <mergeCell ref="F4:G4"/>
    <mergeCell ref="H4:I4"/>
    <mergeCell ref="Y4:Z4"/>
    <mergeCell ref="AC4:AD4"/>
    <mergeCell ref="S4:T4"/>
    <mergeCell ref="U4:V4"/>
    <mergeCell ref="U23:V23"/>
    <mergeCell ref="AE69:AE70"/>
    <mergeCell ref="W23:X23"/>
    <mergeCell ref="AC23:AD23"/>
    <mergeCell ref="AE45:AE46"/>
    <mergeCell ref="B45:C45"/>
    <mergeCell ref="D45:E45"/>
    <mergeCell ref="F45:G45"/>
    <mergeCell ref="H45:I45"/>
    <mergeCell ref="J45:K45"/>
    <mergeCell ref="J69:K69"/>
    <mergeCell ref="B93:C93"/>
    <mergeCell ref="D93:E93"/>
    <mergeCell ref="F93:G93"/>
    <mergeCell ref="H93:I93"/>
    <mergeCell ref="J93:K93"/>
    <mergeCell ref="B69:C69"/>
    <mergeCell ref="D69:E69"/>
    <mergeCell ref="F69:G69"/>
    <mergeCell ref="H69:I69"/>
    <mergeCell ref="AA93:AB93"/>
    <mergeCell ref="U69:V69"/>
    <mergeCell ref="S93:T93"/>
    <mergeCell ref="N93:O93"/>
    <mergeCell ref="Q93:R93"/>
    <mergeCell ref="N69:O69"/>
    <mergeCell ref="Q69:R69"/>
    <mergeCell ref="S69:T69"/>
    <mergeCell ref="AC93:AD93"/>
    <mergeCell ref="AA69:AB69"/>
    <mergeCell ref="AC69:AD69"/>
    <mergeCell ref="W69:X69"/>
    <mergeCell ref="Y69:Z69"/>
    <mergeCell ref="L93:M93"/>
    <mergeCell ref="U93:V93"/>
    <mergeCell ref="L69:M69"/>
    <mergeCell ref="W93:X93"/>
    <mergeCell ref="Y93:Z93"/>
  </mergeCells>
  <printOptions/>
  <pageMargins left="0.21" right="0.21" top="1.15" bottom="0.25" header="0.5" footer="0.5"/>
  <pageSetup fitToHeight="0" fitToWidth="2" horizontalDpi="355" verticalDpi="355" orientation="landscape" scale="66" r:id="rId1"/>
  <headerFooter alignWithMargins="0">
    <oddHeader>&amp;RTillsonburg Hydro Inc.
 EB-2011-0198
 Appendix L.2.2
 Filed: December 9, 2011</oddHeader>
    <oddFooter>&amp;RPage &amp;P of &amp;N</oddFooter>
  </headerFooter>
  <rowBreaks count="1" manualBreakCount="1">
    <brk id="43" max="255" man="1"/>
  </rowBreaks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zoomScalePageLayoutView="0" workbookViewId="0" topLeftCell="A1">
      <pane xSplit="1" ySplit="6" topLeftCell="B7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F16" sqref="F16"/>
    </sheetView>
  </sheetViews>
  <sheetFormatPr defaultColWidth="9.140625" defaultRowHeight="12.75"/>
  <cols>
    <col min="1" max="1" width="10.28125" style="57" bestFit="1" customWidth="1"/>
    <col min="2" max="7" width="12.7109375" style="57" customWidth="1"/>
    <col min="8" max="8" width="12.7109375" style="57" hidden="1" customWidth="1"/>
    <col min="9" max="9" width="2.57421875" style="57" customWidth="1"/>
    <col min="10" max="15" width="14.7109375" style="57" customWidth="1"/>
    <col min="16" max="16" width="14.7109375" style="57" hidden="1" customWidth="1"/>
    <col min="17" max="17" width="14.7109375" style="57" customWidth="1"/>
    <col min="18" max="16384" width="9.140625" style="57" customWidth="1"/>
  </cols>
  <sheetData>
    <row r="1" spans="1:17" ht="18.75" thickBo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8.75" thickBot="1">
      <c r="A2" s="437" t="s">
        <v>91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9"/>
    </row>
    <row r="3" ht="15.75" thickBot="1"/>
    <row r="4" spans="1:17" ht="16.5" thickBot="1">
      <c r="A4" s="180"/>
      <c r="B4" s="440" t="s">
        <v>79</v>
      </c>
      <c r="C4" s="441"/>
      <c r="D4" s="441"/>
      <c r="E4" s="441"/>
      <c r="F4" s="441"/>
      <c r="G4" s="441"/>
      <c r="H4" s="443"/>
      <c r="J4" s="440" t="s">
        <v>80</v>
      </c>
      <c r="K4" s="441"/>
      <c r="L4" s="441"/>
      <c r="M4" s="441"/>
      <c r="N4" s="441"/>
      <c r="O4" s="441"/>
      <c r="P4" s="441"/>
      <c r="Q4" s="443"/>
    </row>
    <row r="5" spans="1:17" s="56" customFormat="1" ht="16.5" thickBot="1">
      <c r="A5" s="141">
        <v>2002</v>
      </c>
      <c r="B5" s="447" t="s">
        <v>77</v>
      </c>
      <c r="C5" s="445" t="s">
        <v>17</v>
      </c>
      <c r="D5" s="453" t="s">
        <v>136</v>
      </c>
      <c r="E5" s="455" t="s">
        <v>137</v>
      </c>
      <c r="F5" s="451" t="s">
        <v>135</v>
      </c>
      <c r="G5" s="449" t="s">
        <v>78</v>
      </c>
      <c r="H5" s="457" t="s">
        <v>138</v>
      </c>
      <c r="J5" s="101" t="s">
        <v>77</v>
      </c>
      <c r="K5" s="195" t="s">
        <v>17</v>
      </c>
      <c r="L5" s="165" t="s">
        <v>136</v>
      </c>
      <c r="M5" s="199" t="s">
        <v>137</v>
      </c>
      <c r="N5" s="127" t="s">
        <v>135</v>
      </c>
      <c r="O5" s="276" t="s">
        <v>78</v>
      </c>
      <c r="P5" s="273" t="s">
        <v>138</v>
      </c>
      <c r="Q5" s="432" t="s">
        <v>18</v>
      </c>
    </row>
    <row r="6" spans="1:17" ht="16.5" thickBot="1">
      <c r="A6" s="70"/>
      <c r="B6" s="448"/>
      <c r="C6" s="446"/>
      <c r="D6" s="454"/>
      <c r="E6" s="456"/>
      <c r="F6" s="452"/>
      <c r="G6" s="450"/>
      <c r="H6" s="458"/>
      <c r="J6" s="219">
        <v>1.07</v>
      </c>
      <c r="K6" s="223">
        <v>2.29</v>
      </c>
      <c r="L6" s="220">
        <v>9.22</v>
      </c>
      <c r="M6" s="225">
        <v>77.99</v>
      </c>
      <c r="N6" s="275">
        <v>0.11</v>
      </c>
      <c r="O6" s="277">
        <v>124.27</v>
      </c>
      <c r="P6" s="274">
        <v>2.29</v>
      </c>
      <c r="Q6" s="433"/>
    </row>
    <row r="7" spans="1:17" ht="15.75" customHeight="1">
      <c r="A7" s="70"/>
      <c r="B7" s="278" t="s">
        <v>116</v>
      </c>
      <c r="C7" s="279" t="s">
        <v>116</v>
      </c>
      <c r="D7" s="155" t="s">
        <v>20</v>
      </c>
      <c r="E7" s="279" t="s">
        <v>20</v>
      </c>
      <c r="F7" s="279" t="s">
        <v>20</v>
      </c>
      <c r="G7" s="279" t="s">
        <v>20</v>
      </c>
      <c r="H7" s="279" t="s">
        <v>116</v>
      </c>
      <c r="J7" s="215"/>
      <c r="K7" s="224"/>
      <c r="L7" s="216"/>
      <c r="M7" s="224"/>
      <c r="N7" s="224"/>
      <c r="O7" s="224"/>
      <c r="P7" s="224"/>
      <c r="Q7" s="61"/>
    </row>
    <row r="8" spans="1:18" ht="15.75">
      <c r="A8" s="212" t="s">
        <v>53</v>
      </c>
      <c r="B8" s="217"/>
      <c r="C8" s="71"/>
      <c r="D8" s="72"/>
      <c r="E8" s="71"/>
      <c r="F8" s="213"/>
      <c r="G8" s="213"/>
      <c r="H8" s="213"/>
      <c r="J8" s="217">
        <v>0</v>
      </c>
      <c r="K8" s="71">
        <v>0</v>
      </c>
      <c r="L8" s="72">
        <v>0</v>
      </c>
      <c r="M8" s="71">
        <v>0</v>
      </c>
      <c r="N8" s="71">
        <v>0</v>
      </c>
      <c r="O8" s="71">
        <v>0</v>
      </c>
      <c r="P8" s="71">
        <v>0</v>
      </c>
      <c r="Q8" s="221">
        <f>SUM(J8:P8)</f>
        <v>0</v>
      </c>
      <c r="R8" s="209"/>
    </row>
    <row r="9" spans="1:18" ht="15.75">
      <c r="A9" s="212" t="s">
        <v>36</v>
      </c>
      <c r="B9" s="217"/>
      <c r="C9" s="71"/>
      <c r="D9" s="72"/>
      <c r="E9" s="71"/>
      <c r="F9" s="213"/>
      <c r="G9" s="213"/>
      <c r="H9" s="213"/>
      <c r="J9" s="217">
        <v>0</v>
      </c>
      <c r="K9" s="71">
        <v>0</v>
      </c>
      <c r="L9" s="72">
        <v>0</v>
      </c>
      <c r="M9" s="71">
        <v>0</v>
      </c>
      <c r="N9" s="71">
        <v>0</v>
      </c>
      <c r="O9" s="71">
        <v>0</v>
      </c>
      <c r="P9" s="71">
        <v>0</v>
      </c>
      <c r="Q9" s="221">
        <f aca="true" t="shared" si="0" ref="Q9:Q21">SUM(J9:P9)</f>
        <v>0</v>
      </c>
      <c r="R9" s="209"/>
    </row>
    <row r="10" spans="1:18" ht="15.75">
      <c r="A10" s="212" t="s">
        <v>37</v>
      </c>
      <c r="B10" s="217"/>
      <c r="C10" s="71"/>
      <c r="D10" s="72"/>
      <c r="E10" s="71"/>
      <c r="F10" s="71"/>
      <c r="G10" s="71"/>
      <c r="H10" s="71"/>
      <c r="J10" s="217">
        <v>0</v>
      </c>
      <c r="K10" s="71">
        <v>0</v>
      </c>
      <c r="L10" s="72">
        <v>0</v>
      </c>
      <c r="M10" s="71">
        <v>0</v>
      </c>
      <c r="N10" s="71">
        <v>0</v>
      </c>
      <c r="O10" s="71">
        <v>0</v>
      </c>
      <c r="P10" s="71">
        <v>0</v>
      </c>
      <c r="Q10" s="221">
        <f t="shared" si="0"/>
        <v>0</v>
      </c>
      <c r="R10" s="209"/>
    </row>
    <row r="11" spans="1:18" ht="15.75">
      <c r="A11" s="212" t="s">
        <v>38</v>
      </c>
      <c r="B11" s="217">
        <f aca="true" t="shared" si="1" ref="B11:B21">+ROUND(J11/J$6,0)</f>
        <v>1540</v>
      </c>
      <c r="C11" s="217">
        <f aca="true" t="shared" si="2" ref="C11:C21">+ROUND(K11/K$6,0)</f>
        <v>504</v>
      </c>
      <c r="D11" s="217">
        <f aca="true" t="shared" si="3" ref="D11:D21">+ROUND(L11/L$6,0)</f>
        <v>65</v>
      </c>
      <c r="E11" s="217">
        <f aca="true" t="shared" si="4" ref="E11:E21">+ROUND(M11/M$6,0)</f>
        <v>6</v>
      </c>
      <c r="F11" s="217">
        <f>+ROUND(N11/N$6,0)</f>
        <v>100</v>
      </c>
      <c r="G11" s="217">
        <f aca="true" t="shared" si="5" ref="G11:H21">+ROUND(O11/O$6,0)</f>
        <v>1</v>
      </c>
      <c r="H11" s="71">
        <f t="shared" si="5"/>
        <v>0</v>
      </c>
      <c r="J11" s="217">
        <f>+'2002'!$C$7</f>
        <v>1647.9528571428573</v>
      </c>
      <c r="K11" s="217">
        <f>+'2002'!$C$8+'2002'!$C$9</f>
        <v>1155.151472153518</v>
      </c>
      <c r="L11" s="217">
        <f>+'2002'!$C$10+'2002'!$C$11</f>
        <v>595.2965468956407</v>
      </c>
      <c r="M11" s="217">
        <f>+'2002'!$C$12+'2002'!$C$13</f>
        <v>467.93999999999994</v>
      </c>
      <c r="N11" s="217">
        <f>+'2002'!$C$15</f>
        <v>10.966153846153846</v>
      </c>
      <c r="O11" s="217">
        <f>+'2002'!$C$14</f>
        <v>82.84747915971991</v>
      </c>
      <c r="P11" s="71">
        <v>0</v>
      </c>
      <c r="Q11" s="221">
        <f t="shared" si="0"/>
        <v>3960.1545091978896</v>
      </c>
      <c r="R11" s="209"/>
    </row>
    <row r="12" spans="1:24" ht="15.75">
      <c r="A12" s="212" t="s">
        <v>39</v>
      </c>
      <c r="B12" s="217">
        <f t="shared" si="1"/>
        <v>8416</v>
      </c>
      <c r="C12" s="217">
        <f t="shared" si="2"/>
        <v>1022</v>
      </c>
      <c r="D12" s="217">
        <f t="shared" si="3"/>
        <v>134</v>
      </c>
      <c r="E12" s="217">
        <f t="shared" si="4"/>
        <v>6</v>
      </c>
      <c r="F12" s="217">
        <f aca="true" t="shared" si="6" ref="F12:F21">+ROUND(N12/N$6,0)</f>
        <v>186</v>
      </c>
      <c r="G12" s="217">
        <f t="shared" si="5"/>
        <v>1</v>
      </c>
      <c r="H12" s="71">
        <f t="shared" si="5"/>
        <v>0</v>
      </c>
      <c r="J12" s="217">
        <f>+'2002'!$D$7+'2002'!$E$7</f>
        <v>9005.643382857143</v>
      </c>
      <c r="K12" s="217">
        <f>+'2002'!$D$8+'2002'!$E$8+'2002'!$D$9+'2002'!$E$9</f>
        <v>2339.860290149254</v>
      </c>
      <c r="L12" s="217">
        <f>+'2002'!$D$10+'2002'!$E$10+'2002'!$D$11+'2002'!$E$11</f>
        <v>1235.5725653896961</v>
      </c>
      <c r="M12" s="217">
        <f>+'2002'!$D$12+'2002'!$E$12+'2002'!$D$13+'2002'!$E$13</f>
        <v>467.93999999999994</v>
      </c>
      <c r="N12" s="217">
        <f>+'2002'!$D$15+'2002'!$E$15</f>
        <v>20.466043956043954</v>
      </c>
      <c r="O12" s="217">
        <f>+'2002'!$D$14+'2002'!$E$14</f>
        <v>124.27</v>
      </c>
      <c r="P12" s="71">
        <v>0</v>
      </c>
      <c r="Q12" s="221">
        <f t="shared" si="0"/>
        <v>13193.75228235214</v>
      </c>
      <c r="R12" s="209"/>
      <c r="S12" s="82"/>
      <c r="T12" s="82"/>
      <c r="U12" s="82"/>
      <c r="V12" s="82"/>
      <c r="W12" s="82"/>
      <c r="X12" s="82"/>
    </row>
    <row r="13" spans="1:24" ht="15.75">
      <c r="A13" s="212" t="s">
        <v>40</v>
      </c>
      <c r="B13" s="217">
        <f t="shared" si="1"/>
        <v>2016</v>
      </c>
      <c r="C13" s="217">
        <f t="shared" si="2"/>
        <v>314</v>
      </c>
      <c r="D13" s="217">
        <f t="shared" si="3"/>
        <v>50</v>
      </c>
      <c r="E13" s="217">
        <f t="shared" si="4"/>
        <v>0</v>
      </c>
      <c r="F13" s="217">
        <f t="shared" si="6"/>
        <v>81</v>
      </c>
      <c r="G13" s="217">
        <f t="shared" si="5"/>
        <v>0</v>
      </c>
      <c r="H13" s="71">
        <f t="shared" si="5"/>
        <v>0</v>
      </c>
      <c r="J13" s="217">
        <f>+'2002'!$F$7</f>
        <v>2157.3034285714284</v>
      </c>
      <c r="K13" s="217">
        <f>+'2002'!$F$8+'2002'!$F$9</f>
        <v>718.7654827718551</v>
      </c>
      <c r="L13" s="217">
        <f>+'2002'!$F$10+'2002'!$F$11</f>
        <v>460.9074346103038</v>
      </c>
      <c r="M13" s="217">
        <f>+'2002'!$F$12+'2002'!$F$13</f>
        <v>0</v>
      </c>
      <c r="N13" s="217">
        <f>+'2002'!$F$15</f>
        <v>8.861648351648352</v>
      </c>
      <c r="O13" s="217">
        <f>+'2002'!$F$14</f>
        <v>0</v>
      </c>
      <c r="P13" s="71">
        <v>0</v>
      </c>
      <c r="Q13" s="221">
        <f t="shared" si="0"/>
        <v>3345.837994305236</v>
      </c>
      <c r="R13" s="209"/>
      <c r="S13" s="122"/>
      <c r="T13" s="122"/>
      <c r="U13" s="122"/>
      <c r="V13" s="82"/>
      <c r="W13" s="82"/>
      <c r="X13" s="82"/>
    </row>
    <row r="14" spans="1:24" ht="15.75">
      <c r="A14" s="212" t="s">
        <v>41</v>
      </c>
      <c r="B14" s="217">
        <f t="shared" si="1"/>
        <v>1940</v>
      </c>
      <c r="C14" s="217">
        <f t="shared" si="2"/>
        <v>144</v>
      </c>
      <c r="D14" s="217">
        <f t="shared" si="3"/>
        <v>18</v>
      </c>
      <c r="E14" s="217">
        <f t="shared" si="4"/>
        <v>5</v>
      </c>
      <c r="F14" s="217">
        <f t="shared" si="6"/>
        <v>16</v>
      </c>
      <c r="G14" s="217">
        <f t="shared" si="5"/>
        <v>1</v>
      </c>
      <c r="H14" s="71">
        <f t="shared" si="5"/>
        <v>0</v>
      </c>
      <c r="J14" s="217">
        <f>+'2002'!$G$7</f>
        <v>2075.44904</v>
      </c>
      <c r="K14" s="217">
        <f>+'2002'!$G$8+'2002'!$G$9</f>
        <v>328.8294456289978</v>
      </c>
      <c r="L14" s="217">
        <f>+'2002'!$G$10+'2002'!$G$11</f>
        <v>165.96</v>
      </c>
      <c r="M14" s="217">
        <f>+'2002'!$G$12+'2002'!$G$13</f>
        <v>389.95</v>
      </c>
      <c r="N14" s="217">
        <f>+'2002'!$G$15</f>
        <v>1.76</v>
      </c>
      <c r="O14" s="217">
        <f>+'2002'!$G$14</f>
        <v>124.27</v>
      </c>
      <c r="P14" s="71">
        <v>0</v>
      </c>
      <c r="Q14" s="221">
        <f t="shared" si="0"/>
        <v>3086.2184856289978</v>
      </c>
      <c r="R14" s="209"/>
      <c r="S14" s="122"/>
      <c r="T14" s="122"/>
      <c r="U14" s="122"/>
      <c r="V14" s="82"/>
      <c r="W14" s="82"/>
      <c r="X14" s="82"/>
    </row>
    <row r="15" spans="1:24" ht="15.75">
      <c r="A15" s="212" t="s">
        <v>42</v>
      </c>
      <c r="B15" s="217">
        <f t="shared" si="1"/>
        <v>7662</v>
      </c>
      <c r="C15" s="217">
        <f t="shared" si="2"/>
        <v>1039</v>
      </c>
      <c r="D15" s="217">
        <f t="shared" si="3"/>
        <v>127</v>
      </c>
      <c r="E15" s="217">
        <f t="shared" si="4"/>
        <v>5</v>
      </c>
      <c r="F15" s="217">
        <f t="shared" si="6"/>
        <v>182</v>
      </c>
      <c r="G15" s="217">
        <f t="shared" si="5"/>
        <v>1</v>
      </c>
      <c r="H15" s="71">
        <f t="shared" si="5"/>
        <v>0</v>
      </c>
      <c r="J15" s="217">
        <f>+'2002'!$H$7</f>
        <v>8198.293531428571</v>
      </c>
      <c r="K15" s="217">
        <f>+'2002'!$H$8+'2002'!$H$9</f>
        <v>2380.447212153518</v>
      </c>
      <c r="L15" s="217">
        <f>+'2002'!$H$10+'2002'!$H$11</f>
        <v>1170.94</v>
      </c>
      <c r="M15" s="217">
        <f>+'2002'!$H$12+'2002'!$H$13</f>
        <v>389.95</v>
      </c>
      <c r="N15" s="217">
        <f>+'2002'!$H$15</f>
        <v>20.02</v>
      </c>
      <c r="O15" s="217">
        <f>+'2002'!$H$14</f>
        <v>124.27</v>
      </c>
      <c r="P15" s="71">
        <v>0</v>
      </c>
      <c r="Q15" s="221">
        <f t="shared" si="0"/>
        <v>12283.920743582092</v>
      </c>
      <c r="R15" s="209"/>
      <c r="S15" s="122"/>
      <c r="T15" s="122"/>
      <c r="U15" s="122"/>
      <c r="V15" s="82"/>
      <c r="W15" s="82"/>
      <c r="X15" s="82"/>
    </row>
    <row r="16" spans="1:24" ht="15.75">
      <c r="A16" s="212" t="s">
        <v>43</v>
      </c>
      <c r="B16" s="217">
        <f t="shared" si="1"/>
        <v>4947</v>
      </c>
      <c r="C16" s="217">
        <f t="shared" si="2"/>
        <v>573</v>
      </c>
      <c r="D16" s="217">
        <f t="shared" si="3"/>
        <v>86</v>
      </c>
      <c r="E16" s="217">
        <f t="shared" si="4"/>
        <v>5</v>
      </c>
      <c r="F16" s="217">
        <f t="shared" si="6"/>
        <v>131</v>
      </c>
      <c r="G16" s="217">
        <f t="shared" si="5"/>
        <v>1</v>
      </c>
      <c r="H16" s="71">
        <f t="shared" si="5"/>
        <v>0</v>
      </c>
      <c r="J16" s="217">
        <f>+'2002'!$I$7</f>
        <v>5293.588377142858</v>
      </c>
      <c r="K16" s="217">
        <f>+'2002'!$I$8+'2002'!$I$9</f>
        <v>1311.9528997867806</v>
      </c>
      <c r="L16" s="217">
        <f>+'2002'!$I$10+'2002'!$I$11</f>
        <v>792.92</v>
      </c>
      <c r="M16" s="217">
        <f>+'2002'!$I$12+'2002'!$I$13</f>
        <v>389.95</v>
      </c>
      <c r="N16" s="217">
        <f>+'2002'!$I$15</f>
        <v>14.41</v>
      </c>
      <c r="O16" s="217">
        <f>+'2002'!$I$14</f>
        <v>124.27</v>
      </c>
      <c r="P16" s="71">
        <v>0</v>
      </c>
      <c r="Q16" s="221">
        <f t="shared" si="0"/>
        <v>7927.091276929638</v>
      </c>
      <c r="R16" s="209"/>
      <c r="S16" s="122"/>
      <c r="T16" s="122"/>
      <c r="U16" s="122"/>
      <c r="V16" s="82"/>
      <c r="W16" s="82"/>
      <c r="X16" s="82"/>
    </row>
    <row r="17" spans="1:24" ht="15.75">
      <c r="A17" s="212" t="s">
        <v>44</v>
      </c>
      <c r="B17" s="217">
        <f t="shared" si="1"/>
        <v>4381</v>
      </c>
      <c r="C17" s="217">
        <f t="shared" si="2"/>
        <v>645</v>
      </c>
      <c r="D17" s="217">
        <f t="shared" si="3"/>
        <v>87</v>
      </c>
      <c r="E17" s="217">
        <f t="shared" si="4"/>
        <v>5</v>
      </c>
      <c r="F17" s="217">
        <f t="shared" si="6"/>
        <v>130</v>
      </c>
      <c r="G17" s="217">
        <f t="shared" si="5"/>
        <v>1</v>
      </c>
      <c r="H17" s="71">
        <f t="shared" si="5"/>
        <v>0</v>
      </c>
      <c r="J17" s="217">
        <f>+'2002'!$J$7</f>
        <v>4687.9842742857145</v>
      </c>
      <c r="K17" s="217">
        <f>+'2002'!$J$8+'2002'!$J$9</f>
        <v>1477.9726226012797</v>
      </c>
      <c r="L17" s="217">
        <f>+'2002'!$J$10+'2002'!$J$11</f>
        <v>801.5249273447821</v>
      </c>
      <c r="M17" s="217">
        <f>+'2002'!$J$12+'2002'!$J$13</f>
        <v>389.95</v>
      </c>
      <c r="N17" s="217">
        <f>+'2002'!$J$15</f>
        <v>14.3</v>
      </c>
      <c r="O17" s="217">
        <f>+'2002'!$J$14</f>
        <v>124.27</v>
      </c>
      <c r="P17" s="71">
        <v>0</v>
      </c>
      <c r="Q17" s="221">
        <f t="shared" si="0"/>
        <v>7496.0018242317765</v>
      </c>
      <c r="R17" s="209"/>
      <c r="S17" s="122"/>
      <c r="T17" s="122"/>
      <c r="U17" s="122"/>
      <c r="V17" s="82"/>
      <c r="W17" s="82"/>
      <c r="X17" s="82"/>
    </row>
    <row r="18" spans="1:24" ht="15.75">
      <c r="A18" s="212" t="s">
        <v>45</v>
      </c>
      <c r="B18" s="217">
        <f t="shared" si="1"/>
        <v>4891</v>
      </c>
      <c r="C18" s="217">
        <f t="shared" si="2"/>
        <v>665</v>
      </c>
      <c r="D18" s="217">
        <f t="shared" si="3"/>
        <v>91</v>
      </c>
      <c r="E18" s="217">
        <f t="shared" si="4"/>
        <v>5</v>
      </c>
      <c r="F18" s="217">
        <f t="shared" si="6"/>
        <v>133</v>
      </c>
      <c r="G18" s="217">
        <f t="shared" si="5"/>
        <v>1</v>
      </c>
      <c r="H18" s="71">
        <f t="shared" si="5"/>
        <v>0</v>
      </c>
      <c r="J18" s="217">
        <f>+'2002'!$K$7</f>
        <v>5233.392011428572</v>
      </c>
      <c r="K18" s="217">
        <f>+'2002'!$K$8+'2002'!$K$9</f>
        <v>1522.6776705756931</v>
      </c>
      <c r="L18" s="217">
        <f>+'2002'!$K$10+'2002'!$K$11</f>
        <v>840.248927344782</v>
      </c>
      <c r="M18" s="217">
        <f>+'2002'!$K$12+'2002'!$K$13</f>
        <v>389.95</v>
      </c>
      <c r="N18" s="217">
        <f>+'2002'!$K$15</f>
        <v>14.629999999999999</v>
      </c>
      <c r="O18" s="217">
        <f>+'2002'!$K$14</f>
        <v>124.27</v>
      </c>
      <c r="P18" s="71">
        <v>0</v>
      </c>
      <c r="Q18" s="221">
        <f t="shared" si="0"/>
        <v>8125.168609349047</v>
      </c>
      <c r="R18" s="209"/>
      <c r="S18" s="122"/>
      <c r="T18" s="122"/>
      <c r="U18" s="122"/>
      <c r="V18" s="82"/>
      <c r="W18" s="82"/>
      <c r="X18" s="82"/>
    </row>
    <row r="19" spans="1:24" ht="15.75">
      <c r="A19" s="212" t="s">
        <v>46</v>
      </c>
      <c r="B19" s="217">
        <f t="shared" si="1"/>
        <v>5232</v>
      </c>
      <c r="C19" s="217">
        <f t="shared" si="2"/>
        <v>636</v>
      </c>
      <c r="D19" s="217">
        <f t="shared" si="3"/>
        <v>100</v>
      </c>
      <c r="E19" s="217">
        <f t="shared" si="4"/>
        <v>5</v>
      </c>
      <c r="F19" s="217">
        <f t="shared" si="6"/>
        <v>128</v>
      </c>
      <c r="G19" s="217">
        <f t="shared" si="5"/>
        <v>1</v>
      </c>
      <c r="H19" s="71">
        <f t="shared" si="5"/>
        <v>0</v>
      </c>
      <c r="J19" s="217">
        <f>+'2002'!$L$7</f>
        <v>5598.6741142857145</v>
      </c>
      <c r="K19" s="217">
        <f>+'2002'!$L$8+'2002'!$L$9</f>
        <v>1457.2252238805972</v>
      </c>
      <c r="L19" s="217">
        <f>+'2002'!$L$10+'2002'!$L$11</f>
        <v>920.1547820343461</v>
      </c>
      <c r="M19" s="217">
        <f>+'2002'!$L$12+'2002'!$L$13</f>
        <v>389.95</v>
      </c>
      <c r="N19" s="217">
        <f>+'2002'!$L$15</f>
        <v>14.08</v>
      </c>
      <c r="O19" s="217">
        <f>+'2002'!$L$14</f>
        <v>124.27</v>
      </c>
      <c r="P19" s="71">
        <v>0</v>
      </c>
      <c r="Q19" s="221">
        <f t="shared" si="0"/>
        <v>8504.354120200658</v>
      </c>
      <c r="R19" s="209"/>
      <c r="S19" s="122"/>
      <c r="T19" s="122"/>
      <c r="U19" s="122"/>
      <c r="V19" s="82"/>
      <c r="W19" s="82"/>
      <c r="X19" s="82"/>
    </row>
    <row r="20" spans="1:24" ht="15.75">
      <c r="A20" s="212" t="s">
        <v>47</v>
      </c>
      <c r="B20" s="217">
        <f t="shared" si="1"/>
        <v>5452</v>
      </c>
      <c r="C20" s="217">
        <f t="shared" si="2"/>
        <v>651</v>
      </c>
      <c r="D20" s="217">
        <f t="shared" si="3"/>
        <v>86</v>
      </c>
      <c r="E20" s="217">
        <f t="shared" si="4"/>
        <v>5</v>
      </c>
      <c r="F20" s="217">
        <f t="shared" si="6"/>
        <v>153</v>
      </c>
      <c r="G20" s="217">
        <f t="shared" si="5"/>
        <v>1</v>
      </c>
      <c r="H20" s="71">
        <f t="shared" si="5"/>
        <v>0</v>
      </c>
      <c r="J20" s="217">
        <f>+'2002'!$M$7</f>
        <v>5833.962834285714</v>
      </c>
      <c r="K20" s="217">
        <f>+'2002'!$M$8+'2002'!$M$9</f>
        <v>1491.8535394456294</v>
      </c>
      <c r="L20" s="217">
        <f>+'2002'!$M$10+'2002'!$M$11</f>
        <v>791.691072655218</v>
      </c>
      <c r="M20" s="217">
        <f>+'2002'!$M$12+'2002'!$M$13</f>
        <v>389.95</v>
      </c>
      <c r="N20" s="217">
        <f>+'2002'!$M$15</f>
        <v>16.880769230769232</v>
      </c>
      <c r="O20" s="217">
        <f>+'2002'!$M$14</f>
        <v>124.27</v>
      </c>
      <c r="P20" s="71">
        <v>0</v>
      </c>
      <c r="Q20" s="221">
        <f t="shared" si="0"/>
        <v>8648.60821561733</v>
      </c>
      <c r="R20" s="209"/>
      <c r="S20" s="122"/>
      <c r="T20" s="122"/>
      <c r="U20" s="122"/>
      <c r="V20" s="82"/>
      <c r="W20" s="82"/>
      <c r="X20" s="82"/>
    </row>
    <row r="21" spans="1:24" ht="15.75">
      <c r="A21" s="212" t="s">
        <v>53</v>
      </c>
      <c r="B21" s="217">
        <f t="shared" si="1"/>
        <v>7008</v>
      </c>
      <c r="C21" s="217">
        <f t="shared" si="2"/>
        <v>796</v>
      </c>
      <c r="D21" s="217">
        <f t="shared" si="3"/>
        <v>130</v>
      </c>
      <c r="E21" s="217">
        <f t="shared" si="4"/>
        <v>5</v>
      </c>
      <c r="F21" s="217">
        <f t="shared" si="6"/>
        <v>359</v>
      </c>
      <c r="G21" s="217">
        <f t="shared" si="5"/>
        <v>1</v>
      </c>
      <c r="H21" s="272">
        <f t="shared" si="5"/>
        <v>0</v>
      </c>
      <c r="J21" s="217">
        <f>+'2002'!$N$7+'2002'!$O$7</f>
        <v>7498.087977142857</v>
      </c>
      <c r="K21" s="217">
        <f>+'2002'!$N$8+'2002'!$N$9+'2002'!$O$8+'2002'!$O$9</f>
        <v>1821.7699411940303</v>
      </c>
      <c r="L21" s="217">
        <f>+'2002'!$N$10+'2002'!$N$11+'2002'!$O$10+'2002'!$O$11</f>
        <v>1201.5572206076617</v>
      </c>
      <c r="M21" s="217">
        <f>+'2002'!$N$12+'2002'!$N$13+'2002'!$O$12+'2002'!$O$13</f>
        <v>389.95</v>
      </c>
      <c r="N21" s="217">
        <f>+'2002'!$N$15+'2002'!$O$15</f>
        <v>39.52142857142857</v>
      </c>
      <c r="O21" s="217">
        <f>+'2002'!$N$14+'2002'!$O$14</f>
        <v>124.27</v>
      </c>
      <c r="P21" s="71">
        <v>0</v>
      </c>
      <c r="Q21" s="221">
        <f t="shared" si="0"/>
        <v>11075.156567515978</v>
      </c>
      <c r="R21" s="209"/>
      <c r="S21" s="122"/>
      <c r="T21" s="122"/>
      <c r="U21" s="122"/>
      <c r="V21" s="82"/>
      <c r="W21" s="82"/>
      <c r="X21" s="82"/>
    </row>
    <row r="22" spans="1:24" ht="16.5" thickBot="1">
      <c r="A22" s="75"/>
      <c r="B22" s="218">
        <f aca="true" t="shared" si="7" ref="B22:H22">SUM(B9:B21)</f>
        <v>53485</v>
      </c>
      <c r="C22" s="222">
        <f t="shared" si="7"/>
        <v>6989</v>
      </c>
      <c r="D22" s="210">
        <f t="shared" si="7"/>
        <v>974</v>
      </c>
      <c r="E22" s="222">
        <f t="shared" si="7"/>
        <v>52</v>
      </c>
      <c r="F22" s="214">
        <f t="shared" si="7"/>
        <v>1599</v>
      </c>
      <c r="G22" s="214">
        <f t="shared" si="7"/>
        <v>10</v>
      </c>
      <c r="H22" s="214">
        <f t="shared" si="7"/>
        <v>0</v>
      </c>
      <c r="J22" s="218">
        <f aca="true" t="shared" si="8" ref="J22:Q22">SUM(J8:J21)</f>
        <v>57230.331828571434</v>
      </c>
      <c r="K22" s="222">
        <f t="shared" si="8"/>
        <v>16006.505800341154</v>
      </c>
      <c r="L22" s="210">
        <f t="shared" si="8"/>
        <v>8976.77347688243</v>
      </c>
      <c r="M22" s="222">
        <f t="shared" si="8"/>
        <v>4055.479999999999</v>
      </c>
      <c r="N22" s="210">
        <f>SUM(N8:N21)</f>
        <v>175.89604395604394</v>
      </c>
      <c r="O22" s="210">
        <f>SUM(O8:O21)</f>
        <v>1201.2774791597199</v>
      </c>
      <c r="P22" s="210">
        <f t="shared" si="8"/>
        <v>0</v>
      </c>
      <c r="Q22" s="226">
        <f t="shared" si="8"/>
        <v>87646.2646289108</v>
      </c>
      <c r="R22" s="209"/>
      <c r="S22" s="82"/>
      <c r="T22" s="82"/>
      <c r="U22" s="82"/>
      <c r="V22" s="82"/>
      <c r="W22" s="82"/>
      <c r="X22" s="82"/>
    </row>
    <row r="23" spans="10:24" ht="15">
      <c r="J23" s="209"/>
      <c r="K23" s="209"/>
      <c r="L23" s="209"/>
      <c r="M23" s="209"/>
      <c r="N23" s="209"/>
      <c r="O23" s="209"/>
      <c r="P23" s="209"/>
      <c r="Q23" s="209">
        <f>SUM(J22:P22)-Q22</f>
        <v>0</v>
      </c>
      <c r="R23" s="209"/>
      <c r="S23" s="82"/>
      <c r="T23" s="82"/>
      <c r="U23" s="82"/>
      <c r="V23" s="82"/>
      <c r="W23" s="82"/>
      <c r="X23" s="82"/>
    </row>
    <row r="24" spans="10:18" ht="15.75" thickBot="1">
      <c r="J24" s="209"/>
      <c r="K24" s="209"/>
      <c r="L24" s="209"/>
      <c r="M24" s="209"/>
      <c r="N24" s="209"/>
      <c r="O24" s="209"/>
      <c r="P24" s="209"/>
      <c r="Q24" s="209"/>
      <c r="R24" s="209"/>
    </row>
    <row r="25" spans="1:17" ht="16.5" thickBot="1">
      <c r="A25" s="180"/>
      <c r="B25" s="440" t="s">
        <v>79</v>
      </c>
      <c r="C25" s="441"/>
      <c r="D25" s="441"/>
      <c r="E25" s="441"/>
      <c r="F25" s="441"/>
      <c r="G25" s="441"/>
      <c r="H25" s="443"/>
      <c r="I25" s="61"/>
      <c r="J25" s="440" t="s">
        <v>80</v>
      </c>
      <c r="K25" s="441"/>
      <c r="L25" s="441"/>
      <c r="M25" s="441"/>
      <c r="N25" s="441"/>
      <c r="O25" s="441"/>
      <c r="P25" s="441"/>
      <c r="Q25" s="443"/>
    </row>
    <row r="26" spans="1:17" ht="16.5" thickBot="1">
      <c r="A26" s="141">
        <v>2003</v>
      </c>
      <c r="B26" s="447" t="s">
        <v>77</v>
      </c>
      <c r="C26" s="445" t="s">
        <v>17</v>
      </c>
      <c r="D26" s="453" t="s">
        <v>136</v>
      </c>
      <c r="E26" s="455" t="s">
        <v>137</v>
      </c>
      <c r="F26" s="451" t="s">
        <v>135</v>
      </c>
      <c r="G26" s="449" t="s">
        <v>78</v>
      </c>
      <c r="H26" s="457" t="s">
        <v>138</v>
      </c>
      <c r="I26" s="118"/>
      <c r="J26" s="101" t="s">
        <v>77</v>
      </c>
      <c r="K26" s="195" t="s">
        <v>17</v>
      </c>
      <c r="L26" s="165" t="s">
        <v>136</v>
      </c>
      <c r="M26" s="199" t="s">
        <v>137</v>
      </c>
      <c r="N26" s="127" t="s">
        <v>135</v>
      </c>
      <c r="O26" s="276" t="s">
        <v>78</v>
      </c>
      <c r="P26" s="273" t="s">
        <v>138</v>
      </c>
      <c r="Q26" s="432" t="s">
        <v>18</v>
      </c>
    </row>
    <row r="27" spans="1:17" ht="16.5" thickBot="1">
      <c r="A27" s="70"/>
      <c r="B27" s="448"/>
      <c r="C27" s="446"/>
      <c r="D27" s="454"/>
      <c r="E27" s="456"/>
      <c r="F27" s="452"/>
      <c r="G27" s="450"/>
      <c r="H27" s="458"/>
      <c r="I27" s="82"/>
      <c r="J27" s="219">
        <v>1.07</v>
      </c>
      <c r="K27" s="223">
        <v>2.29</v>
      </c>
      <c r="L27" s="220">
        <v>9.22</v>
      </c>
      <c r="M27" s="225">
        <v>77.99</v>
      </c>
      <c r="N27" s="275">
        <v>0.11</v>
      </c>
      <c r="O27" s="277">
        <v>124.27</v>
      </c>
      <c r="P27" s="274">
        <v>2.29</v>
      </c>
      <c r="Q27" s="433"/>
    </row>
    <row r="28" spans="1:17" ht="15">
      <c r="A28" s="70"/>
      <c r="B28" s="61"/>
      <c r="C28" s="82"/>
      <c r="D28" s="61"/>
      <c r="E28" s="82"/>
      <c r="F28" s="61"/>
      <c r="G28" s="61"/>
      <c r="H28" s="61"/>
      <c r="I28" s="82"/>
      <c r="J28" s="215"/>
      <c r="K28" s="224"/>
      <c r="L28" s="216"/>
      <c r="M28" s="224"/>
      <c r="N28" s="216"/>
      <c r="O28" s="280"/>
      <c r="P28" s="216"/>
      <c r="Q28" s="61"/>
    </row>
    <row r="29" spans="1:17" ht="15.75">
      <c r="A29" s="212" t="s">
        <v>53</v>
      </c>
      <c r="B29" s="217">
        <f>+ROUND(J29/J$6,0)</f>
        <v>-7008</v>
      </c>
      <c r="C29" s="217">
        <f>+ROUND(K29/K$6,0)</f>
        <v>-796</v>
      </c>
      <c r="D29" s="217">
        <f>+ROUND(L29/L$6,0)</f>
        <v>-130</v>
      </c>
      <c r="E29" s="217">
        <f>+ROUND(M29/M$6,0)</f>
        <v>-5</v>
      </c>
      <c r="F29" s="217">
        <f>+ROUND(O29/O$6,0)</f>
        <v>-1</v>
      </c>
      <c r="G29" s="217"/>
      <c r="H29" s="71">
        <f>+ROUND(P29/P$6,0)</f>
        <v>0</v>
      </c>
      <c r="I29" s="82"/>
      <c r="J29" s="217">
        <f aca="true" t="shared" si="9" ref="J29:P29">-J21</f>
        <v>-7498.087977142857</v>
      </c>
      <c r="K29" s="217">
        <f t="shared" si="9"/>
        <v>-1821.7699411940303</v>
      </c>
      <c r="L29" s="217">
        <f t="shared" si="9"/>
        <v>-1201.5572206076617</v>
      </c>
      <c r="M29" s="217">
        <f t="shared" si="9"/>
        <v>-389.95</v>
      </c>
      <c r="N29" s="217">
        <f t="shared" si="9"/>
        <v>-39.52142857142857</v>
      </c>
      <c r="O29" s="217">
        <f t="shared" si="9"/>
        <v>-124.27</v>
      </c>
      <c r="P29" s="217">
        <f t="shared" si="9"/>
        <v>0</v>
      </c>
      <c r="Q29" s="221">
        <f>SUM(J29:P29)</f>
        <v>-11075.156567515978</v>
      </c>
    </row>
    <row r="30" spans="1:17" ht="15.75">
      <c r="A30" s="212" t="s">
        <v>36</v>
      </c>
      <c r="B30" s="217">
        <f aca="true" t="shared" si="10" ref="B30:B42">+ROUND(J30/J$6,0)</f>
        <v>6668</v>
      </c>
      <c r="C30" s="217">
        <f aca="true" t="shared" si="11" ref="C30:C42">+ROUND(K30/K$6,0)</f>
        <v>795</v>
      </c>
      <c r="D30" s="217">
        <f aca="true" t="shared" si="12" ref="D30:D42">+ROUND(L30/L$6,0)</f>
        <v>109</v>
      </c>
      <c r="E30" s="217">
        <f aca="true" t="shared" si="13" ref="E30:E42">+ROUND(M30/M$6,0)</f>
        <v>4</v>
      </c>
      <c r="F30" s="217">
        <f aca="true" t="shared" si="14" ref="F30:F42">+ROUND(O30/O$6,0)</f>
        <v>0</v>
      </c>
      <c r="G30" s="217"/>
      <c r="H30" s="71">
        <f aca="true" t="shared" si="15" ref="H30:H42">+ROUND(P30/P$6,0)</f>
        <v>0</v>
      </c>
      <c r="I30" s="82"/>
      <c r="J30" s="217">
        <f>+'2003'!$E$7</f>
        <v>7134.70744</v>
      </c>
      <c r="K30" s="217">
        <f>+'2003'!$E$8+'2003'!$E$9</f>
        <v>1821.6197525373136</v>
      </c>
      <c r="L30" s="217">
        <f>+'2003'!$E$11+'2003'!$E$10</f>
        <v>1002.5140977542934</v>
      </c>
      <c r="M30" s="217">
        <f>+'2003'!$E$13+'2003'!$E$12</f>
        <v>311.96</v>
      </c>
      <c r="N30" s="217">
        <f>+'2003'!$E$14</f>
        <v>124.27</v>
      </c>
      <c r="O30" s="217">
        <f>+'2003'!$E$15</f>
        <v>35.63362637362638</v>
      </c>
      <c r="P30" s="71">
        <v>0</v>
      </c>
      <c r="Q30" s="221">
        <f aca="true" t="shared" si="16" ref="Q30:Q42">SUM(J30:P30)</f>
        <v>10430.704916665234</v>
      </c>
    </row>
    <row r="31" spans="1:17" ht="15.75">
      <c r="A31" s="212" t="s">
        <v>37</v>
      </c>
      <c r="B31" s="217">
        <f t="shared" si="10"/>
        <v>5800</v>
      </c>
      <c r="C31" s="217">
        <f t="shared" si="11"/>
        <v>683</v>
      </c>
      <c r="D31" s="217">
        <f t="shared" si="12"/>
        <v>112</v>
      </c>
      <c r="E31" s="217">
        <f t="shared" si="13"/>
        <v>5</v>
      </c>
      <c r="F31" s="217">
        <f t="shared" si="14"/>
        <v>0</v>
      </c>
      <c r="G31" s="217"/>
      <c r="H31" s="71">
        <f t="shared" si="15"/>
        <v>0</v>
      </c>
      <c r="I31" s="82"/>
      <c r="J31" s="217">
        <f>+'2003'!$F$7</f>
        <v>6205.4805371428565</v>
      </c>
      <c r="K31" s="217">
        <f>+'2003'!$F$8+'2003'!$F$9</f>
        <v>1565.2001886567166</v>
      </c>
      <c r="L31" s="217">
        <f>+'2003'!$F$11+'2003'!$F$10</f>
        <v>1029.9631228533688</v>
      </c>
      <c r="M31" s="217">
        <f>+'2003'!$F$13+'2003'!$F$12</f>
        <v>389.95</v>
      </c>
      <c r="N31" s="217">
        <f>+'2003'!$F$14</f>
        <v>124.27</v>
      </c>
      <c r="O31" s="217">
        <f>+'2003'!$F$15</f>
        <v>15.937802197802197</v>
      </c>
      <c r="P31" s="71">
        <v>0</v>
      </c>
      <c r="Q31" s="221">
        <f t="shared" si="16"/>
        <v>9330.801650850746</v>
      </c>
    </row>
    <row r="32" spans="1:17" ht="15.75">
      <c r="A32" s="212" t="s">
        <v>38</v>
      </c>
      <c r="B32" s="217">
        <f t="shared" si="10"/>
        <v>5088</v>
      </c>
      <c r="C32" s="217">
        <f t="shared" si="11"/>
        <v>656</v>
      </c>
      <c r="D32" s="217">
        <f t="shared" si="12"/>
        <v>93</v>
      </c>
      <c r="E32" s="217">
        <f t="shared" si="13"/>
        <v>5</v>
      </c>
      <c r="F32" s="217">
        <f t="shared" si="14"/>
        <v>0</v>
      </c>
      <c r="G32" s="217"/>
      <c r="H32" s="71">
        <f t="shared" si="15"/>
        <v>0</v>
      </c>
      <c r="I32" s="82"/>
      <c r="J32" s="217">
        <f>+'2003'!$G$7</f>
        <v>5443.656925714285</v>
      </c>
      <c r="K32" s="217">
        <f>+'2003'!$G$8+'2003'!$G$9</f>
        <v>1502.1439872068233</v>
      </c>
      <c r="L32" s="217">
        <f>+'2003'!$G$11+'2003'!$G$10</f>
        <v>859.9200000000001</v>
      </c>
      <c r="M32" s="217">
        <f>+'2003'!$G$13+'2003'!$G$12</f>
        <v>389.95</v>
      </c>
      <c r="N32" s="217">
        <f>+'2003'!$G$14</f>
        <v>124.27</v>
      </c>
      <c r="O32" s="217">
        <f>+'2003'!$G$15</f>
        <v>15.29</v>
      </c>
      <c r="P32" s="71">
        <v>0</v>
      </c>
      <c r="Q32" s="221">
        <f t="shared" si="16"/>
        <v>8335.23091292111</v>
      </c>
    </row>
    <row r="33" spans="1:17" ht="15.75">
      <c r="A33" s="212" t="s">
        <v>39</v>
      </c>
      <c r="B33" s="217">
        <f t="shared" si="10"/>
        <v>5054</v>
      </c>
      <c r="C33" s="217">
        <f t="shared" si="11"/>
        <v>621</v>
      </c>
      <c r="D33" s="217">
        <f t="shared" si="12"/>
        <v>78</v>
      </c>
      <c r="E33" s="217">
        <f t="shared" si="13"/>
        <v>5</v>
      </c>
      <c r="F33" s="217">
        <f t="shared" si="14"/>
        <v>0</v>
      </c>
      <c r="G33" s="217"/>
      <c r="H33" s="71">
        <f t="shared" si="15"/>
        <v>0</v>
      </c>
      <c r="I33" s="82"/>
      <c r="J33" s="217">
        <f>+'2003'!$H$7</f>
        <v>5407.593542857143</v>
      </c>
      <c r="K33" s="217">
        <f>+'2003'!$H$8+'2003'!$H$9</f>
        <v>1422.0400000000002</v>
      </c>
      <c r="L33" s="217">
        <f>+'2003'!$H$11+'2003'!$H$10</f>
        <v>716.09</v>
      </c>
      <c r="M33" s="217">
        <f>+'2003'!$H$13+'2003'!$H$12</f>
        <v>389.95</v>
      </c>
      <c r="N33" s="217">
        <f>+'2003'!$H$14</f>
        <v>124.27</v>
      </c>
      <c r="O33" s="217">
        <f>+'2003'!$H$15</f>
        <v>16.28</v>
      </c>
      <c r="P33" s="71">
        <v>0</v>
      </c>
      <c r="Q33" s="221">
        <f t="shared" si="16"/>
        <v>8076.223542857143</v>
      </c>
    </row>
    <row r="34" spans="1:17" ht="15.75">
      <c r="A34" s="212" t="s">
        <v>40</v>
      </c>
      <c r="B34" s="217">
        <f t="shared" si="10"/>
        <v>6065</v>
      </c>
      <c r="C34" s="217">
        <f t="shared" si="11"/>
        <v>789</v>
      </c>
      <c r="D34" s="217">
        <f t="shared" si="12"/>
        <v>87</v>
      </c>
      <c r="E34" s="217">
        <f t="shared" si="13"/>
        <v>5</v>
      </c>
      <c r="F34" s="217">
        <f t="shared" si="14"/>
        <v>0</v>
      </c>
      <c r="G34" s="217"/>
      <c r="H34" s="71">
        <f t="shared" si="15"/>
        <v>0</v>
      </c>
      <c r="I34" s="82"/>
      <c r="J34" s="217">
        <f>+'2003'!$I$7</f>
        <v>6489.735954285714</v>
      </c>
      <c r="K34" s="217">
        <f>+'2003'!$I$8+'2003'!$I$9</f>
        <v>1806.01</v>
      </c>
      <c r="L34" s="217">
        <f>+'2003'!$I$11+'2003'!$I$10</f>
        <v>806.14</v>
      </c>
      <c r="M34" s="217">
        <f>+'2003'!$I$13+'2003'!$I$12</f>
        <v>389.95</v>
      </c>
      <c r="N34" s="217">
        <f>+'2003'!$I$14</f>
        <v>124.27</v>
      </c>
      <c r="O34" s="217">
        <f>+'2003'!$I$15</f>
        <v>16.36</v>
      </c>
      <c r="P34" s="71">
        <v>0</v>
      </c>
      <c r="Q34" s="221">
        <f t="shared" si="16"/>
        <v>9632.465954285715</v>
      </c>
    </row>
    <row r="35" spans="1:17" ht="15.75">
      <c r="A35" s="212" t="s">
        <v>41</v>
      </c>
      <c r="B35" s="217">
        <f t="shared" si="10"/>
        <v>5041</v>
      </c>
      <c r="C35" s="217">
        <f t="shared" si="11"/>
        <v>625</v>
      </c>
      <c r="D35" s="217">
        <f t="shared" si="12"/>
        <v>71</v>
      </c>
      <c r="E35" s="217">
        <f t="shared" si="13"/>
        <v>5</v>
      </c>
      <c r="F35" s="217">
        <f t="shared" si="14"/>
        <v>0</v>
      </c>
      <c r="G35" s="217"/>
      <c r="H35" s="71">
        <f t="shared" si="15"/>
        <v>0</v>
      </c>
      <c r="I35" s="82"/>
      <c r="J35" s="217">
        <f>+'2003'!$J$7</f>
        <v>5394.286354285714</v>
      </c>
      <c r="K35" s="217">
        <f>+'2003'!$J$8+'2003'!$J$9</f>
        <v>1431.831433901919</v>
      </c>
      <c r="L35" s="217">
        <f>+'2003'!$J$11+'2003'!$J$10</f>
        <v>652.17</v>
      </c>
      <c r="M35" s="217">
        <f>+'2003'!$J$13+'2003'!$J$12</f>
        <v>389.95</v>
      </c>
      <c r="N35" s="217">
        <f>+'2003'!$J$14</f>
        <v>124.27</v>
      </c>
      <c r="O35" s="217">
        <f>+'2003'!$J$15</f>
        <v>15.636043956043956</v>
      </c>
      <c r="P35" s="71">
        <v>0</v>
      </c>
      <c r="Q35" s="221">
        <f t="shared" si="16"/>
        <v>8008.143832143677</v>
      </c>
    </row>
    <row r="36" spans="1:17" ht="15.75">
      <c r="A36" s="212" t="s">
        <v>42</v>
      </c>
      <c r="B36" s="217">
        <f t="shared" si="10"/>
        <v>5366</v>
      </c>
      <c r="C36" s="217">
        <f t="shared" si="11"/>
        <v>693</v>
      </c>
      <c r="D36" s="217">
        <f t="shared" si="12"/>
        <v>77</v>
      </c>
      <c r="E36" s="217">
        <f t="shared" si="13"/>
        <v>5</v>
      </c>
      <c r="F36" s="217">
        <f t="shared" si="14"/>
        <v>0</v>
      </c>
      <c r="G36" s="217"/>
      <c r="H36" s="71">
        <f t="shared" si="15"/>
        <v>0</v>
      </c>
      <c r="I36" s="82"/>
      <c r="J36" s="217">
        <f>+'2003'!$K$7</f>
        <v>5741.460685714285</v>
      </c>
      <c r="K36" s="217">
        <f>+'2003'!$K$8+'2003'!$K$9</f>
        <v>1586.6086993603415</v>
      </c>
      <c r="L36" s="217">
        <f>+'2003'!$K$11+'2003'!$K$10</f>
        <v>711.47</v>
      </c>
      <c r="M36" s="217">
        <f>+'2003'!$K$13+'2003'!$K$12</f>
        <v>389.95</v>
      </c>
      <c r="N36" s="217">
        <f>+'2003'!$K$14</f>
        <v>124.27</v>
      </c>
      <c r="O36" s="217">
        <f>+'2003'!$K$15</f>
        <v>15.849999999999998</v>
      </c>
      <c r="P36" s="71">
        <v>0</v>
      </c>
      <c r="Q36" s="221">
        <f t="shared" si="16"/>
        <v>8569.609385074627</v>
      </c>
    </row>
    <row r="37" spans="1:17" ht="15.75">
      <c r="A37" s="212" t="s">
        <v>43</v>
      </c>
      <c r="B37" s="217">
        <f t="shared" si="10"/>
        <v>5328</v>
      </c>
      <c r="C37" s="217">
        <f t="shared" si="11"/>
        <v>695</v>
      </c>
      <c r="D37" s="217">
        <f t="shared" si="12"/>
        <v>78</v>
      </c>
      <c r="E37" s="217">
        <f t="shared" si="13"/>
        <v>5</v>
      </c>
      <c r="F37" s="217">
        <f t="shared" si="14"/>
        <v>0</v>
      </c>
      <c r="G37" s="217"/>
      <c r="H37" s="71">
        <f t="shared" si="15"/>
        <v>0</v>
      </c>
      <c r="I37" s="82"/>
      <c r="J37" s="217">
        <f>+'2003'!$L$7</f>
        <v>5701.49</v>
      </c>
      <c r="K37" s="217">
        <f>+'2003'!$L$8+'2003'!$L$9</f>
        <v>1591.66</v>
      </c>
      <c r="L37" s="217">
        <f>+'2003'!$L$11+'2003'!$L$10</f>
        <v>719.16</v>
      </c>
      <c r="M37" s="217">
        <f>+'2003'!$L$13+'2003'!$L$12</f>
        <v>389.95</v>
      </c>
      <c r="N37" s="217">
        <f>+'2003'!$L$14</f>
        <v>124.27</v>
      </c>
      <c r="O37" s="217">
        <f>+'2003'!$L$15</f>
        <v>15.989999999999998</v>
      </c>
      <c r="P37" s="71">
        <v>0</v>
      </c>
      <c r="Q37" s="221">
        <f t="shared" si="16"/>
        <v>8542.52</v>
      </c>
    </row>
    <row r="38" spans="1:17" ht="15.75">
      <c r="A38" s="212" t="s">
        <v>44</v>
      </c>
      <c r="B38" s="217">
        <f t="shared" si="10"/>
        <v>5364</v>
      </c>
      <c r="C38" s="217">
        <f t="shared" si="11"/>
        <v>690</v>
      </c>
      <c r="D38" s="217">
        <f t="shared" si="12"/>
        <v>76</v>
      </c>
      <c r="E38" s="217">
        <f t="shared" si="13"/>
        <v>5</v>
      </c>
      <c r="F38" s="217">
        <f t="shared" si="14"/>
        <v>0</v>
      </c>
      <c r="G38" s="217"/>
      <c r="H38" s="71">
        <f t="shared" si="15"/>
        <v>0</v>
      </c>
      <c r="I38" s="82"/>
      <c r="J38" s="217">
        <f>+'2003'!$M$7</f>
        <v>5739.798537142857</v>
      </c>
      <c r="K38" s="217">
        <f>+'2003'!$M$8+'2003'!$M$9</f>
        <v>1579.76</v>
      </c>
      <c r="L38" s="217">
        <f>+'2003'!$M$11+'2003'!$M$10</f>
        <v>701.3300000000002</v>
      </c>
      <c r="M38" s="217">
        <f>+'2003'!$M$13+'2003'!$M$12</f>
        <v>389.95</v>
      </c>
      <c r="N38" s="217">
        <f>+'2003'!$M$14</f>
        <v>124.27</v>
      </c>
      <c r="O38" s="217">
        <f>+'2003'!$M$15</f>
        <v>15.91</v>
      </c>
      <c r="P38" s="71">
        <v>0</v>
      </c>
      <c r="Q38" s="221">
        <f t="shared" si="16"/>
        <v>8551.018537142858</v>
      </c>
    </row>
    <row r="39" spans="1:17" ht="15.75">
      <c r="A39" s="212" t="s">
        <v>45</v>
      </c>
      <c r="B39" s="217">
        <f t="shared" si="10"/>
        <v>5406</v>
      </c>
      <c r="C39" s="217">
        <f t="shared" si="11"/>
        <v>698</v>
      </c>
      <c r="D39" s="217">
        <f t="shared" si="12"/>
        <v>78</v>
      </c>
      <c r="E39" s="217">
        <f t="shared" si="13"/>
        <v>5</v>
      </c>
      <c r="F39" s="217">
        <f t="shared" si="14"/>
        <v>0</v>
      </c>
      <c r="G39" s="217"/>
      <c r="H39" s="71">
        <f t="shared" si="15"/>
        <v>0</v>
      </c>
      <c r="I39" s="82"/>
      <c r="J39" s="217">
        <f>+'2003'!$N$7</f>
        <v>5784.45</v>
      </c>
      <c r="K39" s="217">
        <f>+'2003'!$N$8+'2003'!$N$9</f>
        <v>1597.4000000000003</v>
      </c>
      <c r="L39" s="217">
        <f>+'2003'!$N$11+'2003'!$N$10</f>
        <v>719.4700000000001</v>
      </c>
      <c r="M39" s="217">
        <f>+'2003'!$N$13+'2003'!$N$12</f>
        <v>389.95</v>
      </c>
      <c r="N39" s="217">
        <f>+'2003'!$N$14</f>
        <v>124.27</v>
      </c>
      <c r="O39" s="217">
        <f>+'2003'!$N$15</f>
        <v>15.989999999999998</v>
      </c>
      <c r="P39" s="71">
        <v>0</v>
      </c>
      <c r="Q39" s="221">
        <f t="shared" si="16"/>
        <v>8631.53</v>
      </c>
    </row>
    <row r="40" spans="1:17" ht="15.75">
      <c r="A40" s="212" t="s">
        <v>46</v>
      </c>
      <c r="B40" s="217">
        <f t="shared" si="10"/>
        <v>5056</v>
      </c>
      <c r="C40" s="217">
        <f t="shared" si="11"/>
        <v>677</v>
      </c>
      <c r="D40" s="217">
        <f t="shared" si="12"/>
        <v>71</v>
      </c>
      <c r="E40" s="217">
        <f t="shared" si="13"/>
        <v>5</v>
      </c>
      <c r="F40" s="217">
        <f t="shared" si="14"/>
        <v>0</v>
      </c>
      <c r="G40" s="217"/>
      <c r="H40" s="71">
        <f t="shared" si="15"/>
        <v>0</v>
      </c>
      <c r="I40" s="82"/>
      <c r="J40" s="217">
        <f>+'2003'!$O$7</f>
        <v>5410.0199999999995</v>
      </c>
      <c r="K40" s="217">
        <f>+'2003'!$O$8+'2003'!$O$9</f>
        <v>1550.97</v>
      </c>
      <c r="L40" s="217">
        <f>+'2003'!$O$11+'2003'!$O$10</f>
        <v>654.6200000000001</v>
      </c>
      <c r="M40" s="217">
        <f>+'2003'!$O$13+'2003'!$O$12</f>
        <v>389.95</v>
      </c>
      <c r="N40" s="217">
        <f>+'2003'!$O$14</f>
        <v>124.27</v>
      </c>
      <c r="O40" s="217">
        <f>+'2003'!$O$15</f>
        <v>15.620000000000001</v>
      </c>
      <c r="P40" s="71">
        <v>0</v>
      </c>
      <c r="Q40" s="221">
        <f t="shared" si="16"/>
        <v>8145.45</v>
      </c>
    </row>
    <row r="41" spans="1:17" ht="15.75">
      <c r="A41" s="212" t="s">
        <v>47</v>
      </c>
      <c r="B41" s="217">
        <f t="shared" si="10"/>
        <v>5403</v>
      </c>
      <c r="C41" s="217">
        <f t="shared" si="11"/>
        <v>693</v>
      </c>
      <c r="D41" s="217">
        <f t="shared" si="12"/>
        <v>79</v>
      </c>
      <c r="E41" s="217">
        <f t="shared" si="13"/>
        <v>5</v>
      </c>
      <c r="F41" s="217">
        <f t="shared" si="14"/>
        <v>0</v>
      </c>
      <c r="G41" s="217"/>
      <c r="H41" s="71">
        <f t="shared" si="15"/>
        <v>0</v>
      </c>
      <c r="I41" s="82"/>
      <c r="J41" s="217">
        <f>+'2003'!$P$7</f>
        <v>5781.57</v>
      </c>
      <c r="K41" s="217">
        <f>+'2003'!$P$8+'2003'!$P$9</f>
        <v>1587.76</v>
      </c>
      <c r="L41" s="217">
        <f>+'2003'!$P$11+'2003'!$P$10</f>
        <v>724.0800000000002</v>
      </c>
      <c r="M41" s="217">
        <f>+'2003'!$P$13+'2003'!$P$12</f>
        <v>389.95</v>
      </c>
      <c r="N41" s="217">
        <f>+'2003'!$P$14</f>
        <v>124.27</v>
      </c>
      <c r="O41" s="217">
        <f>+'2003'!$P$15</f>
        <v>18.25</v>
      </c>
      <c r="P41" s="71">
        <v>0</v>
      </c>
      <c r="Q41" s="221">
        <f t="shared" si="16"/>
        <v>8625.880000000001</v>
      </c>
    </row>
    <row r="42" spans="1:17" ht="15.75">
      <c r="A42" s="212" t="s">
        <v>53</v>
      </c>
      <c r="B42" s="217">
        <f t="shared" si="10"/>
        <v>4955</v>
      </c>
      <c r="C42" s="217">
        <f t="shared" si="11"/>
        <v>593</v>
      </c>
      <c r="D42" s="217">
        <f t="shared" si="12"/>
        <v>77</v>
      </c>
      <c r="E42" s="217">
        <f t="shared" si="13"/>
        <v>5</v>
      </c>
      <c r="F42" s="217">
        <f t="shared" si="14"/>
        <v>0</v>
      </c>
      <c r="G42" s="217"/>
      <c r="H42" s="71">
        <f t="shared" si="15"/>
        <v>0</v>
      </c>
      <c r="I42" s="82"/>
      <c r="J42" s="217">
        <f>+'2003'!$Q$7+'2003'!$R$7</f>
        <v>5301.45</v>
      </c>
      <c r="K42" s="217">
        <f>+'2003'!$Q$8+'2003'!$R$8+'2003'!$Q$9+'2003'!$R$9</f>
        <v>1358.29</v>
      </c>
      <c r="L42" s="217">
        <f>+'2003'!$Q$11+'2003'!$R$11+'2003'!$Q$10+'2003'!$R$10</f>
        <v>710.9800000000001</v>
      </c>
      <c r="M42" s="217">
        <f>+'2003'!$Q$13+'2003'!$R$13+'2003'!$Q$12+'2003'!$R$12</f>
        <v>389.94999999999993</v>
      </c>
      <c r="N42" s="217">
        <f>+'2003'!$Q$14+'2003'!$R$14</f>
        <v>128.41</v>
      </c>
      <c r="O42" s="217">
        <f>+'2003'!$Q$15+'2003'!$R$15</f>
        <v>31.669999999999998</v>
      </c>
      <c r="P42" s="71">
        <v>0</v>
      </c>
      <c r="Q42" s="221">
        <f t="shared" si="16"/>
        <v>7920.75</v>
      </c>
    </row>
    <row r="43" spans="1:17" ht="16.5" thickBot="1">
      <c r="A43" s="75"/>
      <c r="B43" s="222">
        <f>SUM(B29:B42)</f>
        <v>63586</v>
      </c>
      <c r="C43" s="210">
        <f>SUM(C29:C42)</f>
        <v>8112</v>
      </c>
      <c r="D43" s="222">
        <f>SUM(D29:D42)</f>
        <v>956</v>
      </c>
      <c r="E43" s="210">
        <f>SUM(E29:E42)</f>
        <v>59</v>
      </c>
      <c r="F43" s="222">
        <f>SUM(F29:F42)</f>
        <v>-1</v>
      </c>
      <c r="G43" s="222"/>
      <c r="H43" s="222">
        <f>SUM(H29:H42)</f>
        <v>0</v>
      </c>
      <c r="I43" s="61"/>
      <c r="J43" s="218">
        <f aca="true" t="shared" si="17" ref="J43:Q43">SUM(J29:J42)</f>
        <v>68037.612</v>
      </c>
      <c r="K43" s="222">
        <f t="shared" si="17"/>
        <v>18579.524120469083</v>
      </c>
      <c r="L43" s="210">
        <f t="shared" si="17"/>
        <v>8806.35</v>
      </c>
      <c r="M43" s="222">
        <f t="shared" si="17"/>
        <v>4601.409999999999</v>
      </c>
      <c r="N43" s="210">
        <f t="shared" si="17"/>
        <v>1580.1285714285714</v>
      </c>
      <c r="O43" s="210">
        <f t="shared" si="17"/>
        <v>120.14747252747253</v>
      </c>
      <c r="P43" s="210">
        <f t="shared" si="17"/>
        <v>0</v>
      </c>
      <c r="Q43" s="226">
        <f t="shared" si="17"/>
        <v>101725.17216442512</v>
      </c>
    </row>
    <row r="44" spans="10:17" ht="15">
      <c r="J44" s="209"/>
      <c r="K44" s="209"/>
      <c r="L44" s="209"/>
      <c r="M44" s="209"/>
      <c r="N44" s="209"/>
      <c r="O44" s="209"/>
      <c r="P44" s="209"/>
      <c r="Q44" s="209">
        <f>SUM(J43:P43)-Q43</f>
        <v>0</v>
      </c>
    </row>
    <row r="45" ht="15.75" thickBot="1"/>
    <row r="46" spans="1:17" ht="16.5" thickBot="1">
      <c r="A46" s="180"/>
      <c r="B46" s="440" t="s">
        <v>79</v>
      </c>
      <c r="C46" s="441"/>
      <c r="D46" s="441"/>
      <c r="E46" s="441"/>
      <c r="F46" s="441"/>
      <c r="G46" s="441"/>
      <c r="H46" s="443"/>
      <c r="I46" s="61"/>
      <c r="J46" s="440" t="s">
        <v>80</v>
      </c>
      <c r="K46" s="441"/>
      <c r="L46" s="441"/>
      <c r="M46" s="441"/>
      <c r="N46" s="441"/>
      <c r="O46" s="441"/>
      <c r="P46" s="441"/>
      <c r="Q46" s="443"/>
    </row>
    <row r="47" spans="1:17" ht="16.5" thickBot="1">
      <c r="A47" s="141">
        <v>2004</v>
      </c>
      <c r="B47" s="447" t="s">
        <v>77</v>
      </c>
      <c r="C47" s="445" t="s">
        <v>17</v>
      </c>
      <c r="D47" s="453" t="s">
        <v>136</v>
      </c>
      <c r="E47" s="455" t="s">
        <v>137</v>
      </c>
      <c r="F47" s="451" t="s">
        <v>135</v>
      </c>
      <c r="G47" s="449" t="s">
        <v>78</v>
      </c>
      <c r="H47" s="457" t="s">
        <v>138</v>
      </c>
      <c r="I47" s="118"/>
      <c r="J47" s="101" t="s">
        <v>77</v>
      </c>
      <c r="K47" s="195" t="s">
        <v>17</v>
      </c>
      <c r="L47" s="165" t="s">
        <v>136</v>
      </c>
      <c r="M47" s="199" t="s">
        <v>137</v>
      </c>
      <c r="N47" s="127" t="s">
        <v>135</v>
      </c>
      <c r="O47" s="276" t="s">
        <v>78</v>
      </c>
      <c r="P47" s="273" t="s">
        <v>138</v>
      </c>
      <c r="Q47" s="432" t="s">
        <v>18</v>
      </c>
    </row>
    <row r="48" spans="1:17" ht="16.5" thickBot="1">
      <c r="A48" s="70"/>
      <c r="B48" s="448"/>
      <c r="C48" s="446"/>
      <c r="D48" s="454"/>
      <c r="E48" s="456"/>
      <c r="F48" s="452"/>
      <c r="G48" s="450"/>
      <c r="H48" s="458"/>
      <c r="I48" s="82"/>
      <c r="J48" s="219">
        <v>1.07</v>
      </c>
      <c r="K48" s="223">
        <v>2.29</v>
      </c>
      <c r="L48" s="220">
        <v>9.22</v>
      </c>
      <c r="M48" s="225">
        <v>77.99</v>
      </c>
      <c r="N48" s="275">
        <v>0.11</v>
      </c>
      <c r="O48" s="277">
        <v>124.27</v>
      </c>
      <c r="P48" s="274">
        <v>2.29</v>
      </c>
      <c r="Q48" s="433"/>
    </row>
    <row r="49" spans="1:17" ht="15">
      <c r="A49" s="70"/>
      <c r="B49" s="61"/>
      <c r="C49" s="82"/>
      <c r="D49" s="61"/>
      <c r="E49" s="82"/>
      <c r="F49" s="61"/>
      <c r="G49" s="61"/>
      <c r="H49" s="61"/>
      <c r="I49" s="82"/>
      <c r="J49" s="215"/>
      <c r="K49" s="224"/>
      <c r="L49" s="216"/>
      <c r="M49" s="224"/>
      <c r="N49" s="216"/>
      <c r="O49" s="280"/>
      <c r="P49" s="216"/>
      <c r="Q49" s="61"/>
    </row>
    <row r="50" spans="1:17" ht="15.75">
      <c r="A50" s="212" t="s">
        <v>53</v>
      </c>
      <c r="B50" s="217">
        <f aca="true" t="shared" si="18" ref="B50:B63">+ROUND(J50/J$6,0)</f>
        <v>-4955</v>
      </c>
      <c r="C50" s="217">
        <f aca="true" t="shared" si="19" ref="C50:C63">+ROUND(K50/K$6,0)</f>
        <v>-593</v>
      </c>
      <c r="D50" s="217">
        <f aca="true" t="shared" si="20" ref="D50:D63">+ROUND(L50/L$6,0)</f>
        <v>-77</v>
      </c>
      <c r="E50" s="217">
        <f aca="true" t="shared" si="21" ref="E50:E63">+ROUND(M50/M$6,0)</f>
        <v>-5</v>
      </c>
      <c r="F50" s="217">
        <f aca="true" t="shared" si="22" ref="F50:F63">+ROUND(O50/O$6,0)</f>
        <v>0</v>
      </c>
      <c r="G50" s="217"/>
      <c r="H50" s="71">
        <f aca="true" t="shared" si="23" ref="H50:H63">+ROUND(P50/P$6,0)</f>
        <v>0</v>
      </c>
      <c r="I50" s="82"/>
      <c r="J50" s="217">
        <f>-J42</f>
        <v>-5301.45</v>
      </c>
      <c r="K50" s="217">
        <f aca="true" t="shared" si="24" ref="K50:P50">-K42</f>
        <v>-1358.29</v>
      </c>
      <c r="L50" s="217">
        <f t="shared" si="24"/>
        <v>-710.9800000000001</v>
      </c>
      <c r="M50" s="217">
        <f t="shared" si="24"/>
        <v>-389.94999999999993</v>
      </c>
      <c r="N50" s="217">
        <f t="shared" si="24"/>
        <v>-128.41</v>
      </c>
      <c r="O50" s="217">
        <f t="shared" si="24"/>
        <v>-31.669999999999998</v>
      </c>
      <c r="P50" s="217">
        <f t="shared" si="24"/>
        <v>0</v>
      </c>
      <c r="Q50" s="221">
        <f>SUM(J50:P50)</f>
        <v>-7920.75</v>
      </c>
    </row>
    <row r="51" spans="1:17" ht="15.75">
      <c r="A51" s="212" t="s">
        <v>36</v>
      </c>
      <c r="B51" s="217">
        <f t="shared" si="18"/>
        <v>4862</v>
      </c>
      <c r="C51" s="217">
        <f t="shared" si="19"/>
        <v>626</v>
      </c>
      <c r="D51" s="217">
        <f t="shared" si="20"/>
        <v>74</v>
      </c>
      <c r="E51" s="217">
        <f t="shared" si="21"/>
        <v>5</v>
      </c>
      <c r="F51" s="217">
        <f t="shared" si="22"/>
        <v>0</v>
      </c>
      <c r="G51" s="217"/>
      <c r="H51" s="71">
        <f t="shared" si="23"/>
        <v>0</v>
      </c>
      <c r="I51" s="82"/>
      <c r="J51" s="217">
        <f>+'2004'!$E$7</f>
        <v>5202.859999999999</v>
      </c>
      <c r="K51" s="217">
        <f>+'2004'!$E$8+'2004'!$E$9</f>
        <v>1434.4499999999998</v>
      </c>
      <c r="L51" s="217">
        <f>+'2004'!$E$11+'2004'!$E$10</f>
        <v>679.2100000000002</v>
      </c>
      <c r="M51" s="217">
        <f>+'2004'!$E$13+'2004'!$E$12</f>
        <v>389.94999999999993</v>
      </c>
      <c r="N51" s="217">
        <f>+'2004'!$E$14</f>
        <v>128.41</v>
      </c>
      <c r="O51" s="71">
        <f>+'2004'!$E$15</f>
        <v>34.11</v>
      </c>
      <c r="P51" s="72">
        <v>0</v>
      </c>
      <c r="Q51" s="221">
        <f aca="true" t="shared" si="25" ref="Q51:Q63">SUM(J51:P51)</f>
        <v>7868.989999999998</v>
      </c>
    </row>
    <row r="52" spans="1:17" ht="15.75">
      <c r="A52" s="212" t="s">
        <v>37</v>
      </c>
      <c r="B52" s="217">
        <f t="shared" si="18"/>
        <v>5186</v>
      </c>
      <c r="C52" s="217">
        <f t="shared" si="19"/>
        <v>657</v>
      </c>
      <c r="D52" s="217">
        <f t="shared" si="20"/>
        <v>76</v>
      </c>
      <c r="E52" s="217">
        <f t="shared" si="21"/>
        <v>5</v>
      </c>
      <c r="F52" s="217">
        <f t="shared" si="22"/>
        <v>0</v>
      </c>
      <c r="G52" s="217"/>
      <c r="H52" s="71">
        <f t="shared" si="23"/>
        <v>0</v>
      </c>
      <c r="I52" s="82"/>
      <c r="J52" s="217">
        <f>+'2004'!$F$7</f>
        <v>5549.349999999999</v>
      </c>
      <c r="K52" s="217">
        <f>+'2004'!$F$8+'2004'!$F$9</f>
        <v>1504.9499999999998</v>
      </c>
      <c r="L52" s="217">
        <f>+'2004'!$F$11+'2004'!$F$10</f>
        <v>703.7900000000002</v>
      </c>
      <c r="M52" s="217">
        <f>+'2004'!$F$13+'2004'!$F$12</f>
        <v>389.94999999999993</v>
      </c>
      <c r="N52" s="217">
        <f>+'2004'!$F$14</f>
        <v>124.27</v>
      </c>
      <c r="O52" s="71">
        <f>+'2004'!$F$15</f>
        <v>10.06</v>
      </c>
      <c r="P52" s="72">
        <v>0</v>
      </c>
      <c r="Q52" s="221">
        <f t="shared" si="25"/>
        <v>8282.369999999999</v>
      </c>
    </row>
    <row r="53" spans="1:17" ht="15.75">
      <c r="A53" s="212" t="s">
        <v>38</v>
      </c>
      <c r="B53" s="217">
        <f t="shared" si="18"/>
        <v>6123</v>
      </c>
      <c r="C53" s="217">
        <f t="shared" si="19"/>
        <v>779</v>
      </c>
      <c r="D53" s="217">
        <f t="shared" si="20"/>
        <v>83</v>
      </c>
      <c r="E53" s="217">
        <f t="shared" si="21"/>
        <v>5</v>
      </c>
      <c r="F53" s="217">
        <f t="shared" si="22"/>
        <v>0</v>
      </c>
      <c r="G53" s="217"/>
      <c r="H53" s="71">
        <f t="shared" si="23"/>
        <v>0</v>
      </c>
      <c r="I53" s="82"/>
      <c r="J53" s="217">
        <f>+'2004'!$G$7</f>
        <v>6551.619999999999</v>
      </c>
      <c r="K53" s="217">
        <f>+'2004'!$G$8+'2004'!$G$9</f>
        <v>1783.4399999999996</v>
      </c>
      <c r="L53" s="217">
        <f>+'2004'!$G$11+'2004'!$G$10</f>
        <v>765.5700000000003</v>
      </c>
      <c r="M53" s="217">
        <f>+'2004'!$G$13+'2004'!$G$12</f>
        <v>389.94999999999993</v>
      </c>
      <c r="N53" s="217">
        <f>+'2004'!$G$14</f>
        <v>124.27</v>
      </c>
      <c r="O53" s="71">
        <f>+'2004'!$G$15</f>
        <v>17.71</v>
      </c>
      <c r="P53" s="72">
        <v>0</v>
      </c>
      <c r="Q53" s="221">
        <f t="shared" si="25"/>
        <v>9632.559999999998</v>
      </c>
    </row>
    <row r="54" spans="1:17" ht="15.75">
      <c r="A54" s="212" t="s">
        <v>39</v>
      </c>
      <c r="B54" s="217">
        <f t="shared" si="18"/>
        <v>3311</v>
      </c>
      <c r="C54" s="217">
        <f t="shared" si="19"/>
        <v>466</v>
      </c>
      <c r="D54" s="217">
        <f t="shared" si="20"/>
        <v>53</v>
      </c>
      <c r="E54" s="217">
        <f t="shared" si="21"/>
        <v>5</v>
      </c>
      <c r="F54" s="217">
        <f t="shared" si="22"/>
        <v>0</v>
      </c>
      <c r="G54" s="217"/>
      <c r="H54" s="71">
        <f t="shared" si="23"/>
        <v>0</v>
      </c>
      <c r="I54" s="82"/>
      <c r="J54" s="217">
        <f>+'2004'!$H$7</f>
        <v>3543.1300000000006</v>
      </c>
      <c r="K54" s="217">
        <f>+'2004'!$H$8+'2004'!$H$9</f>
        <v>1066.32</v>
      </c>
      <c r="L54" s="217">
        <f>+'2004'!$H$11+'2004'!$H$10</f>
        <v>489.37</v>
      </c>
      <c r="M54" s="217">
        <f>+'2004'!$H$13+'2004'!$H$12</f>
        <v>389.94999999999993</v>
      </c>
      <c r="N54" s="217">
        <f>+'2004'!$H$14</f>
        <v>124.27</v>
      </c>
      <c r="O54" s="71">
        <f>+'2004'!$H$15</f>
        <v>11.46</v>
      </c>
      <c r="P54" s="72">
        <v>0</v>
      </c>
      <c r="Q54" s="221">
        <f t="shared" si="25"/>
        <v>5624.500000000001</v>
      </c>
    </row>
    <row r="55" spans="1:17" ht="15.75">
      <c r="A55" s="212" t="s">
        <v>40</v>
      </c>
      <c r="B55" s="217">
        <f t="shared" si="18"/>
        <v>1607</v>
      </c>
      <c r="C55" s="217">
        <f t="shared" si="19"/>
        <v>156</v>
      </c>
      <c r="D55" s="217">
        <f t="shared" si="20"/>
        <v>22</v>
      </c>
      <c r="E55" s="217">
        <f t="shared" si="21"/>
        <v>5</v>
      </c>
      <c r="F55" s="217">
        <f t="shared" si="22"/>
        <v>0</v>
      </c>
      <c r="G55" s="217"/>
      <c r="H55" s="71">
        <f t="shared" si="23"/>
        <v>0</v>
      </c>
      <c r="I55" s="82"/>
      <c r="J55" s="217">
        <f>+'2004'!$I$7</f>
        <v>1719.96</v>
      </c>
      <c r="K55" s="217">
        <f>+'2004'!$I$8+'2004'!$I$9</f>
        <v>358.19</v>
      </c>
      <c r="L55" s="217">
        <f>+'2004'!$I$11+'2004'!$I$10</f>
        <v>198.74</v>
      </c>
      <c r="M55" s="217">
        <f>+'2004'!$I$13+'2004'!$I$12</f>
        <v>389.95</v>
      </c>
      <c r="N55" s="217">
        <f>+'2004'!$I$14</f>
        <v>0</v>
      </c>
      <c r="O55" s="71">
        <f>+'2004'!$I$15</f>
        <v>5.87</v>
      </c>
      <c r="P55" s="72">
        <v>0</v>
      </c>
      <c r="Q55" s="221">
        <f t="shared" si="25"/>
        <v>2672.71</v>
      </c>
    </row>
    <row r="56" spans="1:17" ht="15.75">
      <c r="A56" s="212" t="s">
        <v>41</v>
      </c>
      <c r="B56" s="217">
        <f t="shared" si="18"/>
        <v>1</v>
      </c>
      <c r="C56" s="217">
        <f t="shared" si="19"/>
        <v>0</v>
      </c>
      <c r="D56" s="217">
        <f t="shared" si="20"/>
        <v>0</v>
      </c>
      <c r="E56" s="217">
        <f t="shared" si="21"/>
        <v>0</v>
      </c>
      <c r="F56" s="217">
        <f t="shared" si="22"/>
        <v>0</v>
      </c>
      <c r="G56" s="217"/>
      <c r="H56" s="71">
        <f t="shared" si="23"/>
        <v>0</v>
      </c>
      <c r="I56" s="82"/>
      <c r="J56" s="217">
        <f>+'2004'!$J$7</f>
        <v>0.76</v>
      </c>
      <c r="K56" s="217">
        <f>+'2004'!$J$8+'2004'!$J$9</f>
        <v>-0.33</v>
      </c>
      <c r="L56" s="217">
        <f>+'2004'!$J$11+'2004'!$J$10</f>
        <v>3.0700000000000003</v>
      </c>
      <c r="M56" s="217">
        <f>+'2004'!$J$13+'2004'!$J$12</f>
        <v>0</v>
      </c>
      <c r="N56" s="217">
        <f>+'2004'!$J$14</f>
        <v>0</v>
      </c>
      <c r="O56" s="71">
        <f>+'2004'!$J$15</f>
        <v>0.13</v>
      </c>
      <c r="P56" s="72">
        <v>0</v>
      </c>
      <c r="Q56" s="221">
        <f t="shared" si="25"/>
        <v>3.6300000000000003</v>
      </c>
    </row>
    <row r="57" spans="1:17" ht="15.75">
      <c r="A57" s="212" t="s">
        <v>42</v>
      </c>
      <c r="B57" s="217">
        <f t="shared" si="18"/>
        <v>0</v>
      </c>
      <c r="C57" s="217">
        <f t="shared" si="19"/>
        <v>0</v>
      </c>
      <c r="D57" s="217">
        <f t="shared" si="20"/>
        <v>0</v>
      </c>
      <c r="E57" s="217">
        <f t="shared" si="21"/>
        <v>0</v>
      </c>
      <c r="F57" s="217">
        <f t="shared" si="22"/>
        <v>0</v>
      </c>
      <c r="G57" s="217"/>
      <c r="H57" s="71">
        <f t="shared" si="23"/>
        <v>0</v>
      </c>
      <c r="I57" s="82"/>
      <c r="J57" s="217">
        <f>+'2004'!$K$7</f>
        <v>0</v>
      </c>
      <c r="K57" s="217">
        <f>+'2004'!$K$8+'2004'!$K$9</f>
        <v>0</v>
      </c>
      <c r="L57" s="217">
        <f>+'2004'!$K$11+'2004'!$K$10</f>
        <v>0</v>
      </c>
      <c r="M57" s="217">
        <f>+'2004'!$K$13+'2004'!$K$12</f>
        <v>0</v>
      </c>
      <c r="N57" s="217">
        <f>+'2004'!$K$14</f>
        <v>0</v>
      </c>
      <c r="O57" s="71">
        <f>+'2004'!$K$15</f>
        <v>0</v>
      </c>
      <c r="P57" s="72">
        <v>0</v>
      </c>
      <c r="Q57" s="221">
        <f t="shared" si="25"/>
        <v>0</v>
      </c>
    </row>
    <row r="58" spans="1:17" ht="15.75">
      <c r="A58" s="212" t="s">
        <v>43</v>
      </c>
      <c r="B58" s="217">
        <f t="shared" si="18"/>
        <v>0</v>
      </c>
      <c r="C58" s="217">
        <f t="shared" si="19"/>
        <v>0</v>
      </c>
      <c r="D58" s="217">
        <f t="shared" si="20"/>
        <v>0</v>
      </c>
      <c r="E58" s="217">
        <f t="shared" si="21"/>
        <v>0</v>
      </c>
      <c r="F58" s="217">
        <f t="shared" si="22"/>
        <v>0</v>
      </c>
      <c r="G58" s="217"/>
      <c r="H58" s="71">
        <f t="shared" si="23"/>
        <v>0</v>
      </c>
      <c r="I58" s="82"/>
      <c r="J58" s="217">
        <f>+'2004'!$L$7</f>
        <v>0</v>
      </c>
      <c r="K58" s="217">
        <f>+'2004'!$L$8+'2004'!$L$9</f>
        <v>0</v>
      </c>
      <c r="L58" s="217">
        <f>+'2004'!$L$11+'2004'!$L$10</f>
        <v>0</v>
      </c>
      <c r="M58" s="217">
        <f>+'2004'!$L$13+'2004'!$L$12</f>
        <v>0</v>
      </c>
      <c r="N58" s="217">
        <f>+'2004'!$L$14</f>
        <v>0</v>
      </c>
      <c r="O58" s="71">
        <f>+'2004'!$L$15</f>
        <v>0</v>
      </c>
      <c r="P58" s="72">
        <v>0</v>
      </c>
      <c r="Q58" s="221">
        <f t="shared" si="25"/>
        <v>0</v>
      </c>
    </row>
    <row r="59" spans="1:17" ht="15.75">
      <c r="A59" s="212" t="s">
        <v>44</v>
      </c>
      <c r="B59" s="217">
        <f t="shared" si="18"/>
        <v>0</v>
      </c>
      <c r="C59" s="217">
        <f t="shared" si="19"/>
        <v>0</v>
      </c>
      <c r="D59" s="217">
        <f t="shared" si="20"/>
        <v>0</v>
      </c>
      <c r="E59" s="217">
        <f t="shared" si="21"/>
        <v>0</v>
      </c>
      <c r="F59" s="217">
        <f t="shared" si="22"/>
        <v>0</v>
      </c>
      <c r="G59" s="217"/>
      <c r="H59" s="71">
        <f t="shared" si="23"/>
        <v>0</v>
      </c>
      <c r="I59" s="82"/>
      <c r="J59" s="217">
        <f>+'2004'!$M$7</f>
        <v>0</v>
      </c>
      <c r="K59" s="217">
        <f>+'2004'!$M$8+'2004'!$M$9</f>
        <v>0</v>
      </c>
      <c r="L59" s="217">
        <f>+'2004'!$M$11+'2004'!$M$10</f>
        <v>0</v>
      </c>
      <c r="M59" s="217">
        <f>+'2004'!$M$13+'2004'!$M$12</f>
        <v>0</v>
      </c>
      <c r="N59" s="217">
        <f>+'2004'!$M$14</f>
        <v>0</v>
      </c>
      <c r="O59" s="71">
        <f>+'2004'!$M$15</f>
        <v>0</v>
      </c>
      <c r="P59" s="72">
        <v>0</v>
      </c>
      <c r="Q59" s="221">
        <f t="shared" si="25"/>
        <v>0</v>
      </c>
    </row>
    <row r="60" spans="1:17" ht="15.75">
      <c r="A60" s="212" t="s">
        <v>45</v>
      </c>
      <c r="B60" s="217">
        <f t="shared" si="18"/>
        <v>0</v>
      </c>
      <c r="C60" s="217">
        <f t="shared" si="19"/>
        <v>0</v>
      </c>
      <c r="D60" s="217">
        <f t="shared" si="20"/>
        <v>0</v>
      </c>
      <c r="E60" s="217">
        <f t="shared" si="21"/>
        <v>0</v>
      </c>
      <c r="F60" s="217">
        <f t="shared" si="22"/>
        <v>0</v>
      </c>
      <c r="G60" s="217"/>
      <c r="H60" s="71">
        <f t="shared" si="23"/>
        <v>0</v>
      </c>
      <c r="I60" s="82"/>
      <c r="J60" s="217">
        <f>+'2004'!$N$7</f>
        <v>0</v>
      </c>
      <c r="K60" s="217">
        <f>+'2004'!$N$8+'2004'!$N$9</f>
        <v>0</v>
      </c>
      <c r="L60" s="217">
        <f>+'2004'!$N$11+'2004'!$N$10</f>
        <v>0</v>
      </c>
      <c r="M60" s="217">
        <f>+'2004'!$N$13+'2004'!$N$12</f>
        <v>0</v>
      </c>
      <c r="N60" s="217">
        <f>+'2004'!$N$14</f>
        <v>0</v>
      </c>
      <c r="O60" s="71">
        <f>+'2004'!$N$15</f>
        <v>0</v>
      </c>
      <c r="P60" s="72">
        <v>0</v>
      </c>
      <c r="Q60" s="221">
        <f t="shared" si="25"/>
        <v>0</v>
      </c>
    </row>
    <row r="61" spans="1:17" ht="15.75">
      <c r="A61" s="212" t="s">
        <v>46</v>
      </c>
      <c r="B61" s="217">
        <f t="shared" si="18"/>
        <v>0</v>
      </c>
      <c r="C61" s="217">
        <f t="shared" si="19"/>
        <v>0</v>
      </c>
      <c r="D61" s="217">
        <f t="shared" si="20"/>
        <v>0</v>
      </c>
      <c r="E61" s="217">
        <f t="shared" si="21"/>
        <v>0</v>
      </c>
      <c r="F61" s="217">
        <f t="shared" si="22"/>
        <v>0</v>
      </c>
      <c r="G61" s="217"/>
      <c r="H61" s="71">
        <f t="shared" si="23"/>
        <v>0</v>
      </c>
      <c r="I61" s="82"/>
      <c r="J61" s="217">
        <f>+'2004'!$O$7</f>
        <v>0</v>
      </c>
      <c r="K61" s="217">
        <f>+'2004'!$O$8+'2004'!$O$9</f>
        <v>0</v>
      </c>
      <c r="L61" s="217">
        <f>+'2004'!$O$11+'2004'!$O$10</f>
        <v>0</v>
      </c>
      <c r="M61" s="217">
        <f>+'2004'!$O$13+'2004'!$O$12</f>
        <v>0</v>
      </c>
      <c r="N61" s="217">
        <f>+'2004'!$O$14</f>
        <v>0</v>
      </c>
      <c r="O61" s="71">
        <f>+'2004'!$O$15</f>
        <v>0</v>
      </c>
      <c r="P61" s="72">
        <v>0</v>
      </c>
      <c r="Q61" s="221">
        <f t="shared" si="25"/>
        <v>0</v>
      </c>
    </row>
    <row r="62" spans="1:17" ht="15.75">
      <c r="A62" s="212" t="s">
        <v>47</v>
      </c>
      <c r="B62" s="217">
        <f t="shared" si="18"/>
        <v>0</v>
      </c>
      <c r="C62" s="217">
        <f t="shared" si="19"/>
        <v>0</v>
      </c>
      <c r="D62" s="217">
        <f t="shared" si="20"/>
        <v>0</v>
      </c>
      <c r="E62" s="217">
        <f t="shared" si="21"/>
        <v>0</v>
      </c>
      <c r="F62" s="217">
        <f t="shared" si="22"/>
        <v>0</v>
      </c>
      <c r="G62" s="217"/>
      <c r="H62" s="71">
        <f t="shared" si="23"/>
        <v>0</v>
      </c>
      <c r="I62" s="82"/>
      <c r="J62" s="217">
        <f>+'2004'!$P$7</f>
        <v>0</v>
      </c>
      <c r="K62" s="217">
        <f>+'2004'!$P$8+'2004'!$P$9</f>
        <v>0</v>
      </c>
      <c r="L62" s="217">
        <f>+'2004'!$P$11+'2004'!$P$10</f>
        <v>0</v>
      </c>
      <c r="M62" s="217">
        <f>+'2004'!$P$13+'2004'!$P$12</f>
        <v>0</v>
      </c>
      <c r="N62" s="217">
        <f>+'2004'!$P$14</f>
        <v>0</v>
      </c>
      <c r="O62" s="71">
        <f>+'2004'!$P$15</f>
        <v>0</v>
      </c>
      <c r="P62" s="72">
        <v>0</v>
      </c>
      <c r="Q62" s="221">
        <f t="shared" si="25"/>
        <v>0</v>
      </c>
    </row>
    <row r="63" spans="1:17" ht="15.75">
      <c r="A63" s="212" t="s">
        <v>53</v>
      </c>
      <c r="B63" s="217">
        <f t="shared" si="18"/>
        <v>0</v>
      </c>
      <c r="C63" s="217">
        <f t="shared" si="19"/>
        <v>0</v>
      </c>
      <c r="D63" s="217">
        <f t="shared" si="20"/>
        <v>0</v>
      </c>
      <c r="E63" s="217">
        <f t="shared" si="21"/>
        <v>0</v>
      </c>
      <c r="F63" s="217">
        <f t="shared" si="22"/>
        <v>0</v>
      </c>
      <c r="G63" s="217"/>
      <c r="H63" s="71">
        <f t="shared" si="23"/>
        <v>0</v>
      </c>
      <c r="I63" s="82"/>
      <c r="J63" s="217">
        <f>+'2004'!$Q$7+'2004'!$R$7</f>
        <v>0</v>
      </c>
      <c r="K63" s="217">
        <f>+'2004'!$Q$8+'2004'!$R$8+'2004'!$Q$9+'2004'!$R$9</f>
        <v>0</v>
      </c>
      <c r="L63" s="217">
        <f>+'2004'!$Q$11+'2004'!$R$11+'2004'!$Q$10+'2004'!$R$10</f>
        <v>0</v>
      </c>
      <c r="M63" s="217">
        <f>+'2004'!$Q$13+'2004'!$R$13+'2004'!$Q$12+'2004'!$R$12</f>
        <v>0</v>
      </c>
      <c r="N63" s="217">
        <f>+'2004'!$Q$14+'2004'!$R$14</f>
        <v>0</v>
      </c>
      <c r="O63" s="272">
        <f>+'2004'!$Q$15+'2004'!$R$15</f>
        <v>0</v>
      </c>
      <c r="P63" s="72">
        <v>0</v>
      </c>
      <c r="Q63" s="221">
        <f t="shared" si="25"/>
        <v>0</v>
      </c>
    </row>
    <row r="64" spans="1:17" ht="16.5" thickBot="1">
      <c r="A64" s="75"/>
      <c r="B64" s="222">
        <f aca="true" t="shared" si="26" ref="B64:H64">SUM(B50:B63)</f>
        <v>16135</v>
      </c>
      <c r="C64" s="210">
        <f t="shared" si="26"/>
        <v>2091</v>
      </c>
      <c r="D64" s="222">
        <f t="shared" si="26"/>
        <v>231</v>
      </c>
      <c r="E64" s="210">
        <f t="shared" si="26"/>
        <v>20</v>
      </c>
      <c r="F64" s="222">
        <f t="shared" si="26"/>
        <v>0</v>
      </c>
      <c r="G64" s="222"/>
      <c r="H64" s="222">
        <f t="shared" si="26"/>
        <v>0</v>
      </c>
      <c r="I64" s="61"/>
      <c r="J64" s="218">
        <f aca="true" t="shared" si="27" ref="J64:Q64">SUM(J50:J63)</f>
        <v>17266.229999999996</v>
      </c>
      <c r="K64" s="222">
        <f t="shared" si="27"/>
        <v>4788.729999999999</v>
      </c>
      <c r="L64" s="210">
        <f t="shared" si="27"/>
        <v>2128.770000000001</v>
      </c>
      <c r="M64" s="222">
        <f t="shared" si="27"/>
        <v>1559.8</v>
      </c>
      <c r="N64" s="210">
        <f>SUM(N50:N63)</f>
        <v>372.81</v>
      </c>
      <c r="O64" s="281">
        <f>SUM(O50:O63)</f>
        <v>47.67</v>
      </c>
      <c r="P64" s="210">
        <f t="shared" si="27"/>
        <v>0</v>
      </c>
      <c r="Q64" s="226">
        <f t="shared" si="27"/>
        <v>26164.009999999995</v>
      </c>
    </row>
  </sheetData>
  <sheetProtection/>
  <mergeCells count="31">
    <mergeCell ref="B47:B48"/>
    <mergeCell ref="Q47:Q48"/>
    <mergeCell ref="A2:Q2"/>
    <mergeCell ref="H5:H6"/>
    <mergeCell ref="E5:E6"/>
    <mergeCell ref="D5:D6"/>
    <mergeCell ref="Q5:Q6"/>
    <mergeCell ref="B4:H4"/>
    <mergeCell ref="G47:G48"/>
    <mergeCell ref="J4:Q4"/>
    <mergeCell ref="B25:H25"/>
    <mergeCell ref="J25:Q25"/>
    <mergeCell ref="B26:B27"/>
    <mergeCell ref="C26:C27"/>
    <mergeCell ref="F47:F48"/>
    <mergeCell ref="B46:H46"/>
    <mergeCell ref="C47:C48"/>
    <mergeCell ref="D47:D48"/>
    <mergeCell ref="H26:H27"/>
    <mergeCell ref="Q26:Q27"/>
    <mergeCell ref="D26:D27"/>
    <mergeCell ref="E26:E27"/>
    <mergeCell ref="E47:E48"/>
    <mergeCell ref="H47:H48"/>
    <mergeCell ref="J46:Q46"/>
    <mergeCell ref="C5:C6"/>
    <mergeCell ref="B5:B6"/>
    <mergeCell ref="G5:G6"/>
    <mergeCell ref="G26:G27"/>
    <mergeCell ref="F5:F6"/>
    <mergeCell ref="F26:F27"/>
  </mergeCells>
  <printOptions/>
  <pageMargins left="0.5" right="0.5" top="0.5" bottom="0.5" header="0.36" footer="0.25"/>
  <pageSetup fitToHeight="1" fitToWidth="1" horizontalDpi="600" verticalDpi="600" orientation="landscape" scale="54" r:id="rId1"/>
  <headerFooter>
    <oddHeader>&amp;RTillsonburg Hydro Inc.
 EB-2011-0198
 Appendix L.2.3
 Filed: December 9, 2011
</oddHead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U102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23.57421875" style="0" bestFit="1" customWidth="1"/>
    <col min="2" max="2" width="10.421875" style="0" customWidth="1"/>
    <col min="3" max="20" width="12.140625" style="0" customWidth="1"/>
  </cols>
  <sheetData>
    <row r="5" ht="12.75">
      <c r="A5" s="252">
        <v>2006</v>
      </c>
    </row>
    <row r="6" spans="1:19" ht="13.5" thickBot="1">
      <c r="A6" s="253" t="s">
        <v>122</v>
      </c>
      <c r="B6" s="253" t="s">
        <v>28</v>
      </c>
      <c r="C6" t="s">
        <v>117</v>
      </c>
      <c r="D6" t="s">
        <v>118</v>
      </c>
      <c r="E6" t="s">
        <v>119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120</v>
      </c>
      <c r="R6" t="s">
        <v>121</v>
      </c>
      <c r="S6" t="s">
        <v>18</v>
      </c>
    </row>
    <row r="7" spans="1:19" ht="13.5" thickBot="1">
      <c r="A7" s="250" t="s">
        <v>107</v>
      </c>
      <c r="B7" s="250">
        <v>0.65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>
        <f>+SUM(C7:R7)</f>
        <v>0</v>
      </c>
    </row>
    <row r="8" spans="1:19" ht="13.5" thickBot="1">
      <c r="A8" s="251" t="s">
        <v>108</v>
      </c>
      <c r="B8" s="250">
        <v>1.4</v>
      </c>
      <c r="C8" s="250"/>
      <c r="D8" s="250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>
        <f>+SUM(C8:R8)</f>
        <v>0</v>
      </c>
    </row>
    <row r="9" spans="1:19" ht="13.5" thickBot="1">
      <c r="A9" s="251"/>
      <c r="B9" s="250"/>
      <c r="C9" s="250"/>
      <c r="D9" s="250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>
        <f>+SUM(C9:R9)</f>
        <v>0</v>
      </c>
    </row>
    <row r="10" spans="1:19" ht="13.5" thickBot="1">
      <c r="A10" s="251" t="s">
        <v>109</v>
      </c>
      <c r="B10" s="250">
        <v>0.72</v>
      </c>
      <c r="C10" s="250"/>
      <c r="D10" s="250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>
        <f aca="true" t="shared" si="0" ref="S10:S16">+SUM(C10:R10)</f>
        <v>0</v>
      </c>
    </row>
    <row r="11" spans="1:19" ht="13.5" thickBot="1">
      <c r="A11" s="251" t="s">
        <v>110</v>
      </c>
      <c r="B11" s="250">
        <v>0.72</v>
      </c>
      <c r="C11" s="250"/>
      <c r="D11" s="250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>
        <f t="shared" si="0"/>
        <v>0</v>
      </c>
    </row>
    <row r="12" spans="1:19" ht="13.5" thickBot="1">
      <c r="A12" s="251" t="s">
        <v>111</v>
      </c>
      <c r="B12" s="250">
        <f>+B83</f>
        <v>9.22</v>
      </c>
      <c r="C12" s="250"/>
      <c r="D12" s="250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>
        <f t="shared" si="0"/>
        <v>0</v>
      </c>
    </row>
    <row r="13" spans="1:19" ht="13.5" thickBot="1">
      <c r="A13" s="251" t="s">
        <v>112</v>
      </c>
      <c r="B13" s="250">
        <f>+B84</f>
        <v>77.99</v>
      </c>
      <c r="C13" s="250"/>
      <c r="D13" s="250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>
        <f t="shared" si="0"/>
        <v>0</v>
      </c>
    </row>
    <row r="14" spans="1:19" ht="13.5" thickBot="1">
      <c r="A14" s="251" t="s">
        <v>113</v>
      </c>
      <c r="B14" s="250">
        <f>+B85</f>
        <v>77.99</v>
      </c>
      <c r="C14" s="250"/>
      <c r="D14" s="250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>
        <f t="shared" si="0"/>
        <v>0</v>
      </c>
    </row>
    <row r="15" spans="1:19" ht="13.5" thickBot="1">
      <c r="A15" s="251" t="s">
        <v>114</v>
      </c>
      <c r="B15" s="250">
        <f>+B86</f>
        <v>124.77</v>
      </c>
      <c r="C15" s="250"/>
      <c r="D15" s="250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>
        <f t="shared" si="0"/>
        <v>0</v>
      </c>
    </row>
    <row r="16" spans="1:19" ht="12.75">
      <c r="A16" s="251" t="s">
        <v>115</v>
      </c>
      <c r="B16" s="250">
        <f>+B87</f>
        <v>0.11</v>
      </c>
      <c r="C16" s="250"/>
      <c r="D16" s="250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>
        <f t="shared" si="0"/>
        <v>0</v>
      </c>
    </row>
    <row r="17" spans="1:19" ht="12.75">
      <c r="A17" s="251"/>
      <c r="B17" s="251"/>
      <c r="C17" s="251">
        <f aca="true" t="shared" si="1" ref="C17:S17">+SUM(C7:C16)</f>
        <v>0</v>
      </c>
      <c r="D17" s="251">
        <f t="shared" si="1"/>
        <v>0</v>
      </c>
      <c r="E17" s="251">
        <f t="shared" si="1"/>
        <v>0</v>
      </c>
      <c r="F17" s="251">
        <f t="shared" si="1"/>
        <v>0</v>
      </c>
      <c r="G17" s="251">
        <f t="shared" si="1"/>
        <v>0</v>
      </c>
      <c r="H17" s="251">
        <f t="shared" si="1"/>
        <v>0</v>
      </c>
      <c r="I17" s="251">
        <f t="shared" si="1"/>
        <v>0</v>
      </c>
      <c r="J17" s="251">
        <f t="shared" si="1"/>
        <v>0</v>
      </c>
      <c r="K17" s="251">
        <f t="shared" si="1"/>
        <v>0</v>
      </c>
      <c r="L17" s="251">
        <f t="shared" si="1"/>
        <v>0</v>
      </c>
      <c r="M17" s="251">
        <f t="shared" si="1"/>
        <v>0</v>
      </c>
      <c r="N17" s="251">
        <f t="shared" si="1"/>
        <v>0</v>
      </c>
      <c r="O17" s="251">
        <f t="shared" si="1"/>
        <v>0</v>
      </c>
      <c r="P17" s="251">
        <f t="shared" si="1"/>
        <v>0</v>
      </c>
      <c r="Q17" s="251">
        <f t="shared" si="1"/>
        <v>0</v>
      </c>
      <c r="R17" s="251">
        <f t="shared" si="1"/>
        <v>0</v>
      </c>
      <c r="S17" s="251">
        <f t="shared" si="1"/>
        <v>0</v>
      </c>
    </row>
    <row r="19" spans="2:3" ht="12.75">
      <c r="B19" s="255"/>
      <c r="C19" s="255"/>
    </row>
    <row r="20" spans="1:19" ht="13.5" thickBot="1">
      <c r="A20" s="253" t="s">
        <v>123</v>
      </c>
      <c r="B20" s="253" t="s">
        <v>28</v>
      </c>
      <c r="C20" t="s">
        <v>117</v>
      </c>
      <c r="D20" t="s">
        <v>118</v>
      </c>
      <c r="E20" t="s">
        <v>119</v>
      </c>
      <c r="F20" t="s">
        <v>37</v>
      </c>
      <c r="G20" t="s">
        <v>38</v>
      </c>
      <c r="H20" t="s">
        <v>39</v>
      </c>
      <c r="I20" t="s">
        <v>40</v>
      </c>
      <c r="J20" t="s">
        <v>41</v>
      </c>
      <c r="K20" t="s">
        <v>42</v>
      </c>
      <c r="L20" t="s">
        <v>43</v>
      </c>
      <c r="M20" t="s">
        <v>44</v>
      </c>
      <c r="N20" t="s">
        <v>45</v>
      </c>
      <c r="O20" t="s">
        <v>46</v>
      </c>
      <c r="P20" t="s">
        <v>47</v>
      </c>
      <c r="Q20" t="s">
        <v>120</v>
      </c>
      <c r="R20" t="s">
        <v>121</v>
      </c>
      <c r="S20" t="s">
        <v>18</v>
      </c>
    </row>
    <row r="21" spans="1:19" ht="13.5" thickBot="1">
      <c r="A21" s="250" t="s">
        <v>107</v>
      </c>
      <c r="B21" s="262">
        <v>0.0012</v>
      </c>
      <c r="C21" s="250">
        <v>-5002.599999999999</v>
      </c>
      <c r="D21" s="250">
        <v>-1036.46</v>
      </c>
      <c r="E21" s="250">
        <v>5797.129999999999</v>
      </c>
      <c r="F21" s="250">
        <v>5856.910000000002</v>
      </c>
      <c r="G21" s="250">
        <v>5717.549999999999</v>
      </c>
      <c r="H21" s="250">
        <v>4277.69</v>
      </c>
      <c r="I21" s="250">
        <v>3954.07</v>
      </c>
      <c r="J21" s="250">
        <v>367.24</v>
      </c>
      <c r="K21" s="250">
        <v>9.74</v>
      </c>
      <c r="L21" s="250">
        <v>8.84</v>
      </c>
      <c r="M21" s="250">
        <f>2.4+1.1</f>
        <v>3.5</v>
      </c>
      <c r="N21" s="250"/>
      <c r="O21" s="250"/>
      <c r="P21" s="250"/>
      <c r="Q21" s="250"/>
      <c r="R21" s="250">
        <f>1.11-1.11</f>
        <v>0</v>
      </c>
      <c r="S21" s="250">
        <f>+SUM(C21:R21)</f>
        <v>19953.610000000004</v>
      </c>
    </row>
    <row r="22" spans="1:19" ht="13.5" thickBot="1">
      <c r="A22" s="251" t="s">
        <v>108</v>
      </c>
      <c r="B22" s="262">
        <v>0.0007</v>
      </c>
      <c r="C22" s="250">
        <v>-1411.73</v>
      </c>
      <c r="D22" s="250">
        <v>-264.74</v>
      </c>
      <c r="E22" s="251">
        <v>1585.69</v>
      </c>
      <c r="F22" s="251">
        <v>1697.61</v>
      </c>
      <c r="G22" s="251">
        <v>1644.6499999999999</v>
      </c>
      <c r="H22" s="251">
        <v>1271.88</v>
      </c>
      <c r="I22" s="251">
        <v>1320.75</v>
      </c>
      <c r="J22" s="251">
        <v>112.44</v>
      </c>
      <c r="K22" s="251"/>
      <c r="L22" s="251">
        <v>-1.08</v>
      </c>
      <c r="M22" s="251"/>
      <c r="N22" s="251"/>
      <c r="O22" s="251"/>
      <c r="P22" s="251"/>
      <c r="Q22" s="251"/>
      <c r="R22" s="251"/>
      <c r="S22" s="251">
        <f>+SUM(C22:R22)</f>
        <v>5955.469999999999</v>
      </c>
    </row>
    <row r="23" spans="1:19" ht="13.5" thickBot="1">
      <c r="A23" s="251" t="s">
        <v>126</v>
      </c>
      <c r="B23" s="262">
        <v>0.0007</v>
      </c>
      <c r="C23" s="250"/>
      <c r="D23" s="250"/>
      <c r="E23" s="251">
        <v>0</v>
      </c>
      <c r="F23" s="251">
        <v>0</v>
      </c>
      <c r="G23" s="251">
        <v>0</v>
      </c>
      <c r="H23" s="251">
        <v>0</v>
      </c>
      <c r="I23" s="251">
        <v>20.44</v>
      </c>
      <c r="J23" s="251">
        <v>2.25</v>
      </c>
      <c r="K23" s="251"/>
      <c r="L23" s="251"/>
      <c r="M23" s="251"/>
      <c r="N23" s="251"/>
      <c r="O23" s="251"/>
      <c r="P23" s="251"/>
      <c r="Q23" s="251"/>
      <c r="R23" s="251"/>
      <c r="S23" s="251">
        <f>+SUM(C23:R23)</f>
        <v>22.69</v>
      </c>
    </row>
    <row r="24" spans="1:19" ht="13.5" thickBot="1">
      <c r="A24" s="251" t="s">
        <v>109</v>
      </c>
      <c r="B24" s="262">
        <v>0.0007</v>
      </c>
      <c r="C24" s="250">
        <v>-1.3</v>
      </c>
      <c r="D24" s="250">
        <v>-0.36</v>
      </c>
      <c r="E24" s="251">
        <v>1.62</v>
      </c>
      <c r="F24" s="251">
        <v>1.5099999999999998</v>
      </c>
      <c r="G24" s="251">
        <v>2.21</v>
      </c>
      <c r="H24" s="251">
        <v>1.08</v>
      </c>
      <c r="I24" s="251">
        <v>1.06</v>
      </c>
      <c r="J24" s="251">
        <v>0.24</v>
      </c>
      <c r="K24" s="251"/>
      <c r="L24" s="251"/>
      <c r="M24" s="251">
        <v>-0.07</v>
      </c>
      <c r="N24" s="251">
        <f>-0.07+0.07</f>
        <v>0</v>
      </c>
      <c r="O24" s="251"/>
      <c r="P24" s="251"/>
      <c r="Q24" s="251"/>
      <c r="R24" s="251"/>
      <c r="S24" s="251">
        <f aca="true" t="shared" si="2" ref="S24:S30">+SUM(C24:R24)</f>
        <v>5.99</v>
      </c>
    </row>
    <row r="25" spans="1:19" ht="13.5" thickBot="1">
      <c r="A25" s="251" t="s">
        <v>110</v>
      </c>
      <c r="B25" s="262">
        <v>0.0548</v>
      </c>
      <c r="C25" s="250">
        <v>-440.87</v>
      </c>
      <c r="D25" s="250">
        <v>-90.43</v>
      </c>
      <c r="E25" s="251">
        <v>481.15</v>
      </c>
      <c r="F25" s="251">
        <v>533.76</v>
      </c>
      <c r="G25" s="251">
        <v>538.98</v>
      </c>
      <c r="H25" s="251">
        <v>433.28</v>
      </c>
      <c r="I25" s="251">
        <v>465.8</v>
      </c>
      <c r="J25" s="251">
        <v>-211.47</v>
      </c>
      <c r="K25" s="251">
        <v>-14.86</v>
      </c>
      <c r="L25" s="251">
        <v>14.83</v>
      </c>
      <c r="M25" s="251"/>
      <c r="N25" s="251"/>
      <c r="O25" s="251"/>
      <c r="P25" s="251"/>
      <c r="Q25" s="251"/>
      <c r="R25" s="251"/>
      <c r="S25" s="251">
        <f t="shared" si="2"/>
        <v>1710.1699999999998</v>
      </c>
    </row>
    <row r="26" spans="1:19" ht="13.5" thickBot="1">
      <c r="A26" s="251" t="s">
        <v>111</v>
      </c>
      <c r="B26" s="262">
        <v>0.0548</v>
      </c>
      <c r="C26" s="250">
        <v>-228.91</v>
      </c>
      <c r="D26" s="250">
        <v>0</v>
      </c>
      <c r="E26" s="251">
        <v>228.91</v>
      </c>
      <c r="F26" s="251">
        <v>224.87</v>
      </c>
      <c r="G26" s="251">
        <v>225.09</v>
      </c>
      <c r="H26" s="251">
        <v>239.7</v>
      </c>
      <c r="I26" s="251">
        <v>241.61</v>
      </c>
      <c r="J26" s="251">
        <v>270.85</v>
      </c>
      <c r="K26" s="251"/>
      <c r="L26" s="251"/>
      <c r="M26" s="251"/>
      <c r="N26" s="251"/>
      <c r="O26" s="251"/>
      <c r="P26" s="251"/>
      <c r="Q26" s="251"/>
      <c r="R26" s="251"/>
      <c r="S26" s="251">
        <f t="shared" si="2"/>
        <v>1202.1200000000001</v>
      </c>
    </row>
    <row r="27" spans="1:19" ht="13.5" thickBot="1">
      <c r="A27" s="251" t="s">
        <v>112</v>
      </c>
      <c r="B27" s="262">
        <v>0.0254</v>
      </c>
      <c r="C27" s="250">
        <v>-360.39</v>
      </c>
      <c r="D27" s="250">
        <v>0</v>
      </c>
      <c r="E27" s="251">
        <v>360.39</v>
      </c>
      <c r="F27" s="251">
        <v>365.45</v>
      </c>
      <c r="G27" s="251">
        <v>360.09</v>
      </c>
      <c r="H27" s="251">
        <v>359.32</v>
      </c>
      <c r="I27" s="251">
        <v>355.63</v>
      </c>
      <c r="J27" s="251"/>
      <c r="K27" s="251"/>
      <c r="L27" s="251"/>
      <c r="M27" s="251"/>
      <c r="N27" s="251"/>
      <c r="O27" s="251"/>
      <c r="P27" s="251"/>
      <c r="Q27" s="251"/>
      <c r="R27" s="251"/>
      <c r="S27" s="251">
        <f t="shared" si="2"/>
        <v>1440.4899999999998</v>
      </c>
    </row>
    <row r="28" spans="1:19" ht="13.5" thickBot="1">
      <c r="A28" s="251" t="s">
        <v>113</v>
      </c>
      <c r="B28" s="262">
        <v>0.0254</v>
      </c>
      <c r="C28" s="250">
        <v>0</v>
      </c>
      <c r="D28" s="250">
        <v>0</v>
      </c>
      <c r="E28" s="251">
        <v>0</v>
      </c>
      <c r="F28" s="251">
        <v>0</v>
      </c>
      <c r="G28" s="251">
        <v>0</v>
      </c>
      <c r="H28" s="251">
        <v>0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>
        <f t="shared" si="2"/>
        <v>0</v>
      </c>
    </row>
    <row r="29" spans="1:19" ht="13.5" thickBot="1">
      <c r="A29" s="251" t="s">
        <v>114</v>
      </c>
      <c r="B29" s="262">
        <v>0.3572</v>
      </c>
      <c r="C29" s="250">
        <v>-112.45</v>
      </c>
      <c r="D29" s="250">
        <v>0</v>
      </c>
      <c r="E29" s="251">
        <v>112.45</v>
      </c>
      <c r="F29" s="251">
        <v>112.45</v>
      </c>
      <c r="G29" s="251">
        <v>112.45</v>
      </c>
      <c r="H29" s="251">
        <v>112.45</v>
      </c>
      <c r="I29" s="251">
        <v>112.45</v>
      </c>
      <c r="J29" s="251"/>
      <c r="K29" s="251"/>
      <c r="L29" s="251"/>
      <c r="M29" s="251"/>
      <c r="N29" s="251"/>
      <c r="O29" s="251"/>
      <c r="P29" s="251"/>
      <c r="Q29" s="251"/>
      <c r="R29" s="251"/>
      <c r="S29" s="251">
        <f t="shared" si="2"/>
        <v>449.8</v>
      </c>
    </row>
    <row r="30" spans="1:19" ht="12.75">
      <c r="A30" s="251" t="s">
        <v>115</v>
      </c>
      <c r="B30" s="262">
        <v>0.5429</v>
      </c>
      <c r="C30" s="250">
        <v>-27.29</v>
      </c>
      <c r="D30" s="250">
        <v>-2.92</v>
      </c>
      <c r="E30" s="251">
        <v>28.17</v>
      </c>
      <c r="F30" s="251">
        <v>14.25</v>
      </c>
      <c r="G30" s="251">
        <v>14.04</v>
      </c>
      <c r="H30" s="251">
        <v>8.120000000000001</v>
      </c>
      <c r="I30" s="251">
        <v>12.91</v>
      </c>
      <c r="J30" s="251">
        <v>1.89</v>
      </c>
      <c r="K30" s="251">
        <v>-1.31</v>
      </c>
      <c r="L30" s="251">
        <v>1.31</v>
      </c>
      <c r="M30" s="251"/>
      <c r="N30" s="251"/>
      <c r="O30" s="251"/>
      <c r="P30" s="251"/>
      <c r="Q30" s="251"/>
      <c r="R30" s="251"/>
      <c r="S30" s="251">
        <f t="shared" si="2"/>
        <v>49.17</v>
      </c>
    </row>
    <row r="31" spans="1:19" ht="12.75">
      <c r="A31" s="251"/>
      <c r="B31" s="251"/>
      <c r="C31" s="251">
        <f aca="true" t="shared" si="3" ref="C31:S31">+SUM(C21:C30)</f>
        <v>-7585.54</v>
      </c>
      <c r="D31" s="251">
        <f t="shared" si="3"/>
        <v>-1394.91</v>
      </c>
      <c r="E31" s="251">
        <f t="shared" si="3"/>
        <v>8595.51</v>
      </c>
      <c r="F31" s="251">
        <f t="shared" si="3"/>
        <v>8806.810000000003</v>
      </c>
      <c r="G31" s="251">
        <f t="shared" si="3"/>
        <v>8615.060000000001</v>
      </c>
      <c r="H31" s="251">
        <f t="shared" si="3"/>
        <v>6703.519999999999</v>
      </c>
      <c r="I31" s="251">
        <f t="shared" si="3"/>
        <v>6484.719999999999</v>
      </c>
      <c r="J31" s="251">
        <f t="shared" si="3"/>
        <v>543.44</v>
      </c>
      <c r="K31" s="251">
        <f t="shared" si="3"/>
        <v>-6.43</v>
      </c>
      <c r="L31" s="251">
        <f t="shared" si="3"/>
        <v>23.9</v>
      </c>
      <c r="M31" s="251">
        <f t="shared" si="3"/>
        <v>3.43</v>
      </c>
      <c r="N31" s="251">
        <f t="shared" si="3"/>
        <v>0</v>
      </c>
      <c r="O31" s="251">
        <f t="shared" si="3"/>
        <v>0</v>
      </c>
      <c r="P31" s="251">
        <f t="shared" si="3"/>
        <v>0</v>
      </c>
      <c r="Q31" s="251">
        <f t="shared" si="3"/>
        <v>0</v>
      </c>
      <c r="R31" s="251">
        <f t="shared" si="3"/>
        <v>0</v>
      </c>
      <c r="S31" s="251">
        <f t="shared" si="3"/>
        <v>30789.51</v>
      </c>
    </row>
    <row r="33" spans="2:3" ht="12.75">
      <c r="B33" s="255"/>
      <c r="C33" s="255"/>
    </row>
    <row r="34" spans="1:19" ht="13.5" thickBot="1">
      <c r="A34" s="253" t="s">
        <v>123</v>
      </c>
      <c r="C34" t="s">
        <v>117</v>
      </c>
      <c r="D34" t="s">
        <v>118</v>
      </c>
      <c r="E34" t="s">
        <v>119</v>
      </c>
      <c r="F34" t="s">
        <v>37</v>
      </c>
      <c r="G34" t="s">
        <v>38</v>
      </c>
      <c r="H34" t="s">
        <v>39</v>
      </c>
      <c r="I34" t="s">
        <v>40</v>
      </c>
      <c r="J34" t="s">
        <v>41</v>
      </c>
      <c r="K34" t="s">
        <v>42</v>
      </c>
      <c r="L34" t="s">
        <v>43</v>
      </c>
      <c r="M34" t="s">
        <v>44</v>
      </c>
      <c r="N34" t="s">
        <v>45</v>
      </c>
      <c r="O34" t="s">
        <v>46</v>
      </c>
      <c r="P34" t="s">
        <v>47</v>
      </c>
      <c r="Q34" t="s">
        <v>120</v>
      </c>
      <c r="R34" t="s">
        <v>121</v>
      </c>
      <c r="S34" t="s">
        <v>18</v>
      </c>
    </row>
    <row r="35" spans="1:19" ht="13.5" thickBot="1">
      <c r="A35" s="250" t="s">
        <v>107</v>
      </c>
      <c r="B35" s="262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>
        <f>+SUM(C35:R35)</f>
        <v>0</v>
      </c>
    </row>
    <row r="36" spans="1:19" ht="13.5" thickBot="1">
      <c r="A36" s="251" t="s">
        <v>108</v>
      </c>
      <c r="B36" s="262"/>
      <c r="C36" s="250"/>
      <c r="D36" s="250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>
        <f>+SUM(C36:R36)</f>
        <v>0</v>
      </c>
    </row>
    <row r="37" spans="1:19" ht="13.5" thickBot="1">
      <c r="A37" s="251"/>
      <c r="B37" s="262"/>
      <c r="C37" s="250"/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</row>
    <row r="38" spans="1:19" ht="13.5" thickBot="1">
      <c r="A38" s="251" t="s">
        <v>109</v>
      </c>
      <c r="B38" s="262"/>
      <c r="C38" s="250"/>
      <c r="D38" s="250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>
        <f aca="true" t="shared" si="4" ref="S38:S44">+SUM(C38:R38)</f>
        <v>0</v>
      </c>
    </row>
    <row r="39" spans="1:19" ht="13.5" thickBot="1">
      <c r="A39" s="251" t="s">
        <v>110</v>
      </c>
      <c r="B39" s="262"/>
      <c r="C39" s="250"/>
      <c r="D39" s="250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>
        <f t="shared" si="4"/>
        <v>0</v>
      </c>
    </row>
    <row r="40" spans="1:19" ht="13.5" thickBot="1">
      <c r="A40" s="251" t="s">
        <v>111</v>
      </c>
      <c r="B40" s="262"/>
      <c r="C40" s="250"/>
      <c r="D40" s="250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>
        <f t="shared" si="4"/>
        <v>0</v>
      </c>
    </row>
    <row r="41" spans="1:19" ht="13.5" thickBot="1">
      <c r="A41" s="251" t="s">
        <v>112</v>
      </c>
      <c r="B41" s="262"/>
      <c r="C41" s="250"/>
      <c r="D41" s="250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>
        <f t="shared" si="4"/>
        <v>0</v>
      </c>
    </row>
    <row r="42" spans="1:19" ht="13.5" thickBot="1">
      <c r="A42" s="251" t="s">
        <v>113</v>
      </c>
      <c r="B42" s="262"/>
      <c r="C42" s="250"/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>
        <f t="shared" si="4"/>
        <v>0</v>
      </c>
    </row>
    <row r="43" spans="1:19" ht="13.5" thickBot="1">
      <c r="A43" s="251" t="s">
        <v>114</v>
      </c>
      <c r="B43" s="262"/>
      <c r="C43" s="250"/>
      <c r="D43" s="250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>
        <f t="shared" si="4"/>
        <v>0</v>
      </c>
    </row>
    <row r="44" spans="1:19" ht="12.75">
      <c r="A44" s="251" t="s">
        <v>115</v>
      </c>
      <c r="B44" s="262"/>
      <c r="C44" s="250"/>
      <c r="D44" s="250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>
        <f t="shared" si="4"/>
        <v>0</v>
      </c>
    </row>
    <row r="45" spans="1:19" ht="12.75">
      <c r="A45" s="251"/>
      <c r="B45" s="251"/>
      <c r="C45" s="251">
        <f aca="true" t="shared" si="5" ref="C45:S45">+SUM(C35:C44)</f>
        <v>0</v>
      </c>
      <c r="D45" s="251">
        <f t="shared" si="5"/>
        <v>0</v>
      </c>
      <c r="E45" s="251">
        <f t="shared" si="5"/>
        <v>0</v>
      </c>
      <c r="F45" s="251">
        <f t="shared" si="5"/>
        <v>0</v>
      </c>
      <c r="G45" s="251">
        <f t="shared" si="5"/>
        <v>0</v>
      </c>
      <c r="H45" s="251">
        <f t="shared" si="5"/>
        <v>0</v>
      </c>
      <c r="I45" s="251">
        <f t="shared" si="5"/>
        <v>0</v>
      </c>
      <c r="J45" s="251">
        <f t="shared" si="5"/>
        <v>0</v>
      </c>
      <c r="K45" s="251">
        <f t="shared" si="5"/>
        <v>0</v>
      </c>
      <c r="L45" s="251">
        <f t="shared" si="5"/>
        <v>0</v>
      </c>
      <c r="M45" s="251">
        <f t="shared" si="5"/>
        <v>0</v>
      </c>
      <c r="N45" s="251">
        <f t="shared" si="5"/>
        <v>0</v>
      </c>
      <c r="O45" s="251">
        <f t="shared" si="5"/>
        <v>0</v>
      </c>
      <c r="P45" s="251">
        <f t="shared" si="5"/>
        <v>0</v>
      </c>
      <c r="Q45" s="251">
        <f t="shared" si="5"/>
        <v>0</v>
      </c>
      <c r="R45" s="251">
        <f t="shared" si="5"/>
        <v>0</v>
      </c>
      <c r="S45" s="251">
        <f t="shared" si="5"/>
        <v>0</v>
      </c>
    </row>
    <row r="47" spans="2:3" ht="12.75">
      <c r="B47" s="255"/>
      <c r="C47" s="255"/>
    </row>
    <row r="48" spans="1:19" ht="13.5" thickBot="1">
      <c r="A48" s="253" t="s">
        <v>123</v>
      </c>
      <c r="C48" t="s">
        <v>117</v>
      </c>
      <c r="D48" t="s">
        <v>118</v>
      </c>
      <c r="E48" t="s">
        <v>119</v>
      </c>
      <c r="F48" t="s">
        <v>37</v>
      </c>
      <c r="G48" t="s">
        <v>38</v>
      </c>
      <c r="H48" t="s">
        <v>39</v>
      </c>
      <c r="I48" t="s">
        <v>40</v>
      </c>
      <c r="J48" t="s">
        <v>41</v>
      </c>
      <c r="K48" t="s">
        <v>42</v>
      </c>
      <c r="L48" t="s">
        <v>43</v>
      </c>
      <c r="M48" t="s">
        <v>44</v>
      </c>
      <c r="N48" t="s">
        <v>45</v>
      </c>
      <c r="O48" t="s">
        <v>46</v>
      </c>
      <c r="P48" t="s">
        <v>47</v>
      </c>
      <c r="Q48" t="s">
        <v>120</v>
      </c>
      <c r="R48" t="s">
        <v>121</v>
      </c>
      <c r="S48" t="s">
        <v>18</v>
      </c>
    </row>
    <row r="49" spans="1:19" ht="13.5" thickBot="1">
      <c r="A49" s="250" t="s">
        <v>107</v>
      </c>
      <c r="B49" s="256"/>
      <c r="C49" s="250">
        <f aca="true" t="shared" si="6" ref="C49:R49">+C21+C35</f>
        <v>-5002.599999999999</v>
      </c>
      <c r="D49" s="250">
        <f t="shared" si="6"/>
        <v>-1036.46</v>
      </c>
      <c r="E49" s="250">
        <f t="shared" si="6"/>
        <v>5797.129999999999</v>
      </c>
      <c r="F49" s="250">
        <f t="shared" si="6"/>
        <v>5856.910000000002</v>
      </c>
      <c r="G49" s="250">
        <f t="shared" si="6"/>
        <v>5717.549999999999</v>
      </c>
      <c r="H49" s="250">
        <f t="shared" si="6"/>
        <v>4277.69</v>
      </c>
      <c r="I49" s="250">
        <f t="shared" si="6"/>
        <v>3954.07</v>
      </c>
      <c r="J49" s="250">
        <f t="shared" si="6"/>
        <v>367.24</v>
      </c>
      <c r="K49" s="250">
        <f t="shared" si="6"/>
        <v>9.74</v>
      </c>
      <c r="L49" s="250">
        <f t="shared" si="6"/>
        <v>8.84</v>
      </c>
      <c r="M49" s="250">
        <f t="shared" si="6"/>
        <v>3.5</v>
      </c>
      <c r="N49" s="250">
        <f t="shared" si="6"/>
        <v>0</v>
      </c>
      <c r="O49" s="250">
        <f t="shared" si="6"/>
        <v>0</v>
      </c>
      <c r="P49" s="250">
        <f t="shared" si="6"/>
        <v>0</v>
      </c>
      <c r="Q49" s="250">
        <f t="shared" si="6"/>
        <v>0</v>
      </c>
      <c r="R49" s="250">
        <f t="shared" si="6"/>
        <v>0</v>
      </c>
      <c r="S49" s="250">
        <f>+SUM(C49:R49)</f>
        <v>19953.610000000004</v>
      </c>
    </row>
    <row r="50" spans="1:19" ht="13.5" thickBot="1">
      <c r="A50" s="251" t="s">
        <v>108</v>
      </c>
      <c r="B50" s="256"/>
      <c r="C50" s="250">
        <f aca="true" t="shared" si="7" ref="C50:R50">+C22+C36</f>
        <v>-1411.73</v>
      </c>
      <c r="D50" s="250">
        <f t="shared" si="7"/>
        <v>-264.74</v>
      </c>
      <c r="E50" s="251">
        <f t="shared" si="7"/>
        <v>1585.69</v>
      </c>
      <c r="F50" s="251">
        <f t="shared" si="7"/>
        <v>1697.61</v>
      </c>
      <c r="G50" s="251">
        <f t="shared" si="7"/>
        <v>1644.6499999999999</v>
      </c>
      <c r="H50" s="251">
        <f t="shared" si="7"/>
        <v>1271.88</v>
      </c>
      <c r="I50" s="251">
        <f t="shared" si="7"/>
        <v>1320.75</v>
      </c>
      <c r="J50" s="251">
        <f t="shared" si="7"/>
        <v>112.44</v>
      </c>
      <c r="K50" s="251">
        <f t="shared" si="7"/>
        <v>0</v>
      </c>
      <c r="L50" s="251">
        <f t="shared" si="7"/>
        <v>-1.08</v>
      </c>
      <c r="M50" s="251">
        <f t="shared" si="7"/>
        <v>0</v>
      </c>
      <c r="N50" s="251">
        <f t="shared" si="7"/>
        <v>0</v>
      </c>
      <c r="O50" s="251">
        <f t="shared" si="7"/>
        <v>0</v>
      </c>
      <c r="P50" s="251">
        <f t="shared" si="7"/>
        <v>0</v>
      </c>
      <c r="Q50" s="251">
        <f t="shared" si="7"/>
        <v>0</v>
      </c>
      <c r="R50" s="251">
        <f t="shared" si="7"/>
        <v>0</v>
      </c>
      <c r="S50" s="251">
        <f>+SUM(C50:R50)</f>
        <v>5955.469999999999</v>
      </c>
    </row>
    <row r="51" spans="1:19" ht="13.5" thickBot="1">
      <c r="A51" s="251"/>
      <c r="B51" s="256"/>
      <c r="C51" s="250"/>
      <c r="D51" s="250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>
        <f>+SUM(C51:R51)</f>
        <v>0</v>
      </c>
    </row>
    <row r="52" spans="1:19" ht="13.5" thickBot="1">
      <c r="A52" s="251" t="s">
        <v>109</v>
      </c>
      <c r="B52" s="256"/>
      <c r="C52" s="250">
        <f aca="true" t="shared" si="8" ref="C52:R52">+C24+C38</f>
        <v>-1.3</v>
      </c>
      <c r="D52" s="250">
        <f t="shared" si="8"/>
        <v>-0.36</v>
      </c>
      <c r="E52" s="251">
        <f t="shared" si="8"/>
        <v>1.62</v>
      </c>
      <c r="F52" s="251">
        <f t="shared" si="8"/>
        <v>1.5099999999999998</v>
      </c>
      <c r="G52" s="251">
        <f t="shared" si="8"/>
        <v>2.21</v>
      </c>
      <c r="H52" s="251">
        <f t="shared" si="8"/>
        <v>1.08</v>
      </c>
      <c r="I52" s="251">
        <f t="shared" si="8"/>
        <v>1.06</v>
      </c>
      <c r="J52" s="251">
        <f t="shared" si="8"/>
        <v>0.24</v>
      </c>
      <c r="K52" s="251">
        <f t="shared" si="8"/>
        <v>0</v>
      </c>
      <c r="L52" s="251">
        <f t="shared" si="8"/>
        <v>0</v>
      </c>
      <c r="M52" s="251">
        <f t="shared" si="8"/>
        <v>-0.07</v>
      </c>
      <c r="N52" s="251">
        <f t="shared" si="8"/>
        <v>0</v>
      </c>
      <c r="O52" s="251">
        <f t="shared" si="8"/>
        <v>0</v>
      </c>
      <c r="P52" s="251">
        <f t="shared" si="8"/>
        <v>0</v>
      </c>
      <c r="Q52" s="251">
        <f t="shared" si="8"/>
        <v>0</v>
      </c>
      <c r="R52" s="251">
        <f t="shared" si="8"/>
        <v>0</v>
      </c>
      <c r="S52" s="251">
        <f aca="true" t="shared" si="9" ref="S52:S58">+SUM(C52:R52)</f>
        <v>5.99</v>
      </c>
    </row>
    <row r="53" spans="1:19" ht="13.5" thickBot="1">
      <c r="A53" s="251" t="s">
        <v>110</v>
      </c>
      <c r="B53" s="256"/>
      <c r="C53" s="250">
        <f aca="true" t="shared" si="10" ref="C53:R53">+C25+C39</f>
        <v>-440.87</v>
      </c>
      <c r="D53" s="250">
        <f t="shared" si="10"/>
        <v>-90.43</v>
      </c>
      <c r="E53" s="251">
        <f t="shared" si="10"/>
        <v>481.15</v>
      </c>
      <c r="F53" s="251">
        <f t="shared" si="10"/>
        <v>533.76</v>
      </c>
      <c r="G53" s="251">
        <f t="shared" si="10"/>
        <v>538.98</v>
      </c>
      <c r="H53" s="251">
        <f t="shared" si="10"/>
        <v>433.28</v>
      </c>
      <c r="I53" s="251">
        <f t="shared" si="10"/>
        <v>465.8</v>
      </c>
      <c r="J53" s="251">
        <f t="shared" si="10"/>
        <v>-211.47</v>
      </c>
      <c r="K53" s="251">
        <f t="shared" si="10"/>
        <v>-14.86</v>
      </c>
      <c r="L53" s="251">
        <f t="shared" si="10"/>
        <v>14.83</v>
      </c>
      <c r="M53" s="251">
        <f t="shared" si="10"/>
        <v>0</v>
      </c>
      <c r="N53" s="251">
        <f t="shared" si="10"/>
        <v>0</v>
      </c>
      <c r="O53" s="251">
        <f t="shared" si="10"/>
        <v>0</v>
      </c>
      <c r="P53" s="251">
        <f t="shared" si="10"/>
        <v>0</v>
      </c>
      <c r="Q53" s="251">
        <f t="shared" si="10"/>
        <v>0</v>
      </c>
      <c r="R53" s="251">
        <f t="shared" si="10"/>
        <v>0</v>
      </c>
      <c r="S53" s="251">
        <f t="shared" si="9"/>
        <v>1710.1699999999998</v>
      </c>
    </row>
    <row r="54" spans="1:19" ht="13.5" thickBot="1">
      <c r="A54" s="251" t="s">
        <v>111</v>
      </c>
      <c r="B54" s="256"/>
      <c r="C54" s="250">
        <f aca="true" t="shared" si="11" ref="C54:R54">+C26+C40</f>
        <v>-228.91</v>
      </c>
      <c r="D54" s="250">
        <f t="shared" si="11"/>
        <v>0</v>
      </c>
      <c r="E54" s="251">
        <f t="shared" si="11"/>
        <v>228.91</v>
      </c>
      <c r="F54" s="251">
        <f t="shared" si="11"/>
        <v>224.87</v>
      </c>
      <c r="G54" s="251">
        <f t="shared" si="11"/>
        <v>225.09</v>
      </c>
      <c r="H54" s="251">
        <f t="shared" si="11"/>
        <v>239.7</v>
      </c>
      <c r="I54" s="251">
        <f t="shared" si="11"/>
        <v>241.61</v>
      </c>
      <c r="J54" s="251">
        <f t="shared" si="11"/>
        <v>270.85</v>
      </c>
      <c r="K54" s="251">
        <f t="shared" si="11"/>
        <v>0</v>
      </c>
      <c r="L54" s="251">
        <f t="shared" si="11"/>
        <v>0</v>
      </c>
      <c r="M54" s="251">
        <f t="shared" si="11"/>
        <v>0</v>
      </c>
      <c r="N54" s="251">
        <f t="shared" si="11"/>
        <v>0</v>
      </c>
      <c r="O54" s="251">
        <f t="shared" si="11"/>
        <v>0</v>
      </c>
      <c r="P54" s="251">
        <f t="shared" si="11"/>
        <v>0</v>
      </c>
      <c r="Q54" s="251">
        <f t="shared" si="11"/>
        <v>0</v>
      </c>
      <c r="R54" s="251">
        <f t="shared" si="11"/>
        <v>0</v>
      </c>
      <c r="S54" s="251">
        <f t="shared" si="9"/>
        <v>1202.1200000000001</v>
      </c>
    </row>
    <row r="55" spans="1:19" ht="13.5" thickBot="1">
      <c r="A55" s="251" t="s">
        <v>112</v>
      </c>
      <c r="B55" s="256"/>
      <c r="C55" s="250">
        <f aca="true" t="shared" si="12" ref="C55:R55">+C27+C41</f>
        <v>-360.39</v>
      </c>
      <c r="D55" s="250">
        <f t="shared" si="12"/>
        <v>0</v>
      </c>
      <c r="E55" s="251">
        <f t="shared" si="12"/>
        <v>360.39</v>
      </c>
      <c r="F55" s="251">
        <f t="shared" si="12"/>
        <v>365.45</v>
      </c>
      <c r="G55" s="251">
        <f t="shared" si="12"/>
        <v>360.09</v>
      </c>
      <c r="H55" s="251">
        <f t="shared" si="12"/>
        <v>359.32</v>
      </c>
      <c r="I55" s="251">
        <f t="shared" si="12"/>
        <v>355.63</v>
      </c>
      <c r="J55" s="251">
        <f t="shared" si="12"/>
        <v>0</v>
      </c>
      <c r="K55" s="251">
        <f t="shared" si="12"/>
        <v>0</v>
      </c>
      <c r="L55" s="251">
        <f t="shared" si="12"/>
        <v>0</v>
      </c>
      <c r="M55" s="251">
        <f t="shared" si="12"/>
        <v>0</v>
      </c>
      <c r="N55" s="251">
        <f t="shared" si="12"/>
        <v>0</v>
      </c>
      <c r="O55" s="251">
        <f t="shared" si="12"/>
        <v>0</v>
      </c>
      <c r="P55" s="251">
        <f t="shared" si="12"/>
        <v>0</v>
      </c>
      <c r="Q55" s="251">
        <f t="shared" si="12"/>
        <v>0</v>
      </c>
      <c r="R55" s="251">
        <f t="shared" si="12"/>
        <v>0</v>
      </c>
      <c r="S55" s="251">
        <f t="shared" si="9"/>
        <v>1440.4899999999998</v>
      </c>
    </row>
    <row r="56" spans="1:19" ht="13.5" thickBot="1">
      <c r="A56" s="251" t="s">
        <v>113</v>
      </c>
      <c r="B56" s="256"/>
      <c r="C56" s="250">
        <f aca="true" t="shared" si="13" ref="C56:R56">+C28+C42</f>
        <v>0</v>
      </c>
      <c r="D56" s="250">
        <f t="shared" si="13"/>
        <v>0</v>
      </c>
      <c r="E56" s="251">
        <f t="shared" si="13"/>
        <v>0</v>
      </c>
      <c r="F56" s="251">
        <f t="shared" si="13"/>
        <v>0</v>
      </c>
      <c r="G56" s="251">
        <f t="shared" si="13"/>
        <v>0</v>
      </c>
      <c r="H56" s="251">
        <f t="shared" si="13"/>
        <v>0</v>
      </c>
      <c r="I56" s="251">
        <f t="shared" si="13"/>
        <v>0</v>
      </c>
      <c r="J56" s="251">
        <f t="shared" si="13"/>
        <v>0</v>
      </c>
      <c r="K56" s="251">
        <f t="shared" si="13"/>
        <v>0</v>
      </c>
      <c r="L56" s="251">
        <f t="shared" si="13"/>
        <v>0</v>
      </c>
      <c r="M56" s="251">
        <f t="shared" si="13"/>
        <v>0</v>
      </c>
      <c r="N56" s="251">
        <f t="shared" si="13"/>
        <v>0</v>
      </c>
      <c r="O56" s="251">
        <f t="shared" si="13"/>
        <v>0</v>
      </c>
      <c r="P56" s="251">
        <f t="shared" si="13"/>
        <v>0</v>
      </c>
      <c r="Q56" s="251">
        <f t="shared" si="13"/>
        <v>0</v>
      </c>
      <c r="R56" s="251">
        <f t="shared" si="13"/>
        <v>0</v>
      </c>
      <c r="S56" s="251">
        <f t="shared" si="9"/>
        <v>0</v>
      </c>
    </row>
    <row r="57" spans="1:19" ht="13.5" thickBot="1">
      <c r="A57" s="251" t="s">
        <v>114</v>
      </c>
      <c r="B57" s="256"/>
      <c r="C57" s="250">
        <f aca="true" t="shared" si="14" ref="C57:R57">+C29+C43</f>
        <v>-112.45</v>
      </c>
      <c r="D57" s="250">
        <f t="shared" si="14"/>
        <v>0</v>
      </c>
      <c r="E57" s="251">
        <f t="shared" si="14"/>
        <v>112.45</v>
      </c>
      <c r="F57" s="251">
        <f t="shared" si="14"/>
        <v>112.45</v>
      </c>
      <c r="G57" s="251">
        <f t="shared" si="14"/>
        <v>112.45</v>
      </c>
      <c r="H57" s="251">
        <f t="shared" si="14"/>
        <v>112.45</v>
      </c>
      <c r="I57" s="251">
        <f t="shared" si="14"/>
        <v>112.45</v>
      </c>
      <c r="J57" s="251">
        <f t="shared" si="14"/>
        <v>0</v>
      </c>
      <c r="K57" s="251">
        <f t="shared" si="14"/>
        <v>0</v>
      </c>
      <c r="L57" s="251">
        <f t="shared" si="14"/>
        <v>0</v>
      </c>
      <c r="M57" s="251">
        <f t="shared" si="14"/>
        <v>0</v>
      </c>
      <c r="N57" s="251">
        <f t="shared" si="14"/>
        <v>0</v>
      </c>
      <c r="O57" s="251">
        <f t="shared" si="14"/>
        <v>0</v>
      </c>
      <c r="P57" s="251">
        <f t="shared" si="14"/>
        <v>0</v>
      </c>
      <c r="Q57" s="251">
        <f t="shared" si="14"/>
        <v>0</v>
      </c>
      <c r="R57" s="251">
        <f t="shared" si="14"/>
        <v>0</v>
      </c>
      <c r="S57" s="251">
        <f t="shared" si="9"/>
        <v>449.8</v>
      </c>
    </row>
    <row r="58" spans="1:19" ht="12.75">
      <c r="A58" s="251" t="s">
        <v>115</v>
      </c>
      <c r="B58" s="256"/>
      <c r="C58" s="250">
        <f aca="true" t="shared" si="15" ref="C58:R58">+C30+C44</f>
        <v>-27.29</v>
      </c>
      <c r="D58" s="250">
        <f t="shared" si="15"/>
        <v>-2.92</v>
      </c>
      <c r="E58" s="251">
        <f t="shared" si="15"/>
        <v>28.17</v>
      </c>
      <c r="F58" s="251">
        <f t="shared" si="15"/>
        <v>14.25</v>
      </c>
      <c r="G58" s="251">
        <f t="shared" si="15"/>
        <v>14.04</v>
      </c>
      <c r="H58" s="251">
        <f t="shared" si="15"/>
        <v>8.120000000000001</v>
      </c>
      <c r="I58" s="251">
        <f t="shared" si="15"/>
        <v>12.91</v>
      </c>
      <c r="J58" s="251">
        <f t="shared" si="15"/>
        <v>1.89</v>
      </c>
      <c r="K58" s="251">
        <f t="shared" si="15"/>
        <v>-1.31</v>
      </c>
      <c r="L58" s="251">
        <f t="shared" si="15"/>
        <v>1.31</v>
      </c>
      <c r="M58" s="251">
        <f t="shared" si="15"/>
        <v>0</v>
      </c>
      <c r="N58" s="251">
        <f t="shared" si="15"/>
        <v>0</v>
      </c>
      <c r="O58" s="251">
        <f t="shared" si="15"/>
        <v>0</v>
      </c>
      <c r="P58" s="251">
        <f t="shared" si="15"/>
        <v>0</v>
      </c>
      <c r="Q58" s="251">
        <f t="shared" si="15"/>
        <v>0</v>
      </c>
      <c r="R58" s="251">
        <f t="shared" si="15"/>
        <v>0</v>
      </c>
      <c r="S58" s="251">
        <f t="shared" si="9"/>
        <v>49.17</v>
      </c>
    </row>
    <row r="59" spans="1:19" ht="12.75">
      <c r="A59" s="251"/>
      <c r="B59" s="251"/>
      <c r="C59" s="251">
        <f aca="true" t="shared" si="16" ref="C59:S59">+SUM(C49:C58)</f>
        <v>-7585.54</v>
      </c>
      <c r="D59" s="251">
        <f t="shared" si="16"/>
        <v>-1394.91</v>
      </c>
      <c r="E59" s="251">
        <f t="shared" si="16"/>
        <v>8595.51</v>
      </c>
      <c r="F59" s="251">
        <f t="shared" si="16"/>
        <v>8806.810000000003</v>
      </c>
      <c r="G59" s="251">
        <f t="shared" si="16"/>
        <v>8615.060000000001</v>
      </c>
      <c r="H59" s="251">
        <f t="shared" si="16"/>
        <v>6703.519999999999</v>
      </c>
      <c r="I59" s="251">
        <f t="shared" si="16"/>
        <v>6464.28</v>
      </c>
      <c r="J59" s="251">
        <f t="shared" si="16"/>
        <v>541.19</v>
      </c>
      <c r="K59" s="251">
        <f t="shared" si="16"/>
        <v>-6.43</v>
      </c>
      <c r="L59" s="251">
        <f t="shared" si="16"/>
        <v>23.9</v>
      </c>
      <c r="M59" s="251">
        <f t="shared" si="16"/>
        <v>3.43</v>
      </c>
      <c r="N59" s="251">
        <f t="shared" si="16"/>
        <v>0</v>
      </c>
      <c r="O59" s="251">
        <f t="shared" si="16"/>
        <v>0</v>
      </c>
      <c r="P59" s="251">
        <f t="shared" si="16"/>
        <v>0</v>
      </c>
      <c r="Q59" s="251">
        <f t="shared" si="16"/>
        <v>0</v>
      </c>
      <c r="R59" s="251">
        <f t="shared" si="16"/>
        <v>0</v>
      </c>
      <c r="S59" s="251">
        <f t="shared" si="16"/>
        <v>30766.819999999996</v>
      </c>
    </row>
    <row r="60" spans="1:19" ht="12.75">
      <c r="A60" s="254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</row>
    <row r="62" spans="1:19" ht="13.5" thickBot="1">
      <c r="A62" s="253" t="s">
        <v>123</v>
      </c>
      <c r="C62" t="s">
        <v>117</v>
      </c>
      <c r="D62" t="s">
        <v>118</v>
      </c>
      <c r="E62" t="s">
        <v>119</v>
      </c>
      <c r="F62" t="s">
        <v>37</v>
      </c>
      <c r="G62" t="s">
        <v>38</v>
      </c>
      <c r="H62" t="s">
        <v>39</v>
      </c>
      <c r="I62" t="s">
        <v>40</v>
      </c>
      <c r="J62" t="s">
        <v>41</v>
      </c>
      <c r="K62" t="s">
        <v>42</v>
      </c>
      <c r="L62" t="s">
        <v>43</v>
      </c>
      <c r="M62" t="s">
        <v>44</v>
      </c>
      <c r="N62" t="s">
        <v>45</v>
      </c>
      <c r="O62" t="s">
        <v>46</v>
      </c>
      <c r="P62" t="s">
        <v>47</v>
      </c>
      <c r="Q62" t="s">
        <v>120</v>
      </c>
      <c r="R62" t="s">
        <v>121</v>
      </c>
      <c r="S62" t="s">
        <v>18</v>
      </c>
    </row>
    <row r="63" spans="1:19" ht="12.75">
      <c r="A63" s="250" t="s">
        <v>107</v>
      </c>
      <c r="C63" s="250">
        <f aca="true" t="shared" si="17" ref="C63:R63">+C49+C7</f>
        <v>-5002.599999999999</v>
      </c>
      <c r="D63" s="250">
        <f t="shared" si="17"/>
        <v>-1036.46</v>
      </c>
      <c r="E63" s="250">
        <f t="shared" si="17"/>
        <v>5797.129999999999</v>
      </c>
      <c r="F63" s="250">
        <f t="shared" si="17"/>
        <v>5856.910000000002</v>
      </c>
      <c r="G63" s="250">
        <f t="shared" si="17"/>
        <v>5717.549999999999</v>
      </c>
      <c r="H63" s="250">
        <f t="shared" si="17"/>
        <v>4277.69</v>
      </c>
      <c r="I63" s="250">
        <f t="shared" si="17"/>
        <v>3954.07</v>
      </c>
      <c r="J63" s="250">
        <f t="shared" si="17"/>
        <v>367.24</v>
      </c>
      <c r="K63" s="250">
        <f t="shared" si="17"/>
        <v>9.74</v>
      </c>
      <c r="L63" s="250">
        <f t="shared" si="17"/>
        <v>8.84</v>
      </c>
      <c r="M63" s="250">
        <f t="shared" si="17"/>
        <v>3.5</v>
      </c>
      <c r="N63" s="250">
        <f t="shared" si="17"/>
        <v>0</v>
      </c>
      <c r="O63" s="250">
        <f t="shared" si="17"/>
        <v>0</v>
      </c>
      <c r="P63" s="250">
        <f t="shared" si="17"/>
        <v>0</v>
      </c>
      <c r="Q63" s="250">
        <f t="shared" si="17"/>
        <v>0</v>
      </c>
      <c r="R63" s="250">
        <f t="shared" si="17"/>
        <v>0</v>
      </c>
      <c r="S63" s="250">
        <f>+SUM(C63:R63)</f>
        <v>19953.610000000004</v>
      </c>
    </row>
    <row r="64" spans="1:19" ht="12.75">
      <c r="A64" s="251" t="s">
        <v>108</v>
      </c>
      <c r="C64" s="251">
        <f aca="true" t="shared" si="18" ref="C64:R64">+C50+C8</f>
        <v>-1411.73</v>
      </c>
      <c r="D64" s="251">
        <f t="shared" si="18"/>
        <v>-264.74</v>
      </c>
      <c r="E64" s="251">
        <f t="shared" si="18"/>
        <v>1585.69</v>
      </c>
      <c r="F64" s="251">
        <f t="shared" si="18"/>
        <v>1697.61</v>
      </c>
      <c r="G64" s="251">
        <f t="shared" si="18"/>
        <v>1644.6499999999999</v>
      </c>
      <c r="H64" s="251">
        <f t="shared" si="18"/>
        <v>1271.88</v>
      </c>
      <c r="I64" s="251">
        <f t="shared" si="18"/>
        <v>1320.75</v>
      </c>
      <c r="J64" s="251">
        <f t="shared" si="18"/>
        <v>112.44</v>
      </c>
      <c r="K64" s="251">
        <f t="shared" si="18"/>
        <v>0</v>
      </c>
      <c r="L64" s="251">
        <f t="shared" si="18"/>
        <v>-1.08</v>
      </c>
      <c r="M64" s="251">
        <f t="shared" si="18"/>
        <v>0</v>
      </c>
      <c r="N64" s="251">
        <f t="shared" si="18"/>
        <v>0</v>
      </c>
      <c r="O64" s="251">
        <f t="shared" si="18"/>
        <v>0</v>
      </c>
      <c r="P64" s="251">
        <f t="shared" si="18"/>
        <v>0</v>
      </c>
      <c r="Q64" s="251">
        <f t="shared" si="18"/>
        <v>0</v>
      </c>
      <c r="R64" s="251">
        <f t="shared" si="18"/>
        <v>0</v>
      </c>
      <c r="S64" s="251">
        <f>+SUM(C64:R64)</f>
        <v>5955.469999999999</v>
      </c>
    </row>
    <row r="65" spans="1:19" ht="12.75">
      <c r="A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>
        <f>+SUM(C65:R65)</f>
        <v>0</v>
      </c>
    </row>
    <row r="66" spans="1:19" ht="12.75">
      <c r="A66" s="251" t="s">
        <v>109</v>
      </c>
      <c r="C66" s="251">
        <f aca="true" t="shared" si="19" ref="C66:R66">+C52+C10</f>
        <v>-1.3</v>
      </c>
      <c r="D66" s="251">
        <f t="shared" si="19"/>
        <v>-0.36</v>
      </c>
      <c r="E66" s="251">
        <f t="shared" si="19"/>
        <v>1.62</v>
      </c>
      <c r="F66" s="251">
        <f t="shared" si="19"/>
        <v>1.5099999999999998</v>
      </c>
      <c r="G66" s="251">
        <f t="shared" si="19"/>
        <v>2.21</v>
      </c>
      <c r="H66" s="251">
        <f t="shared" si="19"/>
        <v>1.08</v>
      </c>
      <c r="I66" s="251">
        <f t="shared" si="19"/>
        <v>1.06</v>
      </c>
      <c r="J66" s="251">
        <f t="shared" si="19"/>
        <v>0.24</v>
      </c>
      <c r="K66" s="251">
        <f t="shared" si="19"/>
        <v>0</v>
      </c>
      <c r="L66" s="251">
        <f t="shared" si="19"/>
        <v>0</v>
      </c>
      <c r="M66" s="251">
        <f t="shared" si="19"/>
        <v>-0.07</v>
      </c>
      <c r="N66" s="251">
        <f t="shared" si="19"/>
        <v>0</v>
      </c>
      <c r="O66" s="251">
        <f t="shared" si="19"/>
        <v>0</v>
      </c>
      <c r="P66" s="251">
        <f t="shared" si="19"/>
        <v>0</v>
      </c>
      <c r="Q66" s="251">
        <f t="shared" si="19"/>
        <v>0</v>
      </c>
      <c r="R66" s="251">
        <f t="shared" si="19"/>
        <v>0</v>
      </c>
      <c r="S66" s="251">
        <f aca="true" t="shared" si="20" ref="S66:S72">+SUM(C66:R66)</f>
        <v>5.99</v>
      </c>
    </row>
    <row r="67" spans="1:19" ht="12.75">
      <c r="A67" s="251" t="s">
        <v>110</v>
      </c>
      <c r="C67" s="251">
        <f aca="true" t="shared" si="21" ref="C67:R67">+C53+C11</f>
        <v>-440.87</v>
      </c>
      <c r="D67" s="251">
        <f t="shared" si="21"/>
        <v>-90.43</v>
      </c>
      <c r="E67" s="251">
        <f t="shared" si="21"/>
        <v>481.15</v>
      </c>
      <c r="F67" s="251">
        <f t="shared" si="21"/>
        <v>533.76</v>
      </c>
      <c r="G67" s="251">
        <f t="shared" si="21"/>
        <v>538.98</v>
      </c>
      <c r="H67" s="251">
        <f t="shared" si="21"/>
        <v>433.28</v>
      </c>
      <c r="I67" s="251">
        <f t="shared" si="21"/>
        <v>465.8</v>
      </c>
      <c r="J67" s="251">
        <f t="shared" si="21"/>
        <v>-211.47</v>
      </c>
      <c r="K67" s="251">
        <f t="shared" si="21"/>
        <v>-14.86</v>
      </c>
      <c r="L67" s="251">
        <f t="shared" si="21"/>
        <v>14.83</v>
      </c>
      <c r="M67" s="251">
        <f t="shared" si="21"/>
        <v>0</v>
      </c>
      <c r="N67" s="251">
        <f t="shared" si="21"/>
        <v>0</v>
      </c>
      <c r="O67" s="251">
        <f t="shared" si="21"/>
        <v>0</v>
      </c>
      <c r="P67" s="251">
        <f t="shared" si="21"/>
        <v>0</v>
      </c>
      <c r="Q67" s="251">
        <f t="shared" si="21"/>
        <v>0</v>
      </c>
      <c r="R67" s="251">
        <f t="shared" si="21"/>
        <v>0</v>
      </c>
      <c r="S67" s="251">
        <f t="shared" si="20"/>
        <v>1710.1699999999998</v>
      </c>
    </row>
    <row r="68" spans="1:19" ht="12.75">
      <c r="A68" s="251" t="s">
        <v>111</v>
      </c>
      <c r="C68" s="251">
        <f aca="true" t="shared" si="22" ref="C68:R68">+C54+C12</f>
        <v>-228.91</v>
      </c>
      <c r="D68" s="251">
        <f t="shared" si="22"/>
        <v>0</v>
      </c>
      <c r="E68" s="251">
        <f t="shared" si="22"/>
        <v>228.91</v>
      </c>
      <c r="F68" s="251">
        <f t="shared" si="22"/>
        <v>224.87</v>
      </c>
      <c r="G68" s="251">
        <f t="shared" si="22"/>
        <v>225.09</v>
      </c>
      <c r="H68" s="251">
        <f t="shared" si="22"/>
        <v>239.7</v>
      </c>
      <c r="I68" s="251">
        <f t="shared" si="22"/>
        <v>241.61</v>
      </c>
      <c r="J68" s="251">
        <f t="shared" si="22"/>
        <v>270.85</v>
      </c>
      <c r="K68" s="251">
        <f t="shared" si="22"/>
        <v>0</v>
      </c>
      <c r="L68" s="251">
        <f t="shared" si="22"/>
        <v>0</v>
      </c>
      <c r="M68" s="251">
        <f t="shared" si="22"/>
        <v>0</v>
      </c>
      <c r="N68" s="251">
        <f t="shared" si="22"/>
        <v>0</v>
      </c>
      <c r="O68" s="251">
        <f t="shared" si="22"/>
        <v>0</v>
      </c>
      <c r="P68" s="251">
        <f t="shared" si="22"/>
        <v>0</v>
      </c>
      <c r="Q68" s="251">
        <f t="shared" si="22"/>
        <v>0</v>
      </c>
      <c r="R68" s="251">
        <f t="shared" si="22"/>
        <v>0</v>
      </c>
      <c r="S68" s="251">
        <f t="shared" si="20"/>
        <v>1202.1200000000001</v>
      </c>
    </row>
    <row r="69" spans="1:19" ht="12.75">
      <c r="A69" s="251" t="s">
        <v>112</v>
      </c>
      <c r="C69" s="251">
        <f aca="true" t="shared" si="23" ref="C69:R69">+C55+C13</f>
        <v>-360.39</v>
      </c>
      <c r="D69" s="251">
        <f t="shared" si="23"/>
        <v>0</v>
      </c>
      <c r="E69" s="251">
        <f t="shared" si="23"/>
        <v>360.39</v>
      </c>
      <c r="F69" s="251">
        <f t="shared" si="23"/>
        <v>365.45</v>
      </c>
      <c r="G69" s="251">
        <f t="shared" si="23"/>
        <v>360.09</v>
      </c>
      <c r="H69" s="251">
        <f t="shared" si="23"/>
        <v>359.32</v>
      </c>
      <c r="I69" s="251">
        <f t="shared" si="23"/>
        <v>355.63</v>
      </c>
      <c r="J69" s="251">
        <f t="shared" si="23"/>
        <v>0</v>
      </c>
      <c r="K69" s="251">
        <f t="shared" si="23"/>
        <v>0</v>
      </c>
      <c r="L69" s="251">
        <f t="shared" si="23"/>
        <v>0</v>
      </c>
      <c r="M69" s="251">
        <f t="shared" si="23"/>
        <v>0</v>
      </c>
      <c r="N69" s="251">
        <f t="shared" si="23"/>
        <v>0</v>
      </c>
      <c r="O69" s="251">
        <f t="shared" si="23"/>
        <v>0</v>
      </c>
      <c r="P69" s="251">
        <f t="shared" si="23"/>
        <v>0</v>
      </c>
      <c r="Q69" s="251">
        <f t="shared" si="23"/>
        <v>0</v>
      </c>
      <c r="R69" s="251">
        <f t="shared" si="23"/>
        <v>0</v>
      </c>
      <c r="S69" s="251">
        <f t="shared" si="20"/>
        <v>1440.4899999999998</v>
      </c>
    </row>
    <row r="70" spans="1:19" ht="12.75">
      <c r="A70" s="251" t="s">
        <v>113</v>
      </c>
      <c r="C70" s="251">
        <f aca="true" t="shared" si="24" ref="C70:R70">+C56+C14</f>
        <v>0</v>
      </c>
      <c r="D70" s="251">
        <f t="shared" si="24"/>
        <v>0</v>
      </c>
      <c r="E70" s="251">
        <f t="shared" si="24"/>
        <v>0</v>
      </c>
      <c r="F70" s="251">
        <f t="shared" si="24"/>
        <v>0</v>
      </c>
      <c r="G70" s="251">
        <f t="shared" si="24"/>
        <v>0</v>
      </c>
      <c r="H70" s="251">
        <f t="shared" si="24"/>
        <v>0</v>
      </c>
      <c r="I70" s="251">
        <f t="shared" si="24"/>
        <v>0</v>
      </c>
      <c r="J70" s="251">
        <f t="shared" si="24"/>
        <v>0</v>
      </c>
      <c r="K70" s="251">
        <f t="shared" si="24"/>
        <v>0</v>
      </c>
      <c r="L70" s="251">
        <f t="shared" si="24"/>
        <v>0</v>
      </c>
      <c r="M70" s="251">
        <f t="shared" si="24"/>
        <v>0</v>
      </c>
      <c r="N70" s="251">
        <f t="shared" si="24"/>
        <v>0</v>
      </c>
      <c r="O70" s="251">
        <f t="shared" si="24"/>
        <v>0</v>
      </c>
      <c r="P70" s="251">
        <f t="shared" si="24"/>
        <v>0</v>
      </c>
      <c r="Q70" s="251">
        <f t="shared" si="24"/>
        <v>0</v>
      </c>
      <c r="R70" s="251">
        <f t="shared" si="24"/>
        <v>0</v>
      </c>
      <c r="S70" s="251">
        <f t="shared" si="20"/>
        <v>0</v>
      </c>
    </row>
    <row r="71" spans="1:19" ht="12.75">
      <c r="A71" s="251" t="s">
        <v>114</v>
      </c>
      <c r="C71" s="251">
        <f aca="true" t="shared" si="25" ref="C71:R71">+C57+C15</f>
        <v>-112.45</v>
      </c>
      <c r="D71" s="251">
        <f t="shared" si="25"/>
        <v>0</v>
      </c>
      <c r="E71" s="251">
        <f t="shared" si="25"/>
        <v>112.45</v>
      </c>
      <c r="F71" s="251">
        <f t="shared" si="25"/>
        <v>112.45</v>
      </c>
      <c r="G71" s="251">
        <f t="shared" si="25"/>
        <v>112.45</v>
      </c>
      <c r="H71" s="251">
        <f t="shared" si="25"/>
        <v>112.45</v>
      </c>
      <c r="I71" s="251">
        <f t="shared" si="25"/>
        <v>112.45</v>
      </c>
      <c r="J71" s="251">
        <f t="shared" si="25"/>
        <v>0</v>
      </c>
      <c r="K71" s="251">
        <f t="shared" si="25"/>
        <v>0</v>
      </c>
      <c r="L71" s="251">
        <f t="shared" si="25"/>
        <v>0</v>
      </c>
      <c r="M71" s="251">
        <f t="shared" si="25"/>
        <v>0</v>
      </c>
      <c r="N71" s="251">
        <f t="shared" si="25"/>
        <v>0</v>
      </c>
      <c r="O71" s="251">
        <f t="shared" si="25"/>
        <v>0</v>
      </c>
      <c r="P71" s="251">
        <f t="shared" si="25"/>
        <v>0</v>
      </c>
      <c r="Q71" s="251">
        <f t="shared" si="25"/>
        <v>0</v>
      </c>
      <c r="R71" s="251">
        <f t="shared" si="25"/>
        <v>0</v>
      </c>
      <c r="S71" s="251">
        <f t="shared" si="20"/>
        <v>449.8</v>
      </c>
    </row>
    <row r="72" spans="1:19" ht="12.75">
      <c r="A72" s="251" t="s">
        <v>115</v>
      </c>
      <c r="C72" s="251">
        <f aca="true" t="shared" si="26" ref="C72:R72">+C58+C16</f>
        <v>-27.29</v>
      </c>
      <c r="D72" s="251">
        <f t="shared" si="26"/>
        <v>-2.92</v>
      </c>
      <c r="E72" s="251">
        <f t="shared" si="26"/>
        <v>28.17</v>
      </c>
      <c r="F72" s="251">
        <f t="shared" si="26"/>
        <v>14.25</v>
      </c>
      <c r="G72" s="251">
        <f t="shared" si="26"/>
        <v>14.04</v>
      </c>
      <c r="H72" s="251">
        <f t="shared" si="26"/>
        <v>8.120000000000001</v>
      </c>
      <c r="I72" s="251">
        <f t="shared" si="26"/>
        <v>12.91</v>
      </c>
      <c r="J72" s="251">
        <f t="shared" si="26"/>
        <v>1.89</v>
      </c>
      <c r="K72" s="251">
        <f t="shared" si="26"/>
        <v>-1.31</v>
      </c>
      <c r="L72" s="251">
        <f t="shared" si="26"/>
        <v>1.31</v>
      </c>
      <c r="M72" s="251">
        <f t="shared" si="26"/>
        <v>0</v>
      </c>
      <c r="N72" s="251">
        <f t="shared" si="26"/>
        <v>0</v>
      </c>
      <c r="O72" s="251">
        <f t="shared" si="26"/>
        <v>0</v>
      </c>
      <c r="P72" s="251">
        <f t="shared" si="26"/>
        <v>0</v>
      </c>
      <c r="Q72" s="251">
        <f t="shared" si="26"/>
        <v>0</v>
      </c>
      <c r="R72" s="251">
        <f t="shared" si="26"/>
        <v>0</v>
      </c>
      <c r="S72" s="251">
        <f t="shared" si="20"/>
        <v>49.17</v>
      </c>
    </row>
    <row r="73" spans="1:19" ht="12.75">
      <c r="A73" s="251"/>
      <c r="C73" s="251">
        <f aca="true" t="shared" si="27" ref="C73:S73">+SUM(C63:C72)</f>
        <v>-7585.54</v>
      </c>
      <c r="D73" s="251">
        <f t="shared" si="27"/>
        <v>-1394.91</v>
      </c>
      <c r="E73" s="251">
        <f t="shared" si="27"/>
        <v>8595.51</v>
      </c>
      <c r="F73" s="251">
        <f t="shared" si="27"/>
        <v>8806.810000000003</v>
      </c>
      <c r="G73" s="251">
        <f t="shared" si="27"/>
        <v>8615.060000000001</v>
      </c>
      <c r="H73" s="251">
        <f t="shared" si="27"/>
        <v>6703.519999999999</v>
      </c>
      <c r="I73" s="251">
        <f t="shared" si="27"/>
        <v>6464.28</v>
      </c>
      <c r="J73" s="251">
        <f t="shared" si="27"/>
        <v>541.19</v>
      </c>
      <c r="K73" s="251">
        <f t="shared" si="27"/>
        <v>-6.43</v>
      </c>
      <c r="L73" s="251">
        <f t="shared" si="27"/>
        <v>23.9</v>
      </c>
      <c r="M73" s="251">
        <f t="shared" si="27"/>
        <v>3.43</v>
      </c>
      <c r="N73" s="251">
        <f t="shared" si="27"/>
        <v>0</v>
      </c>
      <c r="O73" s="251">
        <f t="shared" si="27"/>
        <v>0</v>
      </c>
      <c r="P73" s="251">
        <f t="shared" si="27"/>
        <v>0</v>
      </c>
      <c r="Q73" s="251">
        <f t="shared" si="27"/>
        <v>0</v>
      </c>
      <c r="R73" s="251">
        <f t="shared" si="27"/>
        <v>0</v>
      </c>
      <c r="S73" s="251">
        <f t="shared" si="27"/>
        <v>30766.819999999996</v>
      </c>
    </row>
    <row r="76" ht="12.75">
      <c r="A76" s="252"/>
    </row>
    <row r="77" spans="1:20" ht="13.5" thickBot="1">
      <c r="A77" s="253" t="s">
        <v>122</v>
      </c>
      <c r="B77" s="253" t="s">
        <v>28</v>
      </c>
      <c r="C77" t="s">
        <v>117</v>
      </c>
      <c r="D77" t="s">
        <v>118</v>
      </c>
      <c r="E77" t="s">
        <v>119</v>
      </c>
      <c r="F77" t="s">
        <v>37</v>
      </c>
      <c r="G77" t="s">
        <v>38</v>
      </c>
      <c r="H77" t="s">
        <v>39</v>
      </c>
      <c r="I77" t="s">
        <v>40</v>
      </c>
      <c r="J77" t="s">
        <v>41</v>
      </c>
      <c r="K77" t="s">
        <v>42</v>
      </c>
      <c r="L77" t="s">
        <v>43</v>
      </c>
      <c r="M77" t="s">
        <v>44</v>
      </c>
      <c r="N77" t="s">
        <v>45</v>
      </c>
      <c r="O77" t="s">
        <v>46</v>
      </c>
      <c r="P77" t="s">
        <v>47</v>
      </c>
      <c r="Q77" t="s">
        <v>120</v>
      </c>
      <c r="R77" t="s">
        <v>121</v>
      </c>
      <c r="S77" t="s">
        <v>18</v>
      </c>
      <c r="T77" s="260" t="s">
        <v>124</v>
      </c>
    </row>
    <row r="78" spans="1:20" ht="13.5" thickBot="1">
      <c r="A78" s="250" t="s">
        <v>107</v>
      </c>
      <c r="B78" s="250">
        <v>1.07</v>
      </c>
      <c r="C78" s="257">
        <f aca="true" t="shared" si="28" ref="C78:R78">+ROUND(C7/$B78,0)</f>
        <v>0</v>
      </c>
      <c r="D78" s="257">
        <f t="shared" si="28"/>
        <v>0</v>
      </c>
      <c r="E78" s="257">
        <f t="shared" si="28"/>
        <v>0</v>
      </c>
      <c r="F78" s="257">
        <f t="shared" si="28"/>
        <v>0</v>
      </c>
      <c r="G78" s="257">
        <f t="shared" si="28"/>
        <v>0</v>
      </c>
      <c r="H78" s="257">
        <f t="shared" si="28"/>
        <v>0</v>
      </c>
      <c r="I78" s="257">
        <f t="shared" si="28"/>
        <v>0</v>
      </c>
      <c r="J78" s="257">
        <f t="shared" si="28"/>
        <v>0</v>
      </c>
      <c r="K78" s="257">
        <f t="shared" si="28"/>
        <v>0</v>
      </c>
      <c r="L78" s="257">
        <f t="shared" si="28"/>
        <v>0</v>
      </c>
      <c r="M78" s="257">
        <f t="shared" si="28"/>
        <v>0</v>
      </c>
      <c r="N78" s="257">
        <f t="shared" si="28"/>
        <v>0</v>
      </c>
      <c r="O78" s="257">
        <f t="shared" si="28"/>
        <v>0</v>
      </c>
      <c r="P78" s="257">
        <f t="shared" si="28"/>
        <v>0</v>
      </c>
      <c r="Q78" s="257">
        <f t="shared" si="28"/>
        <v>0</v>
      </c>
      <c r="R78" s="257">
        <f t="shared" si="28"/>
        <v>0</v>
      </c>
      <c r="S78" s="257">
        <f>+SUM(C78:R78)</f>
        <v>0</v>
      </c>
      <c r="T78" s="259">
        <f>+ROUND(S78/12,0)</f>
        <v>0</v>
      </c>
    </row>
    <row r="79" spans="1:20" ht="13.5" thickBot="1">
      <c r="A79" s="251" t="s">
        <v>108</v>
      </c>
      <c r="B79" s="251">
        <v>2.29</v>
      </c>
      <c r="C79" s="257">
        <f aca="true" t="shared" si="29" ref="C79:R79">+ROUND(C8/$B79,0)</f>
        <v>0</v>
      </c>
      <c r="D79" s="257">
        <f t="shared" si="29"/>
        <v>0</v>
      </c>
      <c r="E79" s="257">
        <f t="shared" si="29"/>
        <v>0</v>
      </c>
      <c r="F79" s="257">
        <f t="shared" si="29"/>
        <v>0</v>
      </c>
      <c r="G79" s="257">
        <f t="shared" si="29"/>
        <v>0</v>
      </c>
      <c r="H79" s="257">
        <f t="shared" si="29"/>
        <v>0</v>
      </c>
      <c r="I79" s="257">
        <f t="shared" si="29"/>
        <v>0</v>
      </c>
      <c r="J79" s="257">
        <f t="shared" si="29"/>
        <v>0</v>
      </c>
      <c r="K79" s="257">
        <f t="shared" si="29"/>
        <v>0</v>
      </c>
      <c r="L79" s="257">
        <f t="shared" si="29"/>
        <v>0</v>
      </c>
      <c r="M79" s="257">
        <f t="shared" si="29"/>
        <v>0</v>
      </c>
      <c r="N79" s="257">
        <f t="shared" si="29"/>
        <v>0</v>
      </c>
      <c r="O79" s="257">
        <f t="shared" si="29"/>
        <v>0</v>
      </c>
      <c r="P79" s="257">
        <f t="shared" si="29"/>
        <v>0</v>
      </c>
      <c r="Q79" s="257">
        <f t="shared" si="29"/>
        <v>0</v>
      </c>
      <c r="R79" s="257">
        <f t="shared" si="29"/>
        <v>0</v>
      </c>
      <c r="S79" s="258">
        <f>+SUM(C79:R79)</f>
        <v>0</v>
      </c>
      <c r="T79" s="259">
        <f aca="true" t="shared" si="30" ref="T79:T87">+ROUND(S79/12,0)</f>
        <v>0</v>
      </c>
    </row>
    <row r="80" spans="1:20" ht="13.5" thickBot="1">
      <c r="A80" s="251"/>
      <c r="B80" s="251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8">
        <f>+SUM(C80:R80)</f>
        <v>0</v>
      </c>
      <c r="T80" s="259"/>
    </row>
    <row r="81" spans="1:20" ht="13.5" thickBot="1">
      <c r="A81" s="251" t="s">
        <v>109</v>
      </c>
      <c r="B81" s="251">
        <v>1.07</v>
      </c>
      <c r="C81" s="257">
        <f aca="true" t="shared" si="31" ref="C81:R81">+ROUND(C10/$B81,0)</f>
        <v>0</v>
      </c>
      <c r="D81" s="257">
        <f t="shared" si="31"/>
        <v>0</v>
      </c>
      <c r="E81" s="257">
        <f t="shared" si="31"/>
        <v>0</v>
      </c>
      <c r="F81" s="257">
        <f t="shared" si="31"/>
        <v>0</v>
      </c>
      <c r="G81" s="257">
        <f t="shared" si="31"/>
        <v>0</v>
      </c>
      <c r="H81" s="257">
        <f t="shared" si="31"/>
        <v>0</v>
      </c>
      <c r="I81" s="257">
        <f t="shared" si="31"/>
        <v>0</v>
      </c>
      <c r="J81" s="257">
        <f t="shared" si="31"/>
        <v>0</v>
      </c>
      <c r="K81" s="257">
        <f t="shared" si="31"/>
        <v>0</v>
      </c>
      <c r="L81" s="257">
        <f t="shared" si="31"/>
        <v>0</v>
      </c>
      <c r="M81" s="257">
        <f t="shared" si="31"/>
        <v>0</v>
      </c>
      <c r="N81" s="257">
        <f t="shared" si="31"/>
        <v>0</v>
      </c>
      <c r="O81" s="257">
        <f t="shared" si="31"/>
        <v>0</v>
      </c>
      <c r="P81" s="257">
        <f t="shared" si="31"/>
        <v>0</v>
      </c>
      <c r="Q81" s="257">
        <f t="shared" si="31"/>
        <v>0</v>
      </c>
      <c r="R81" s="257">
        <f t="shared" si="31"/>
        <v>0</v>
      </c>
      <c r="S81" s="258">
        <f aca="true" t="shared" si="32" ref="S81:S87">+SUM(C81:R81)</f>
        <v>0</v>
      </c>
      <c r="T81" s="259">
        <f t="shared" si="30"/>
        <v>0</v>
      </c>
    </row>
    <row r="82" spans="1:20" ht="13.5" thickBot="1">
      <c r="A82" s="251" t="s">
        <v>110</v>
      </c>
      <c r="B82" s="251">
        <v>9.22</v>
      </c>
      <c r="C82" s="257">
        <f aca="true" t="shared" si="33" ref="C82:R82">+ROUND(C11/$B82,0)</f>
        <v>0</v>
      </c>
      <c r="D82" s="257">
        <f t="shared" si="33"/>
        <v>0</v>
      </c>
      <c r="E82" s="257">
        <f t="shared" si="33"/>
        <v>0</v>
      </c>
      <c r="F82" s="257">
        <f t="shared" si="33"/>
        <v>0</v>
      </c>
      <c r="G82" s="257">
        <f t="shared" si="33"/>
        <v>0</v>
      </c>
      <c r="H82" s="257">
        <f t="shared" si="33"/>
        <v>0</v>
      </c>
      <c r="I82" s="257">
        <f t="shared" si="33"/>
        <v>0</v>
      </c>
      <c r="J82" s="257">
        <f t="shared" si="33"/>
        <v>0</v>
      </c>
      <c r="K82" s="257">
        <f t="shared" si="33"/>
        <v>0</v>
      </c>
      <c r="L82" s="257">
        <f t="shared" si="33"/>
        <v>0</v>
      </c>
      <c r="M82" s="257">
        <f t="shared" si="33"/>
        <v>0</v>
      </c>
      <c r="N82" s="257">
        <f t="shared" si="33"/>
        <v>0</v>
      </c>
      <c r="O82" s="257">
        <f t="shared" si="33"/>
        <v>0</v>
      </c>
      <c r="P82" s="257">
        <f t="shared" si="33"/>
        <v>0</v>
      </c>
      <c r="Q82" s="257">
        <f t="shared" si="33"/>
        <v>0</v>
      </c>
      <c r="R82" s="257">
        <f t="shared" si="33"/>
        <v>0</v>
      </c>
      <c r="S82" s="258">
        <f t="shared" si="32"/>
        <v>0</v>
      </c>
      <c r="T82" s="259">
        <f t="shared" si="30"/>
        <v>0</v>
      </c>
    </row>
    <row r="83" spans="1:20" ht="13.5" thickBot="1">
      <c r="A83" s="251" t="s">
        <v>111</v>
      </c>
      <c r="B83" s="251">
        <v>9.22</v>
      </c>
      <c r="C83" s="257">
        <f aca="true" t="shared" si="34" ref="C83:R83">+ROUND(C12/$B83,0)</f>
        <v>0</v>
      </c>
      <c r="D83" s="257">
        <f t="shared" si="34"/>
        <v>0</v>
      </c>
      <c r="E83" s="257">
        <f t="shared" si="34"/>
        <v>0</v>
      </c>
      <c r="F83" s="257">
        <f t="shared" si="34"/>
        <v>0</v>
      </c>
      <c r="G83" s="257">
        <f t="shared" si="34"/>
        <v>0</v>
      </c>
      <c r="H83" s="257">
        <f t="shared" si="34"/>
        <v>0</v>
      </c>
      <c r="I83" s="257">
        <f t="shared" si="34"/>
        <v>0</v>
      </c>
      <c r="J83" s="257">
        <f t="shared" si="34"/>
        <v>0</v>
      </c>
      <c r="K83" s="257">
        <f t="shared" si="34"/>
        <v>0</v>
      </c>
      <c r="L83" s="257">
        <f t="shared" si="34"/>
        <v>0</v>
      </c>
      <c r="M83" s="257">
        <f t="shared" si="34"/>
        <v>0</v>
      </c>
      <c r="N83" s="257">
        <f t="shared" si="34"/>
        <v>0</v>
      </c>
      <c r="O83" s="257">
        <f t="shared" si="34"/>
        <v>0</v>
      </c>
      <c r="P83" s="257">
        <f t="shared" si="34"/>
        <v>0</v>
      </c>
      <c r="Q83" s="257">
        <f t="shared" si="34"/>
        <v>0</v>
      </c>
      <c r="R83" s="257">
        <f t="shared" si="34"/>
        <v>0</v>
      </c>
      <c r="S83" s="258">
        <f t="shared" si="32"/>
        <v>0</v>
      </c>
      <c r="T83" s="259">
        <f t="shared" si="30"/>
        <v>0</v>
      </c>
    </row>
    <row r="84" spans="1:20" ht="13.5" thickBot="1">
      <c r="A84" s="251" t="s">
        <v>112</v>
      </c>
      <c r="B84" s="251">
        <v>77.99</v>
      </c>
      <c r="C84" s="257">
        <f aca="true" t="shared" si="35" ref="C84:R84">+ROUND(C13/$B84,0)</f>
        <v>0</v>
      </c>
      <c r="D84" s="257">
        <f t="shared" si="35"/>
        <v>0</v>
      </c>
      <c r="E84" s="257">
        <f t="shared" si="35"/>
        <v>0</v>
      </c>
      <c r="F84" s="257">
        <f t="shared" si="35"/>
        <v>0</v>
      </c>
      <c r="G84" s="257">
        <f t="shared" si="35"/>
        <v>0</v>
      </c>
      <c r="H84" s="257">
        <f t="shared" si="35"/>
        <v>0</v>
      </c>
      <c r="I84" s="257">
        <f t="shared" si="35"/>
        <v>0</v>
      </c>
      <c r="J84" s="257">
        <f t="shared" si="35"/>
        <v>0</v>
      </c>
      <c r="K84" s="257">
        <f t="shared" si="35"/>
        <v>0</v>
      </c>
      <c r="L84" s="257">
        <f t="shared" si="35"/>
        <v>0</v>
      </c>
      <c r="M84" s="257">
        <f t="shared" si="35"/>
        <v>0</v>
      </c>
      <c r="N84" s="257">
        <f t="shared" si="35"/>
        <v>0</v>
      </c>
      <c r="O84" s="257">
        <f t="shared" si="35"/>
        <v>0</v>
      </c>
      <c r="P84" s="257">
        <f t="shared" si="35"/>
        <v>0</v>
      </c>
      <c r="Q84" s="257">
        <f t="shared" si="35"/>
        <v>0</v>
      </c>
      <c r="R84" s="257">
        <f t="shared" si="35"/>
        <v>0</v>
      </c>
      <c r="S84" s="258">
        <f t="shared" si="32"/>
        <v>0</v>
      </c>
      <c r="T84" s="259">
        <f t="shared" si="30"/>
        <v>0</v>
      </c>
    </row>
    <row r="85" spans="1:20" ht="13.5" thickBot="1">
      <c r="A85" s="251" t="s">
        <v>113</v>
      </c>
      <c r="B85" s="251">
        <v>77.99</v>
      </c>
      <c r="C85" s="257">
        <f aca="true" t="shared" si="36" ref="C85:R85">+ROUND(C14/$B85,0)</f>
        <v>0</v>
      </c>
      <c r="D85" s="257">
        <f t="shared" si="36"/>
        <v>0</v>
      </c>
      <c r="E85" s="257">
        <f t="shared" si="36"/>
        <v>0</v>
      </c>
      <c r="F85" s="257">
        <f t="shared" si="36"/>
        <v>0</v>
      </c>
      <c r="G85" s="257">
        <f t="shared" si="36"/>
        <v>0</v>
      </c>
      <c r="H85" s="257">
        <f t="shared" si="36"/>
        <v>0</v>
      </c>
      <c r="I85" s="257">
        <f t="shared" si="36"/>
        <v>0</v>
      </c>
      <c r="J85" s="257">
        <f t="shared" si="36"/>
        <v>0</v>
      </c>
      <c r="K85" s="257">
        <f t="shared" si="36"/>
        <v>0</v>
      </c>
      <c r="L85" s="257">
        <f t="shared" si="36"/>
        <v>0</v>
      </c>
      <c r="M85" s="257">
        <f t="shared" si="36"/>
        <v>0</v>
      </c>
      <c r="N85" s="257">
        <f t="shared" si="36"/>
        <v>0</v>
      </c>
      <c r="O85" s="257">
        <f t="shared" si="36"/>
        <v>0</v>
      </c>
      <c r="P85" s="257">
        <f t="shared" si="36"/>
        <v>0</v>
      </c>
      <c r="Q85" s="257">
        <f t="shared" si="36"/>
        <v>0</v>
      </c>
      <c r="R85" s="257">
        <f t="shared" si="36"/>
        <v>0</v>
      </c>
      <c r="S85" s="258">
        <f t="shared" si="32"/>
        <v>0</v>
      </c>
      <c r="T85" s="259">
        <f t="shared" si="30"/>
        <v>0</v>
      </c>
    </row>
    <row r="86" spans="1:20" ht="13.5" thickBot="1">
      <c r="A86" s="251" t="s">
        <v>114</v>
      </c>
      <c r="B86" s="251">
        <v>124.77</v>
      </c>
      <c r="C86" s="257">
        <f aca="true" t="shared" si="37" ref="C86:R86">+ROUND(C15/$B86,0)</f>
        <v>0</v>
      </c>
      <c r="D86" s="257">
        <f t="shared" si="37"/>
        <v>0</v>
      </c>
      <c r="E86" s="257">
        <f t="shared" si="37"/>
        <v>0</v>
      </c>
      <c r="F86" s="257">
        <f t="shared" si="37"/>
        <v>0</v>
      </c>
      <c r="G86" s="257">
        <f t="shared" si="37"/>
        <v>0</v>
      </c>
      <c r="H86" s="257">
        <f t="shared" si="37"/>
        <v>0</v>
      </c>
      <c r="I86" s="257">
        <f t="shared" si="37"/>
        <v>0</v>
      </c>
      <c r="J86" s="257">
        <f t="shared" si="37"/>
        <v>0</v>
      </c>
      <c r="K86" s="257">
        <f t="shared" si="37"/>
        <v>0</v>
      </c>
      <c r="L86" s="257">
        <f t="shared" si="37"/>
        <v>0</v>
      </c>
      <c r="M86" s="257">
        <f t="shared" si="37"/>
        <v>0</v>
      </c>
      <c r="N86" s="257">
        <f t="shared" si="37"/>
        <v>0</v>
      </c>
      <c r="O86" s="257">
        <f t="shared" si="37"/>
        <v>0</v>
      </c>
      <c r="P86" s="257">
        <f t="shared" si="37"/>
        <v>0</v>
      </c>
      <c r="Q86" s="257">
        <f t="shared" si="37"/>
        <v>0</v>
      </c>
      <c r="R86" s="257">
        <f t="shared" si="37"/>
        <v>0</v>
      </c>
      <c r="S86" s="258">
        <f t="shared" si="32"/>
        <v>0</v>
      </c>
      <c r="T86" s="259">
        <f t="shared" si="30"/>
        <v>0</v>
      </c>
    </row>
    <row r="87" spans="1:20" ht="12.75">
      <c r="A87" s="251" t="s">
        <v>115</v>
      </c>
      <c r="B87" s="251">
        <v>0.11</v>
      </c>
      <c r="C87" s="257">
        <f aca="true" t="shared" si="38" ref="C87:R87">+ROUND(C16/$B87,0)</f>
        <v>0</v>
      </c>
      <c r="D87" s="257">
        <f t="shared" si="38"/>
        <v>0</v>
      </c>
      <c r="E87" s="257">
        <f t="shared" si="38"/>
        <v>0</v>
      </c>
      <c r="F87" s="257">
        <f t="shared" si="38"/>
        <v>0</v>
      </c>
      <c r="G87" s="257">
        <f t="shared" si="38"/>
        <v>0</v>
      </c>
      <c r="H87" s="257">
        <f t="shared" si="38"/>
        <v>0</v>
      </c>
      <c r="I87" s="257">
        <f t="shared" si="38"/>
        <v>0</v>
      </c>
      <c r="J87" s="257">
        <f t="shared" si="38"/>
        <v>0</v>
      </c>
      <c r="K87" s="257">
        <f t="shared" si="38"/>
        <v>0</v>
      </c>
      <c r="L87" s="257">
        <f t="shared" si="38"/>
        <v>0</v>
      </c>
      <c r="M87" s="257">
        <f t="shared" si="38"/>
        <v>0</v>
      </c>
      <c r="N87" s="257">
        <f t="shared" si="38"/>
        <v>0</v>
      </c>
      <c r="O87" s="257">
        <f t="shared" si="38"/>
        <v>0</v>
      </c>
      <c r="P87" s="257">
        <f t="shared" si="38"/>
        <v>0</v>
      </c>
      <c r="Q87" s="257">
        <f t="shared" si="38"/>
        <v>0</v>
      </c>
      <c r="R87" s="257">
        <f t="shared" si="38"/>
        <v>0</v>
      </c>
      <c r="S87" s="258">
        <f t="shared" si="32"/>
        <v>0</v>
      </c>
      <c r="T87" s="259">
        <f t="shared" si="30"/>
        <v>0</v>
      </c>
    </row>
    <row r="88" spans="1:20" ht="12.75">
      <c r="A88" s="251"/>
      <c r="B88" s="251"/>
      <c r="C88" s="258">
        <f aca="true" t="shared" si="39" ref="C88:T88">+SUM(C78:C87)</f>
        <v>0</v>
      </c>
      <c r="D88" s="258">
        <f t="shared" si="39"/>
        <v>0</v>
      </c>
      <c r="E88" s="258">
        <f t="shared" si="39"/>
        <v>0</v>
      </c>
      <c r="F88" s="258">
        <f t="shared" si="39"/>
        <v>0</v>
      </c>
      <c r="G88" s="258">
        <f t="shared" si="39"/>
        <v>0</v>
      </c>
      <c r="H88" s="258">
        <f t="shared" si="39"/>
        <v>0</v>
      </c>
      <c r="I88" s="258">
        <f t="shared" si="39"/>
        <v>0</v>
      </c>
      <c r="J88" s="258">
        <f t="shared" si="39"/>
        <v>0</v>
      </c>
      <c r="K88" s="258">
        <f t="shared" si="39"/>
        <v>0</v>
      </c>
      <c r="L88" s="258">
        <f t="shared" si="39"/>
        <v>0</v>
      </c>
      <c r="M88" s="258">
        <f t="shared" si="39"/>
        <v>0</v>
      </c>
      <c r="N88" s="258">
        <f t="shared" si="39"/>
        <v>0</v>
      </c>
      <c r="O88" s="258">
        <f t="shared" si="39"/>
        <v>0</v>
      </c>
      <c r="P88" s="258">
        <f t="shared" si="39"/>
        <v>0</v>
      </c>
      <c r="Q88" s="258">
        <f t="shared" si="39"/>
        <v>0</v>
      </c>
      <c r="R88" s="258">
        <f t="shared" si="39"/>
        <v>0</v>
      </c>
      <c r="S88" s="258">
        <f t="shared" si="39"/>
        <v>0</v>
      </c>
      <c r="T88" s="258">
        <f t="shared" si="39"/>
        <v>0</v>
      </c>
    </row>
    <row r="90" spans="2:3" ht="12.75">
      <c r="B90" s="255"/>
      <c r="C90" s="255"/>
    </row>
    <row r="91" spans="1:19" ht="13.5" thickBot="1">
      <c r="A91" s="253" t="s">
        <v>123</v>
      </c>
      <c r="C91" t="s">
        <v>117</v>
      </c>
      <c r="D91" t="s">
        <v>118</v>
      </c>
      <c r="E91" t="s">
        <v>119</v>
      </c>
      <c r="F91" t="s">
        <v>37</v>
      </c>
      <c r="G91" t="s">
        <v>38</v>
      </c>
      <c r="H91" t="s">
        <v>39</v>
      </c>
      <c r="I91" t="s">
        <v>40</v>
      </c>
      <c r="J91" t="s">
        <v>41</v>
      </c>
      <c r="K91" t="s">
        <v>42</v>
      </c>
      <c r="L91" t="s">
        <v>43</v>
      </c>
      <c r="M91" t="s">
        <v>44</v>
      </c>
      <c r="N91" t="s">
        <v>45</v>
      </c>
      <c r="O91" t="s">
        <v>46</v>
      </c>
      <c r="P91" t="s">
        <v>47</v>
      </c>
      <c r="Q91" t="s">
        <v>120</v>
      </c>
      <c r="R91" t="s">
        <v>121</v>
      </c>
      <c r="S91" t="s">
        <v>18</v>
      </c>
    </row>
    <row r="92" spans="1:21" ht="13.5" thickBot="1">
      <c r="A92" s="250" t="s">
        <v>107</v>
      </c>
      <c r="B92" s="256"/>
      <c r="C92" s="268">
        <f>+ROUND(((C21/$B21)),0)</f>
        <v>-4168833</v>
      </c>
      <c r="D92" s="268">
        <f aca="true" t="shared" si="40" ref="D92:R92">+ROUND(((D21/$B21)),0)</f>
        <v>-863717</v>
      </c>
      <c r="E92" s="268">
        <f t="shared" si="40"/>
        <v>4830942</v>
      </c>
      <c r="F92" s="268">
        <f t="shared" si="40"/>
        <v>4880758</v>
      </c>
      <c r="G92" s="268">
        <f t="shared" si="40"/>
        <v>4764625</v>
      </c>
      <c r="H92" s="268">
        <f t="shared" si="40"/>
        <v>3564742</v>
      </c>
      <c r="I92" s="268">
        <f t="shared" si="40"/>
        <v>3295058</v>
      </c>
      <c r="J92" s="268">
        <f t="shared" si="40"/>
        <v>306033</v>
      </c>
      <c r="K92" s="268">
        <f t="shared" si="40"/>
        <v>8117</v>
      </c>
      <c r="L92" s="268">
        <f t="shared" si="40"/>
        <v>7367</v>
      </c>
      <c r="M92" s="268">
        <f t="shared" si="40"/>
        <v>2917</v>
      </c>
      <c r="N92" s="268">
        <f t="shared" si="40"/>
        <v>0</v>
      </c>
      <c r="O92" s="268">
        <f t="shared" si="40"/>
        <v>0</v>
      </c>
      <c r="P92" s="268">
        <f t="shared" si="40"/>
        <v>0</v>
      </c>
      <c r="Q92" s="268">
        <f t="shared" si="40"/>
        <v>0</v>
      </c>
      <c r="R92" s="268">
        <f t="shared" si="40"/>
        <v>0</v>
      </c>
      <c r="S92" s="257">
        <f>+SUM(C92:R92)</f>
        <v>16628009</v>
      </c>
      <c r="T92" s="261"/>
      <c r="U92" t="s">
        <v>116</v>
      </c>
    </row>
    <row r="93" spans="1:21" ht="13.5" thickBot="1">
      <c r="A93" s="251" t="s">
        <v>108</v>
      </c>
      <c r="B93" s="256"/>
      <c r="C93" s="268">
        <f aca="true" t="shared" si="41" ref="C93:R101">+ROUND(((C22/$B22)),0)</f>
        <v>-2016757</v>
      </c>
      <c r="D93" s="268">
        <f t="shared" si="41"/>
        <v>-378200</v>
      </c>
      <c r="E93" s="268">
        <f t="shared" si="41"/>
        <v>2265271</v>
      </c>
      <c r="F93" s="268">
        <f t="shared" si="41"/>
        <v>2425157</v>
      </c>
      <c r="G93" s="268">
        <f t="shared" si="41"/>
        <v>2349500</v>
      </c>
      <c r="H93" s="268">
        <f t="shared" si="41"/>
        <v>1816971</v>
      </c>
      <c r="I93" s="268">
        <f t="shared" si="41"/>
        <v>1886786</v>
      </c>
      <c r="J93" s="268">
        <f t="shared" si="41"/>
        <v>160629</v>
      </c>
      <c r="K93" s="268">
        <f t="shared" si="41"/>
        <v>0</v>
      </c>
      <c r="L93" s="268">
        <f t="shared" si="41"/>
        <v>-1543</v>
      </c>
      <c r="M93" s="268">
        <f t="shared" si="41"/>
        <v>0</v>
      </c>
      <c r="N93" s="268">
        <f t="shared" si="41"/>
        <v>0</v>
      </c>
      <c r="O93" s="268">
        <f t="shared" si="41"/>
        <v>0</v>
      </c>
      <c r="P93" s="268">
        <f t="shared" si="41"/>
        <v>0</v>
      </c>
      <c r="Q93" s="268">
        <f t="shared" si="41"/>
        <v>0</v>
      </c>
      <c r="R93" s="268">
        <f t="shared" si="41"/>
        <v>0</v>
      </c>
      <c r="S93" s="258">
        <f>+SUM(C93:R93)</f>
        <v>8507814</v>
      </c>
      <c r="T93" s="261"/>
      <c r="U93" t="s">
        <v>116</v>
      </c>
    </row>
    <row r="94" spans="1:20" ht="13.5" thickBot="1">
      <c r="A94" s="251"/>
      <c r="B94" s="256"/>
      <c r="C94" s="268">
        <f t="shared" si="41"/>
        <v>0</v>
      </c>
      <c r="D94" s="268">
        <f t="shared" si="41"/>
        <v>0</v>
      </c>
      <c r="E94" s="268">
        <f t="shared" si="41"/>
        <v>0</v>
      </c>
      <c r="F94" s="268">
        <f t="shared" si="41"/>
        <v>0</v>
      </c>
      <c r="G94" s="268">
        <f t="shared" si="41"/>
        <v>0</v>
      </c>
      <c r="H94" s="268">
        <f t="shared" si="41"/>
        <v>0</v>
      </c>
      <c r="I94" s="268">
        <f t="shared" si="41"/>
        <v>29200</v>
      </c>
      <c r="J94" s="268">
        <f t="shared" si="41"/>
        <v>3214</v>
      </c>
      <c r="K94" s="268">
        <f t="shared" si="41"/>
        <v>0</v>
      </c>
      <c r="L94" s="268">
        <f t="shared" si="41"/>
        <v>0</v>
      </c>
      <c r="M94" s="268">
        <f t="shared" si="41"/>
        <v>0</v>
      </c>
      <c r="N94" s="268">
        <f t="shared" si="41"/>
        <v>0</v>
      </c>
      <c r="O94" s="268">
        <f t="shared" si="41"/>
        <v>0</v>
      </c>
      <c r="P94" s="268">
        <f t="shared" si="41"/>
        <v>0</v>
      </c>
      <c r="Q94" s="268">
        <f t="shared" si="41"/>
        <v>0</v>
      </c>
      <c r="R94" s="268">
        <f t="shared" si="41"/>
        <v>0</v>
      </c>
      <c r="S94" s="258">
        <f>+SUM(C94:R94)</f>
        <v>32414</v>
      </c>
      <c r="T94" s="261"/>
    </row>
    <row r="95" spans="1:21" ht="13.5" thickBot="1">
      <c r="A95" s="251" t="s">
        <v>109</v>
      </c>
      <c r="B95" s="256"/>
      <c r="C95" s="268">
        <f t="shared" si="41"/>
        <v>-1857</v>
      </c>
      <c r="D95" s="268">
        <f t="shared" si="41"/>
        <v>-514</v>
      </c>
      <c r="E95" s="268">
        <f t="shared" si="41"/>
        <v>2314</v>
      </c>
      <c r="F95" s="268">
        <f t="shared" si="41"/>
        <v>2157</v>
      </c>
      <c r="G95" s="268">
        <f t="shared" si="41"/>
        <v>3157</v>
      </c>
      <c r="H95" s="268">
        <f t="shared" si="41"/>
        <v>1543</v>
      </c>
      <c r="I95" s="268">
        <f t="shared" si="41"/>
        <v>1514</v>
      </c>
      <c r="J95" s="268">
        <f t="shared" si="41"/>
        <v>343</v>
      </c>
      <c r="K95" s="268">
        <f t="shared" si="41"/>
        <v>0</v>
      </c>
      <c r="L95" s="268">
        <f t="shared" si="41"/>
        <v>0</v>
      </c>
      <c r="M95" s="268">
        <f t="shared" si="41"/>
        <v>-100</v>
      </c>
      <c r="N95" s="268">
        <f t="shared" si="41"/>
        <v>0</v>
      </c>
      <c r="O95" s="268">
        <f t="shared" si="41"/>
        <v>0</v>
      </c>
      <c r="P95" s="268">
        <f t="shared" si="41"/>
        <v>0</v>
      </c>
      <c r="Q95" s="268">
        <f t="shared" si="41"/>
        <v>0</v>
      </c>
      <c r="R95" s="268">
        <f t="shared" si="41"/>
        <v>0</v>
      </c>
      <c r="S95" s="258">
        <f aca="true" t="shared" si="42" ref="S95:S101">+SUM(C95:R95)</f>
        <v>8557</v>
      </c>
      <c r="T95" s="261"/>
      <c r="U95" t="s">
        <v>116</v>
      </c>
    </row>
    <row r="96" spans="1:21" ht="13.5" thickBot="1">
      <c r="A96" s="251" t="s">
        <v>110</v>
      </c>
      <c r="B96" s="256"/>
      <c r="C96" s="268">
        <f t="shared" si="41"/>
        <v>-8045</v>
      </c>
      <c r="D96" s="268">
        <f t="shared" si="41"/>
        <v>-1650</v>
      </c>
      <c r="E96" s="268">
        <f t="shared" si="41"/>
        <v>8780</v>
      </c>
      <c r="F96" s="268">
        <f t="shared" si="41"/>
        <v>9740</v>
      </c>
      <c r="G96" s="268">
        <f t="shared" si="41"/>
        <v>9835</v>
      </c>
      <c r="H96" s="268">
        <f t="shared" si="41"/>
        <v>7907</v>
      </c>
      <c r="I96" s="268">
        <f t="shared" si="41"/>
        <v>8500</v>
      </c>
      <c r="J96" s="268">
        <f t="shared" si="41"/>
        <v>-3859</v>
      </c>
      <c r="K96" s="268">
        <f t="shared" si="41"/>
        <v>-271</v>
      </c>
      <c r="L96" s="268">
        <f t="shared" si="41"/>
        <v>271</v>
      </c>
      <c r="M96" s="268">
        <f t="shared" si="41"/>
        <v>0</v>
      </c>
      <c r="N96" s="268">
        <f t="shared" si="41"/>
        <v>0</v>
      </c>
      <c r="O96" s="268">
        <f t="shared" si="41"/>
        <v>0</v>
      </c>
      <c r="P96" s="268">
        <f t="shared" si="41"/>
        <v>0</v>
      </c>
      <c r="Q96" s="268">
        <f t="shared" si="41"/>
        <v>0</v>
      </c>
      <c r="R96" s="268">
        <f t="shared" si="41"/>
        <v>0</v>
      </c>
      <c r="S96" s="258">
        <f t="shared" si="42"/>
        <v>31208</v>
      </c>
      <c r="T96" s="261"/>
      <c r="U96" t="s">
        <v>20</v>
      </c>
    </row>
    <row r="97" spans="1:21" ht="13.5" thickBot="1">
      <c r="A97" s="251" t="s">
        <v>111</v>
      </c>
      <c r="B97" s="256"/>
      <c r="C97" s="268">
        <f t="shared" si="41"/>
        <v>-4177</v>
      </c>
      <c r="D97" s="268">
        <f t="shared" si="41"/>
        <v>0</v>
      </c>
      <c r="E97" s="268">
        <f t="shared" si="41"/>
        <v>4177</v>
      </c>
      <c r="F97" s="268">
        <f t="shared" si="41"/>
        <v>4103</v>
      </c>
      <c r="G97" s="268">
        <f t="shared" si="41"/>
        <v>4107</v>
      </c>
      <c r="H97" s="268">
        <f t="shared" si="41"/>
        <v>4374</v>
      </c>
      <c r="I97" s="268">
        <f t="shared" si="41"/>
        <v>4409</v>
      </c>
      <c r="J97" s="268">
        <f t="shared" si="41"/>
        <v>4943</v>
      </c>
      <c r="K97" s="268">
        <f t="shared" si="41"/>
        <v>0</v>
      </c>
      <c r="L97" s="268">
        <f t="shared" si="41"/>
        <v>0</v>
      </c>
      <c r="M97" s="268">
        <f t="shared" si="41"/>
        <v>0</v>
      </c>
      <c r="N97" s="268">
        <f t="shared" si="41"/>
        <v>0</v>
      </c>
      <c r="O97" s="268">
        <f t="shared" si="41"/>
        <v>0</v>
      </c>
      <c r="P97" s="268">
        <f t="shared" si="41"/>
        <v>0</v>
      </c>
      <c r="Q97" s="268">
        <f t="shared" si="41"/>
        <v>0</v>
      </c>
      <c r="R97" s="268">
        <f t="shared" si="41"/>
        <v>0</v>
      </c>
      <c r="S97" s="258">
        <f t="shared" si="42"/>
        <v>21936</v>
      </c>
      <c r="T97" s="261"/>
      <c r="U97" t="s">
        <v>20</v>
      </c>
    </row>
    <row r="98" spans="1:21" ht="13.5" thickBot="1">
      <c r="A98" s="251" t="s">
        <v>112</v>
      </c>
      <c r="B98" s="256"/>
      <c r="C98" s="268">
        <f t="shared" si="41"/>
        <v>-14189</v>
      </c>
      <c r="D98" s="268">
        <f t="shared" si="41"/>
        <v>0</v>
      </c>
      <c r="E98" s="268">
        <f t="shared" si="41"/>
        <v>14189</v>
      </c>
      <c r="F98" s="268">
        <f t="shared" si="41"/>
        <v>14388</v>
      </c>
      <c r="G98" s="268">
        <f t="shared" si="41"/>
        <v>14177</v>
      </c>
      <c r="H98" s="268">
        <f t="shared" si="41"/>
        <v>14146</v>
      </c>
      <c r="I98" s="268">
        <f t="shared" si="41"/>
        <v>14001</v>
      </c>
      <c r="J98" s="268">
        <f t="shared" si="41"/>
        <v>0</v>
      </c>
      <c r="K98" s="268">
        <f t="shared" si="41"/>
        <v>0</v>
      </c>
      <c r="L98" s="268">
        <f t="shared" si="41"/>
        <v>0</v>
      </c>
      <c r="M98" s="268">
        <f t="shared" si="41"/>
        <v>0</v>
      </c>
      <c r="N98" s="268">
        <f t="shared" si="41"/>
        <v>0</v>
      </c>
      <c r="O98" s="268">
        <f t="shared" si="41"/>
        <v>0</v>
      </c>
      <c r="P98" s="268">
        <f t="shared" si="41"/>
        <v>0</v>
      </c>
      <c r="Q98" s="268">
        <f t="shared" si="41"/>
        <v>0</v>
      </c>
      <c r="R98" s="268">
        <f t="shared" si="41"/>
        <v>0</v>
      </c>
      <c r="S98" s="258">
        <f t="shared" si="42"/>
        <v>56712</v>
      </c>
      <c r="T98" s="261"/>
      <c r="U98" t="s">
        <v>20</v>
      </c>
    </row>
    <row r="99" spans="1:21" ht="13.5" thickBot="1">
      <c r="A99" s="251" t="s">
        <v>113</v>
      </c>
      <c r="B99" s="256"/>
      <c r="C99" s="268">
        <f t="shared" si="41"/>
        <v>0</v>
      </c>
      <c r="D99" s="268">
        <f t="shared" si="41"/>
        <v>0</v>
      </c>
      <c r="E99" s="268">
        <f t="shared" si="41"/>
        <v>0</v>
      </c>
      <c r="F99" s="268">
        <f t="shared" si="41"/>
        <v>0</v>
      </c>
      <c r="G99" s="268">
        <f t="shared" si="41"/>
        <v>0</v>
      </c>
      <c r="H99" s="268">
        <f t="shared" si="41"/>
        <v>0</v>
      </c>
      <c r="I99" s="268">
        <f t="shared" si="41"/>
        <v>0</v>
      </c>
      <c r="J99" s="268">
        <f t="shared" si="41"/>
        <v>0</v>
      </c>
      <c r="K99" s="268">
        <f t="shared" si="41"/>
        <v>0</v>
      </c>
      <c r="L99" s="268">
        <f t="shared" si="41"/>
        <v>0</v>
      </c>
      <c r="M99" s="268">
        <f t="shared" si="41"/>
        <v>0</v>
      </c>
      <c r="N99" s="268">
        <f t="shared" si="41"/>
        <v>0</v>
      </c>
      <c r="O99" s="268">
        <f t="shared" si="41"/>
        <v>0</v>
      </c>
      <c r="P99" s="268">
        <f t="shared" si="41"/>
        <v>0</v>
      </c>
      <c r="Q99" s="268">
        <f t="shared" si="41"/>
        <v>0</v>
      </c>
      <c r="R99" s="268">
        <f t="shared" si="41"/>
        <v>0</v>
      </c>
      <c r="S99" s="258">
        <f t="shared" si="42"/>
        <v>0</v>
      </c>
      <c r="T99" s="261"/>
      <c r="U99" t="s">
        <v>20</v>
      </c>
    </row>
    <row r="100" spans="1:21" ht="13.5" thickBot="1">
      <c r="A100" s="251" t="s">
        <v>114</v>
      </c>
      <c r="B100" s="256"/>
      <c r="C100" s="268">
        <f t="shared" si="41"/>
        <v>-315</v>
      </c>
      <c r="D100" s="268">
        <f t="shared" si="41"/>
        <v>0</v>
      </c>
      <c r="E100" s="268">
        <f t="shared" si="41"/>
        <v>315</v>
      </c>
      <c r="F100" s="268">
        <f t="shared" si="41"/>
        <v>315</v>
      </c>
      <c r="G100" s="268">
        <f t="shared" si="41"/>
        <v>315</v>
      </c>
      <c r="H100" s="268">
        <f t="shared" si="41"/>
        <v>315</v>
      </c>
      <c r="I100" s="268">
        <f t="shared" si="41"/>
        <v>315</v>
      </c>
      <c r="J100" s="268">
        <f t="shared" si="41"/>
        <v>0</v>
      </c>
      <c r="K100" s="268">
        <f t="shared" si="41"/>
        <v>0</v>
      </c>
      <c r="L100" s="268">
        <f t="shared" si="41"/>
        <v>0</v>
      </c>
      <c r="M100" s="268">
        <f t="shared" si="41"/>
        <v>0</v>
      </c>
      <c r="N100" s="268">
        <f t="shared" si="41"/>
        <v>0</v>
      </c>
      <c r="O100" s="268">
        <f t="shared" si="41"/>
        <v>0</v>
      </c>
      <c r="P100" s="268">
        <f t="shared" si="41"/>
        <v>0</v>
      </c>
      <c r="Q100" s="268">
        <f t="shared" si="41"/>
        <v>0</v>
      </c>
      <c r="R100" s="268">
        <f t="shared" si="41"/>
        <v>0</v>
      </c>
      <c r="S100" s="258">
        <f t="shared" si="42"/>
        <v>1260</v>
      </c>
      <c r="T100" s="261"/>
      <c r="U100" t="s">
        <v>20</v>
      </c>
    </row>
    <row r="101" spans="1:21" ht="12.75">
      <c r="A101" s="251" t="s">
        <v>115</v>
      </c>
      <c r="B101" s="256"/>
      <c r="C101" s="268">
        <f t="shared" si="41"/>
        <v>-50</v>
      </c>
      <c r="D101" s="268">
        <f t="shared" si="41"/>
        <v>-5</v>
      </c>
      <c r="E101" s="268">
        <f t="shared" si="41"/>
        <v>52</v>
      </c>
      <c r="F101" s="268">
        <f t="shared" si="41"/>
        <v>26</v>
      </c>
      <c r="G101" s="268">
        <f t="shared" si="41"/>
        <v>26</v>
      </c>
      <c r="H101" s="268">
        <f t="shared" si="41"/>
        <v>15</v>
      </c>
      <c r="I101" s="268">
        <f t="shared" si="41"/>
        <v>24</v>
      </c>
      <c r="J101" s="268">
        <f t="shared" si="41"/>
        <v>3</v>
      </c>
      <c r="K101" s="268">
        <f t="shared" si="41"/>
        <v>-2</v>
      </c>
      <c r="L101" s="268">
        <f t="shared" si="41"/>
        <v>2</v>
      </c>
      <c r="M101" s="268">
        <f t="shared" si="41"/>
        <v>0</v>
      </c>
      <c r="N101" s="268">
        <f t="shared" si="41"/>
        <v>0</v>
      </c>
      <c r="O101" s="268">
        <f t="shared" si="41"/>
        <v>0</v>
      </c>
      <c r="P101" s="268">
        <f t="shared" si="41"/>
        <v>0</v>
      </c>
      <c r="Q101" s="268">
        <f t="shared" si="41"/>
        <v>0</v>
      </c>
      <c r="R101" s="268">
        <f t="shared" si="41"/>
        <v>0</v>
      </c>
      <c r="S101" s="258">
        <f t="shared" si="42"/>
        <v>91</v>
      </c>
      <c r="T101" s="261"/>
      <c r="U101" t="s">
        <v>20</v>
      </c>
    </row>
    <row r="102" spans="1:21" ht="12.75">
      <c r="A102" s="251"/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t="s">
        <v>20</v>
      </c>
    </row>
  </sheetData>
  <sheetProtection/>
  <printOptions/>
  <pageMargins left="0.3" right="0.3" top="0.3" bottom="0.3" header="0.2" footer="0.2"/>
  <pageSetup fitToHeight="20" horizontalDpi="600" verticalDpi="600" orientation="landscape" paperSize="5" scale="66" r:id="rId3"/>
  <headerFooter>
    <oddHeader>&amp;RTillsonburg Hydro Inc.
</oddHeader>
    <oddFooter>&amp;L&amp;A</oddFooter>
  </headerFooter>
  <rowBreaks count="1" manualBreakCount="1">
    <brk id="61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U95"/>
  <sheetViews>
    <sheetView zoomScalePageLayoutView="0" workbookViewId="0" topLeftCell="A16">
      <selection activeCell="A32" sqref="A32"/>
    </sheetView>
  </sheetViews>
  <sheetFormatPr defaultColWidth="9.140625" defaultRowHeight="12.75"/>
  <cols>
    <col min="1" max="1" width="23.57421875" style="0" bestFit="1" customWidth="1"/>
    <col min="2" max="2" width="10.421875" style="0" customWidth="1"/>
    <col min="3" max="20" width="12.140625" style="0" customWidth="1"/>
  </cols>
  <sheetData>
    <row r="5" ht="12.75">
      <c r="A5" s="252">
        <v>2005</v>
      </c>
    </row>
    <row r="6" spans="1:19" ht="13.5" thickBot="1">
      <c r="A6" s="253" t="s">
        <v>122</v>
      </c>
      <c r="B6" s="253" t="s">
        <v>28</v>
      </c>
      <c r="C6" t="s">
        <v>117</v>
      </c>
      <c r="D6" t="s">
        <v>118</v>
      </c>
      <c r="E6" t="s">
        <v>119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120</v>
      </c>
      <c r="R6" t="s">
        <v>121</v>
      </c>
      <c r="S6" t="s">
        <v>18</v>
      </c>
    </row>
    <row r="7" spans="1:19" ht="13.5" thickBot="1">
      <c r="A7" s="250" t="s">
        <v>107</v>
      </c>
      <c r="B7" s="250">
        <v>1.07</v>
      </c>
      <c r="C7" s="250">
        <v>0</v>
      </c>
      <c r="D7" s="250">
        <v>0</v>
      </c>
      <c r="E7" s="250">
        <v>0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>
        <f>+SUM(C7:R7)</f>
        <v>0</v>
      </c>
    </row>
    <row r="8" spans="1:19" ht="13.5" thickBot="1">
      <c r="A8" s="251" t="s">
        <v>108</v>
      </c>
      <c r="B8" s="251">
        <v>2.29</v>
      </c>
      <c r="C8" s="250">
        <v>0</v>
      </c>
      <c r="D8" s="250">
        <v>0</v>
      </c>
      <c r="E8" s="251">
        <v>0</v>
      </c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>
        <v>-0.07</v>
      </c>
      <c r="Q8" s="251"/>
      <c r="R8" s="251"/>
      <c r="S8" s="251">
        <f>+SUM(C8:R8)</f>
        <v>-0.07</v>
      </c>
    </row>
    <row r="9" spans="1:19" ht="13.5" thickBot="1">
      <c r="A9" s="251" t="s">
        <v>109</v>
      </c>
      <c r="B9" s="251">
        <v>1.07</v>
      </c>
      <c r="C9" s="250">
        <v>0</v>
      </c>
      <c r="D9" s="250">
        <v>0</v>
      </c>
      <c r="E9" s="251">
        <v>0</v>
      </c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>
        <v>0</v>
      </c>
      <c r="Q9" s="251"/>
      <c r="R9" s="251"/>
      <c r="S9" s="251">
        <f aca="true" t="shared" si="0" ref="S9:S15">+SUM(C9:R9)</f>
        <v>0</v>
      </c>
    </row>
    <row r="10" spans="1:19" ht="13.5" thickBot="1">
      <c r="A10" s="251" t="s">
        <v>110</v>
      </c>
      <c r="B10" s="251">
        <v>9.22</v>
      </c>
      <c r="C10" s="250">
        <v>0</v>
      </c>
      <c r="D10" s="250">
        <v>0</v>
      </c>
      <c r="E10" s="251">
        <v>0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>
        <v>1.16</v>
      </c>
      <c r="Q10" s="251"/>
      <c r="R10" s="251"/>
      <c r="S10" s="251">
        <f t="shared" si="0"/>
        <v>1.16</v>
      </c>
    </row>
    <row r="11" spans="1:19" ht="13.5" thickBot="1">
      <c r="A11" s="251" t="s">
        <v>111</v>
      </c>
      <c r="B11" s="251">
        <v>9.22</v>
      </c>
      <c r="C11" s="248">
        <f>-55.32+55.32</f>
        <v>0</v>
      </c>
      <c r="D11" s="248">
        <v>0</v>
      </c>
      <c r="E11" s="249">
        <f>55.32-55.32</f>
        <v>0</v>
      </c>
      <c r="F11" s="249">
        <f>55.32-55.32</f>
        <v>0</v>
      </c>
      <c r="G11" s="249"/>
      <c r="H11" s="249"/>
      <c r="I11" s="249">
        <f>0.31-0.31</f>
        <v>0</v>
      </c>
      <c r="J11" s="249">
        <f>0.31-0.31</f>
        <v>0</v>
      </c>
      <c r="K11" s="251"/>
      <c r="L11" s="251"/>
      <c r="M11" s="251"/>
      <c r="N11" s="251"/>
      <c r="O11" s="251"/>
      <c r="P11" s="251"/>
      <c r="Q11" s="251"/>
      <c r="R11" s="251"/>
      <c r="S11" s="251">
        <f t="shared" si="0"/>
        <v>0</v>
      </c>
    </row>
    <row r="12" spans="1:19" ht="13.5" thickBot="1">
      <c r="A12" s="251" t="s">
        <v>112</v>
      </c>
      <c r="B12" s="251">
        <v>77.99</v>
      </c>
      <c r="C12" s="248">
        <f>-389.95+389.95</f>
        <v>0</v>
      </c>
      <c r="D12" s="248">
        <v>0</v>
      </c>
      <c r="E12" s="249">
        <f>389.95-389.95</f>
        <v>0</v>
      </c>
      <c r="F12" s="249">
        <f>389.95-389.95</f>
        <v>0</v>
      </c>
      <c r="G12" s="249"/>
      <c r="H12" s="249"/>
      <c r="I12" s="249"/>
      <c r="J12" s="249">
        <f>2.6-2.6</f>
        <v>0</v>
      </c>
      <c r="K12" s="251"/>
      <c r="L12" s="251"/>
      <c r="M12" s="251"/>
      <c r="N12" s="251"/>
      <c r="O12" s="251"/>
      <c r="P12" s="251"/>
      <c r="Q12" s="251"/>
      <c r="R12" s="251"/>
      <c r="S12" s="251">
        <f t="shared" si="0"/>
        <v>0</v>
      </c>
    </row>
    <row r="13" spans="1:19" ht="13.5" thickBot="1">
      <c r="A13" s="251" t="s">
        <v>113</v>
      </c>
      <c r="B13" s="251">
        <v>77.99</v>
      </c>
      <c r="C13" s="250">
        <v>0</v>
      </c>
      <c r="D13" s="250">
        <v>0</v>
      </c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>
        <f t="shared" si="0"/>
        <v>0</v>
      </c>
    </row>
    <row r="14" spans="1:19" ht="13.5" thickBot="1">
      <c r="A14" s="251" t="s">
        <v>114</v>
      </c>
      <c r="B14" s="251">
        <v>124.77</v>
      </c>
      <c r="C14" s="250">
        <v>0</v>
      </c>
      <c r="D14" s="250">
        <v>0</v>
      </c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>
        <f t="shared" si="0"/>
        <v>0</v>
      </c>
    </row>
    <row r="15" spans="1:19" ht="12.75">
      <c r="A15" s="251" t="s">
        <v>115</v>
      </c>
      <c r="B15" s="251">
        <v>0.11</v>
      </c>
      <c r="C15" s="250">
        <v>0</v>
      </c>
      <c r="D15" s="250">
        <v>0</v>
      </c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>
        <f t="shared" si="0"/>
        <v>0</v>
      </c>
    </row>
    <row r="16" spans="1:19" ht="12.75">
      <c r="A16" s="251"/>
      <c r="B16" s="251"/>
      <c r="C16" s="251">
        <f aca="true" t="shared" si="1" ref="C16:S16">+SUM(C7:C15)</f>
        <v>0</v>
      </c>
      <c r="D16" s="251">
        <f t="shared" si="1"/>
        <v>0</v>
      </c>
      <c r="E16" s="251">
        <f t="shared" si="1"/>
        <v>0</v>
      </c>
      <c r="F16" s="251">
        <f t="shared" si="1"/>
        <v>0</v>
      </c>
      <c r="G16" s="251">
        <f t="shared" si="1"/>
        <v>0</v>
      </c>
      <c r="H16" s="251">
        <f t="shared" si="1"/>
        <v>0</v>
      </c>
      <c r="I16" s="251">
        <f t="shared" si="1"/>
        <v>0</v>
      </c>
      <c r="J16" s="251">
        <f t="shared" si="1"/>
        <v>0</v>
      </c>
      <c r="K16" s="251">
        <f t="shared" si="1"/>
        <v>0</v>
      </c>
      <c r="L16" s="251">
        <f t="shared" si="1"/>
        <v>0</v>
      </c>
      <c r="M16" s="251">
        <f t="shared" si="1"/>
        <v>0</v>
      </c>
      <c r="N16" s="251">
        <f t="shared" si="1"/>
        <v>0</v>
      </c>
      <c r="O16" s="251">
        <f t="shared" si="1"/>
        <v>0</v>
      </c>
      <c r="P16" s="251">
        <f t="shared" si="1"/>
        <v>1.0899999999999999</v>
      </c>
      <c r="Q16" s="251">
        <f t="shared" si="1"/>
        <v>0</v>
      </c>
      <c r="R16" s="251">
        <f t="shared" si="1"/>
        <v>0</v>
      </c>
      <c r="S16" s="251">
        <f t="shared" si="1"/>
        <v>1.0899999999999999</v>
      </c>
    </row>
    <row r="18" spans="2:3" ht="12.75">
      <c r="B18" s="255"/>
      <c r="C18" s="255"/>
    </row>
    <row r="19" spans="1:19" ht="13.5" thickBot="1">
      <c r="A19" s="253" t="s">
        <v>133</v>
      </c>
      <c r="B19" s="253" t="s">
        <v>28</v>
      </c>
      <c r="C19" t="s">
        <v>117</v>
      </c>
      <c r="D19" t="s">
        <v>118</v>
      </c>
      <c r="E19" t="s">
        <v>119</v>
      </c>
      <c r="F19" t="s">
        <v>37</v>
      </c>
      <c r="G19" t="s">
        <v>38</v>
      </c>
      <c r="H19" t="s">
        <v>39</v>
      </c>
      <c r="I19" t="s">
        <v>40</v>
      </c>
      <c r="J19" t="s">
        <v>41</v>
      </c>
      <c r="K19" t="s">
        <v>42</v>
      </c>
      <c r="L19" t="s">
        <v>43</v>
      </c>
      <c r="M19" t="s">
        <v>44</v>
      </c>
      <c r="N19" t="s">
        <v>45</v>
      </c>
      <c r="O19" t="s">
        <v>46</v>
      </c>
      <c r="P19" t="s">
        <v>47</v>
      </c>
      <c r="Q19" t="s">
        <v>120</v>
      </c>
      <c r="R19" t="s">
        <v>121</v>
      </c>
      <c r="S19" t="s">
        <v>18</v>
      </c>
    </row>
    <row r="20" spans="1:19" ht="13.5" thickBot="1">
      <c r="A20" s="250" t="s">
        <v>107</v>
      </c>
      <c r="B20" s="262">
        <v>0.002</v>
      </c>
      <c r="C20" s="250">
        <v>-6987.4400000000005</v>
      </c>
      <c r="D20" s="250">
        <v>-1499.22</v>
      </c>
      <c r="E20" s="250">
        <v>8750.18</v>
      </c>
      <c r="F20" s="250">
        <v>9406.37</v>
      </c>
      <c r="G20" s="250">
        <v>8994.12</v>
      </c>
      <c r="H20" s="250">
        <v>7345.35</v>
      </c>
      <c r="I20" s="250">
        <v>701.18</v>
      </c>
      <c r="J20" s="250">
        <v>3.26</v>
      </c>
      <c r="K20" s="250">
        <v>-0.07</v>
      </c>
      <c r="L20" s="250">
        <v>-8.1</v>
      </c>
      <c r="M20" s="250">
        <v>4.6</v>
      </c>
      <c r="N20" s="250"/>
      <c r="O20" s="250"/>
      <c r="P20" s="250"/>
      <c r="Q20" s="250"/>
      <c r="R20" s="250"/>
      <c r="S20" s="250">
        <f>+SUM(C20:R20)</f>
        <v>26710.23</v>
      </c>
    </row>
    <row r="21" spans="1:19" ht="13.5" thickBot="1">
      <c r="A21" s="251" t="s">
        <v>108</v>
      </c>
      <c r="B21" s="262">
        <v>0.00122</v>
      </c>
      <c r="C21" s="250">
        <v>-2141.4</v>
      </c>
      <c r="D21" s="250">
        <v>-450.37999999999994</v>
      </c>
      <c r="E21" s="251">
        <v>2625.2599999999998</v>
      </c>
      <c r="F21" s="251">
        <v>2807.0699999999997</v>
      </c>
      <c r="G21" s="251">
        <v>2835.899999999999</v>
      </c>
      <c r="H21" s="251">
        <v>2500.03</v>
      </c>
      <c r="I21" s="251">
        <v>230.63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>
        <f>+SUM(C21:R21)</f>
        <v>8407.109999999999</v>
      </c>
    </row>
    <row r="22" spans="1:19" ht="13.5" thickBot="1">
      <c r="A22" s="251" t="s">
        <v>109</v>
      </c>
      <c r="B22" s="262">
        <v>0.00122</v>
      </c>
      <c r="C22" s="250">
        <v>-2.26</v>
      </c>
      <c r="D22" s="250">
        <v>-0.62</v>
      </c>
      <c r="E22" s="251">
        <v>3.01</v>
      </c>
      <c r="F22" s="251">
        <v>3.0500000000000003</v>
      </c>
      <c r="G22" s="251">
        <v>2.85</v>
      </c>
      <c r="H22" s="251">
        <v>2.13</v>
      </c>
      <c r="I22" s="251">
        <v>0.45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>
        <f aca="true" t="shared" si="2" ref="S22:S28">+SUM(C22:R22)</f>
        <v>8.61</v>
      </c>
    </row>
    <row r="23" spans="1:19" ht="13.5" thickBot="1">
      <c r="A23" s="251" t="s">
        <v>110</v>
      </c>
      <c r="B23" s="262">
        <v>0.09</v>
      </c>
      <c r="C23" s="250">
        <v>-833.12</v>
      </c>
      <c r="D23" s="250">
        <v>-189.5</v>
      </c>
      <c r="E23" s="251">
        <v>943.7499999999999</v>
      </c>
      <c r="F23" s="251">
        <v>977.7799999999999</v>
      </c>
      <c r="G23" s="251">
        <v>1904.4900000000002</v>
      </c>
      <c r="H23" s="251">
        <v>787.68</v>
      </c>
      <c r="I23" s="251">
        <v>153.35</v>
      </c>
      <c r="J23" s="251"/>
      <c r="K23" s="251"/>
      <c r="L23" s="251"/>
      <c r="M23" s="251"/>
      <c r="N23" s="251"/>
      <c r="O23" s="251"/>
      <c r="P23" s="251"/>
      <c r="Q23" s="251"/>
      <c r="R23" s="251"/>
      <c r="S23" s="251">
        <f t="shared" si="2"/>
        <v>3744.43</v>
      </c>
    </row>
    <row r="24" spans="1:19" ht="13.5" thickBot="1">
      <c r="A24" s="251" t="s">
        <v>111</v>
      </c>
      <c r="B24" s="262">
        <v>0.09</v>
      </c>
      <c r="C24" s="250">
        <v>-263.18</v>
      </c>
      <c r="D24" s="250">
        <v>0</v>
      </c>
      <c r="E24" s="251">
        <v>263.18</v>
      </c>
      <c r="F24" s="251">
        <v>274.25</v>
      </c>
      <c r="G24" s="251">
        <v>267.36</v>
      </c>
      <c r="H24" s="251">
        <v>327.22</v>
      </c>
      <c r="I24" s="251">
        <v>-0.2</v>
      </c>
      <c r="J24" s="251">
        <v>-323.13</v>
      </c>
      <c r="K24" s="251">
        <v>321.75</v>
      </c>
      <c r="L24" s="251"/>
      <c r="M24" s="251"/>
      <c r="N24" s="251"/>
      <c r="O24" s="251"/>
      <c r="P24" s="251"/>
      <c r="Q24" s="251"/>
      <c r="R24" s="251"/>
      <c r="S24" s="251">
        <f t="shared" si="2"/>
        <v>867.25</v>
      </c>
    </row>
    <row r="25" spans="1:19" ht="13.5" thickBot="1">
      <c r="A25" s="251" t="s">
        <v>112</v>
      </c>
      <c r="B25" s="262">
        <v>0.044</v>
      </c>
      <c r="C25" s="250">
        <v>-644.56</v>
      </c>
      <c r="D25" s="250">
        <v>0</v>
      </c>
      <c r="E25" s="251">
        <v>644.56</v>
      </c>
      <c r="F25" s="251">
        <v>644.67</v>
      </c>
      <c r="G25" s="251">
        <v>657.01</v>
      </c>
      <c r="H25" s="251">
        <v>615.88</v>
      </c>
      <c r="I25" s="251"/>
      <c r="J25" s="251">
        <v>-324.82</v>
      </c>
      <c r="K25" s="251">
        <v>324.82</v>
      </c>
      <c r="L25" s="251"/>
      <c r="M25" s="251"/>
      <c r="N25" s="251"/>
      <c r="O25" s="251"/>
      <c r="P25" s="251"/>
      <c r="Q25" s="251"/>
      <c r="R25" s="251"/>
      <c r="S25" s="251">
        <f t="shared" si="2"/>
        <v>1917.56</v>
      </c>
    </row>
    <row r="26" spans="1:19" ht="13.5" thickBot="1">
      <c r="A26" s="251" t="s">
        <v>113</v>
      </c>
      <c r="B26" s="262">
        <v>0.044</v>
      </c>
      <c r="C26" s="250">
        <v>0</v>
      </c>
      <c r="D26" s="250">
        <v>0</v>
      </c>
      <c r="E26" s="251">
        <v>0</v>
      </c>
      <c r="F26" s="251">
        <v>0</v>
      </c>
      <c r="G26" s="251">
        <v>0</v>
      </c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>
        <f t="shared" si="2"/>
        <v>0</v>
      </c>
    </row>
    <row r="27" spans="1:19" ht="13.5" thickBot="1">
      <c r="A27" s="251" t="s">
        <v>114</v>
      </c>
      <c r="B27" s="262">
        <v>0.5888</v>
      </c>
      <c r="C27" s="250">
        <v>-185.33</v>
      </c>
      <c r="D27" s="250">
        <v>0</v>
      </c>
      <c r="E27" s="251">
        <v>185.33</v>
      </c>
      <c r="F27" s="251">
        <v>185.36</v>
      </c>
      <c r="G27" s="251">
        <v>185.36</v>
      </c>
      <c r="H27" s="251">
        <v>185.36</v>
      </c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>
        <f t="shared" si="2"/>
        <v>556.08</v>
      </c>
    </row>
    <row r="28" spans="1:19" ht="12.75">
      <c r="A28" s="251" t="s">
        <v>115</v>
      </c>
      <c r="B28" s="262">
        <v>0.6648</v>
      </c>
      <c r="C28" s="250">
        <v>-47.17</v>
      </c>
      <c r="D28" s="250">
        <v>-3.77</v>
      </c>
      <c r="E28" s="251">
        <v>50.870000000000005</v>
      </c>
      <c r="F28" s="251">
        <v>16.59</v>
      </c>
      <c r="G28" s="251">
        <v>16.74</v>
      </c>
      <c r="H28" s="251">
        <v>15.84</v>
      </c>
      <c r="I28" s="251">
        <v>2.67</v>
      </c>
      <c r="J28" s="251"/>
      <c r="K28" s="251"/>
      <c r="L28" s="251"/>
      <c r="M28" s="251"/>
      <c r="N28" s="251"/>
      <c r="O28" s="251"/>
      <c r="P28" s="251"/>
      <c r="Q28" s="251"/>
      <c r="R28" s="251"/>
      <c r="S28" s="251">
        <f t="shared" si="2"/>
        <v>51.769999999999996</v>
      </c>
    </row>
    <row r="29" spans="1:19" ht="12.75">
      <c r="A29" s="251"/>
      <c r="B29" s="251"/>
      <c r="C29" s="251">
        <f aca="true" t="shared" si="3" ref="C29:S29">+SUM(C20:C28)</f>
        <v>-11104.460000000001</v>
      </c>
      <c r="D29" s="251">
        <f t="shared" si="3"/>
        <v>-2143.49</v>
      </c>
      <c r="E29" s="251">
        <f t="shared" si="3"/>
        <v>13466.140000000001</v>
      </c>
      <c r="F29" s="251">
        <f t="shared" si="3"/>
        <v>14315.140000000001</v>
      </c>
      <c r="G29" s="251">
        <f t="shared" si="3"/>
        <v>14863.830000000002</v>
      </c>
      <c r="H29" s="251">
        <f t="shared" si="3"/>
        <v>11779.49</v>
      </c>
      <c r="I29" s="251">
        <f t="shared" si="3"/>
        <v>1088.08</v>
      </c>
      <c r="J29" s="251">
        <f t="shared" si="3"/>
        <v>-644.69</v>
      </c>
      <c r="K29" s="251">
        <f t="shared" si="3"/>
        <v>646.5</v>
      </c>
      <c r="L29" s="251">
        <f t="shared" si="3"/>
        <v>-8.1</v>
      </c>
      <c r="M29" s="251">
        <f t="shared" si="3"/>
        <v>4.6</v>
      </c>
      <c r="N29" s="251">
        <f t="shared" si="3"/>
        <v>0</v>
      </c>
      <c r="O29" s="251">
        <f t="shared" si="3"/>
        <v>0</v>
      </c>
      <c r="P29" s="251">
        <f t="shared" si="3"/>
        <v>0</v>
      </c>
      <c r="Q29" s="251">
        <f t="shared" si="3"/>
        <v>0</v>
      </c>
      <c r="R29" s="251">
        <f t="shared" si="3"/>
        <v>0</v>
      </c>
      <c r="S29" s="251">
        <f t="shared" si="3"/>
        <v>42263.03999999999</v>
      </c>
    </row>
    <row r="31" spans="2:3" ht="12.75">
      <c r="B31" s="255"/>
      <c r="C31" s="255"/>
    </row>
    <row r="32" spans="1:19" ht="13.5" thickBot="1">
      <c r="A32" s="253" t="s">
        <v>134</v>
      </c>
      <c r="B32" s="253" t="s">
        <v>28</v>
      </c>
      <c r="C32" t="s">
        <v>117</v>
      </c>
      <c r="D32" t="s">
        <v>118</v>
      </c>
      <c r="E32" t="s">
        <v>119</v>
      </c>
      <c r="F32" t="s">
        <v>37</v>
      </c>
      <c r="G32" t="s">
        <v>38</v>
      </c>
      <c r="H32" t="s">
        <v>39</v>
      </c>
      <c r="I32" t="s">
        <v>40</v>
      </c>
      <c r="J32" t="s">
        <v>41</v>
      </c>
      <c r="K32" t="s">
        <v>42</v>
      </c>
      <c r="L32" t="s">
        <v>43</v>
      </c>
      <c r="M32" t="s">
        <v>44</v>
      </c>
      <c r="N32" t="s">
        <v>45</v>
      </c>
      <c r="O32" t="s">
        <v>46</v>
      </c>
      <c r="P32" t="s">
        <v>47</v>
      </c>
      <c r="Q32" t="s">
        <v>120</v>
      </c>
      <c r="R32" t="s">
        <v>121</v>
      </c>
      <c r="S32" t="s">
        <v>18</v>
      </c>
    </row>
    <row r="33" spans="1:19" ht="13.5" thickBot="1">
      <c r="A33" s="250" t="s">
        <v>107</v>
      </c>
      <c r="B33" s="262">
        <v>0.0012</v>
      </c>
      <c r="C33" s="250"/>
      <c r="D33" s="250"/>
      <c r="E33" s="250"/>
      <c r="F33" s="250"/>
      <c r="G33" s="250"/>
      <c r="H33" s="250">
        <v>759.57</v>
      </c>
      <c r="I33" s="250">
        <v>3738.16</v>
      </c>
      <c r="J33" s="250">
        <v>4633.34</v>
      </c>
      <c r="K33" s="250">
        <v>5535.83</v>
      </c>
      <c r="L33" s="250">
        <v>7278.03</v>
      </c>
      <c r="M33" s="250">
        <f>5535.58-4.6</f>
        <v>5530.98</v>
      </c>
      <c r="N33" s="250">
        <v>4562.43</v>
      </c>
      <c r="O33" s="250">
        <v>4449.17</v>
      </c>
      <c r="P33" s="250">
        <v>4447.34</v>
      </c>
      <c r="Q33" s="250">
        <v>5002.599999999999</v>
      </c>
      <c r="R33" s="250">
        <v>1036.46</v>
      </c>
      <c r="S33" s="250">
        <f>+SUM(C33:R33)</f>
        <v>46973.91</v>
      </c>
    </row>
    <row r="34" spans="1:19" ht="13.5" thickBot="1">
      <c r="A34" s="251" t="s">
        <v>108</v>
      </c>
      <c r="B34" s="262">
        <v>0.0007</v>
      </c>
      <c r="C34" s="250"/>
      <c r="D34" s="250"/>
      <c r="E34" s="251"/>
      <c r="F34" s="251"/>
      <c r="G34" s="251"/>
      <c r="H34" s="251">
        <v>263.98</v>
      </c>
      <c r="I34" s="251">
        <v>1247.88</v>
      </c>
      <c r="J34" s="251">
        <v>1456.6999999999998</v>
      </c>
      <c r="K34" s="251">
        <v>1685.7899999999997</v>
      </c>
      <c r="L34" s="251">
        <v>1932.1899999999998</v>
      </c>
      <c r="M34" s="251">
        <v>1440.8500000000001</v>
      </c>
      <c r="N34" s="251">
        <v>1724.32</v>
      </c>
      <c r="O34" s="251">
        <v>1432.45</v>
      </c>
      <c r="P34" s="251">
        <v>1431.8</v>
      </c>
      <c r="Q34" s="251">
        <v>1411.73</v>
      </c>
      <c r="R34" s="251">
        <v>264.74</v>
      </c>
      <c r="S34" s="251">
        <f>+SUM(C34:R34)</f>
        <v>14292.429999999998</v>
      </c>
    </row>
    <row r="35" spans="1:19" ht="13.5" thickBot="1">
      <c r="A35" s="251" t="s">
        <v>109</v>
      </c>
      <c r="B35" s="262">
        <v>0.0007</v>
      </c>
      <c r="C35" s="250"/>
      <c r="D35" s="250"/>
      <c r="E35" s="251"/>
      <c r="F35" s="251"/>
      <c r="G35" s="251"/>
      <c r="H35" s="251">
        <v>0.22</v>
      </c>
      <c r="I35" s="251">
        <v>0.98</v>
      </c>
      <c r="J35" s="251">
        <v>1.08</v>
      </c>
      <c r="K35" s="251">
        <v>1.12</v>
      </c>
      <c r="L35" s="251">
        <v>1.4300000000000002</v>
      </c>
      <c r="M35" s="251">
        <v>0.5700000000000001</v>
      </c>
      <c r="N35" s="251">
        <v>1.15</v>
      </c>
      <c r="O35" s="251">
        <v>1.07</v>
      </c>
      <c r="P35" s="251">
        <v>1.4400000000000002</v>
      </c>
      <c r="Q35" s="251">
        <v>1.3</v>
      </c>
      <c r="R35" s="251">
        <v>0.36</v>
      </c>
      <c r="S35" s="251">
        <f aca="true" t="shared" si="4" ref="S35:S41">+SUM(C35:R35)</f>
        <v>10.72</v>
      </c>
    </row>
    <row r="36" spans="1:19" ht="13.5" thickBot="1">
      <c r="A36" s="251" t="s">
        <v>110</v>
      </c>
      <c r="B36" s="262">
        <v>0.0548</v>
      </c>
      <c r="C36" s="250"/>
      <c r="D36" s="250"/>
      <c r="E36" s="251"/>
      <c r="F36" s="251"/>
      <c r="G36" s="251"/>
      <c r="H36" s="251">
        <v>57.2</v>
      </c>
      <c r="I36" s="251">
        <v>438.32</v>
      </c>
      <c r="J36" s="251">
        <v>531.7</v>
      </c>
      <c r="K36" s="251">
        <v>519.0799999999999</v>
      </c>
      <c r="L36" s="251">
        <v>558.38</v>
      </c>
      <c r="M36" s="251">
        <v>411.87</v>
      </c>
      <c r="N36" s="251">
        <v>608.32</v>
      </c>
      <c r="O36" s="251">
        <v>506.71</v>
      </c>
      <c r="P36" s="251">
        <v>508.9</v>
      </c>
      <c r="Q36" s="251">
        <v>440.87</v>
      </c>
      <c r="R36" s="251">
        <v>90.43</v>
      </c>
      <c r="S36" s="251">
        <f t="shared" si="4"/>
        <v>4671.78</v>
      </c>
    </row>
    <row r="37" spans="1:19" ht="13.5" thickBot="1">
      <c r="A37" s="251" t="s">
        <v>111</v>
      </c>
      <c r="B37" s="262">
        <v>0.0548</v>
      </c>
      <c r="C37" s="250"/>
      <c r="D37" s="250"/>
      <c r="E37" s="251"/>
      <c r="F37" s="251"/>
      <c r="G37" s="251"/>
      <c r="H37" s="251"/>
      <c r="I37" s="251">
        <v>209.18</v>
      </c>
      <c r="J37" s="251">
        <v>10.33</v>
      </c>
      <c r="K37" s="251">
        <v>467.56</v>
      </c>
      <c r="L37" s="251">
        <v>264.42</v>
      </c>
      <c r="M37" s="251">
        <v>3.7900000000000063</v>
      </c>
      <c r="N37" s="251">
        <v>508.76</v>
      </c>
      <c r="O37" s="251">
        <v>258.91</v>
      </c>
      <c r="P37" s="251">
        <v>241.29</v>
      </c>
      <c r="Q37" s="251">
        <v>228.91</v>
      </c>
      <c r="R37" s="251">
        <v>0</v>
      </c>
      <c r="S37" s="251">
        <f t="shared" si="4"/>
        <v>2193.15</v>
      </c>
    </row>
    <row r="38" spans="1:19" ht="13.5" thickBot="1">
      <c r="A38" s="251" t="s">
        <v>112</v>
      </c>
      <c r="B38" s="262">
        <v>0.0254</v>
      </c>
      <c r="C38" s="250"/>
      <c r="D38" s="250"/>
      <c r="E38" s="251"/>
      <c r="F38" s="251"/>
      <c r="G38" s="251"/>
      <c r="H38" s="251"/>
      <c r="I38" s="251">
        <v>350.85</v>
      </c>
      <c r="J38" s="251">
        <v>166.75</v>
      </c>
      <c r="K38" s="251">
        <v>542.78</v>
      </c>
      <c r="L38" s="251">
        <v>355.38</v>
      </c>
      <c r="M38" s="251">
        <v>178.01999999999998</v>
      </c>
      <c r="N38" s="251">
        <v>562.9300000000001</v>
      </c>
      <c r="O38" s="251">
        <v>371.29</v>
      </c>
      <c r="P38" s="251">
        <v>367.97</v>
      </c>
      <c r="Q38" s="251">
        <v>360.39</v>
      </c>
      <c r="R38" s="251">
        <v>0</v>
      </c>
      <c r="S38" s="251">
        <f t="shared" si="4"/>
        <v>3256.36</v>
      </c>
    </row>
    <row r="39" spans="1:19" ht="13.5" thickBot="1">
      <c r="A39" s="251" t="s">
        <v>113</v>
      </c>
      <c r="B39" s="262">
        <v>0.0254</v>
      </c>
      <c r="C39" s="250"/>
      <c r="D39" s="250"/>
      <c r="E39" s="251"/>
      <c r="F39" s="251"/>
      <c r="G39" s="251"/>
      <c r="H39" s="251"/>
      <c r="I39" s="251"/>
      <c r="J39" s="251"/>
      <c r="K39" s="251"/>
      <c r="L39" s="251">
        <v>0</v>
      </c>
      <c r="M39" s="251">
        <v>0</v>
      </c>
      <c r="N39" s="251">
        <v>0</v>
      </c>
      <c r="O39" s="251">
        <v>0</v>
      </c>
      <c r="P39" s="251">
        <v>0</v>
      </c>
      <c r="Q39" s="251">
        <v>0</v>
      </c>
      <c r="R39" s="251">
        <v>0</v>
      </c>
      <c r="S39" s="251">
        <f t="shared" si="4"/>
        <v>0</v>
      </c>
    </row>
    <row r="40" spans="1:19" ht="13.5" thickBot="1">
      <c r="A40" s="251" t="s">
        <v>114</v>
      </c>
      <c r="B40" s="262">
        <v>0.3572</v>
      </c>
      <c r="C40" s="250"/>
      <c r="D40" s="250"/>
      <c r="E40" s="251"/>
      <c r="F40" s="251"/>
      <c r="G40" s="251"/>
      <c r="H40" s="251"/>
      <c r="I40" s="251">
        <v>112.45</v>
      </c>
      <c r="J40" s="251">
        <v>112.45</v>
      </c>
      <c r="K40" s="251">
        <v>112.45</v>
      </c>
      <c r="L40" s="251">
        <v>112.45</v>
      </c>
      <c r="M40" s="251">
        <v>112.45</v>
      </c>
      <c r="N40" s="251">
        <v>112.45</v>
      </c>
      <c r="O40" s="251">
        <v>112.45</v>
      </c>
      <c r="P40" s="251">
        <v>112.45</v>
      </c>
      <c r="Q40" s="251">
        <v>112.45</v>
      </c>
      <c r="R40" s="251">
        <v>0</v>
      </c>
      <c r="S40" s="251">
        <f t="shared" si="4"/>
        <v>1012.0500000000002</v>
      </c>
    </row>
    <row r="41" spans="1:19" ht="12.75">
      <c r="A41" s="251" t="s">
        <v>115</v>
      </c>
      <c r="B41" s="262">
        <v>0.5429</v>
      </c>
      <c r="C41" s="250"/>
      <c r="D41" s="250"/>
      <c r="E41" s="251"/>
      <c r="F41" s="251"/>
      <c r="G41" s="251"/>
      <c r="H41" s="251">
        <v>1.32</v>
      </c>
      <c r="I41" s="251">
        <v>11.44</v>
      </c>
      <c r="J41" s="251">
        <v>13.81</v>
      </c>
      <c r="K41" s="251">
        <v>13.35</v>
      </c>
      <c r="L41" s="251">
        <v>14.07</v>
      </c>
      <c r="M41" s="251">
        <v>10.5</v>
      </c>
      <c r="N41" s="251">
        <v>16.66</v>
      </c>
      <c r="O41" s="251">
        <v>13.68</v>
      </c>
      <c r="P41" s="251">
        <v>13.35</v>
      </c>
      <c r="Q41" s="251">
        <v>27.29</v>
      </c>
      <c r="R41" s="251">
        <v>2.92</v>
      </c>
      <c r="S41" s="251">
        <f t="shared" si="4"/>
        <v>138.39</v>
      </c>
    </row>
    <row r="42" spans="1:19" ht="12.75">
      <c r="A42" s="251"/>
      <c r="B42" s="251"/>
      <c r="C42" s="251">
        <f aca="true" t="shared" si="5" ref="C42:S42">+SUM(C33:C41)</f>
        <v>0</v>
      </c>
      <c r="D42" s="251">
        <f t="shared" si="5"/>
        <v>0</v>
      </c>
      <c r="E42" s="251">
        <f t="shared" si="5"/>
        <v>0</v>
      </c>
      <c r="F42" s="251">
        <f t="shared" si="5"/>
        <v>0</v>
      </c>
      <c r="G42" s="251">
        <f t="shared" si="5"/>
        <v>0</v>
      </c>
      <c r="H42" s="251">
        <f t="shared" si="5"/>
        <v>1082.29</v>
      </c>
      <c r="I42" s="251">
        <f t="shared" si="5"/>
        <v>6109.259999999999</v>
      </c>
      <c r="J42" s="251">
        <f t="shared" si="5"/>
        <v>6926.16</v>
      </c>
      <c r="K42" s="251">
        <f t="shared" si="5"/>
        <v>8877.960000000001</v>
      </c>
      <c r="L42" s="251">
        <f t="shared" si="5"/>
        <v>10516.349999999999</v>
      </c>
      <c r="M42" s="251">
        <f t="shared" si="5"/>
        <v>7689.03</v>
      </c>
      <c r="N42" s="251">
        <f t="shared" si="5"/>
        <v>8097.0199999999995</v>
      </c>
      <c r="O42" s="251">
        <f t="shared" si="5"/>
        <v>7145.73</v>
      </c>
      <c r="P42" s="251">
        <f t="shared" si="5"/>
        <v>7124.54</v>
      </c>
      <c r="Q42" s="251">
        <f t="shared" si="5"/>
        <v>7585.54</v>
      </c>
      <c r="R42" s="251">
        <f t="shared" si="5"/>
        <v>1394.91</v>
      </c>
      <c r="S42" s="251">
        <f t="shared" si="5"/>
        <v>72548.79000000001</v>
      </c>
    </row>
    <row r="44" spans="2:3" ht="12.75">
      <c r="B44" s="255"/>
      <c r="C44" s="255"/>
    </row>
    <row r="45" spans="1:19" ht="13.5" thickBot="1">
      <c r="A45" s="253" t="s">
        <v>123</v>
      </c>
      <c r="C45" t="s">
        <v>117</v>
      </c>
      <c r="D45" t="s">
        <v>118</v>
      </c>
      <c r="E45" t="s">
        <v>119</v>
      </c>
      <c r="F45" t="s">
        <v>37</v>
      </c>
      <c r="G45" t="s">
        <v>38</v>
      </c>
      <c r="H45" t="s">
        <v>39</v>
      </c>
      <c r="I45" t="s">
        <v>40</v>
      </c>
      <c r="J45" t="s">
        <v>41</v>
      </c>
      <c r="K45" t="s">
        <v>42</v>
      </c>
      <c r="L45" t="s">
        <v>43</v>
      </c>
      <c r="M45" t="s">
        <v>44</v>
      </c>
      <c r="N45" t="s">
        <v>45</v>
      </c>
      <c r="O45" t="s">
        <v>46</v>
      </c>
      <c r="P45" t="s">
        <v>47</v>
      </c>
      <c r="Q45" t="s">
        <v>120</v>
      </c>
      <c r="R45" t="s">
        <v>121</v>
      </c>
      <c r="S45" t="s">
        <v>18</v>
      </c>
    </row>
    <row r="46" spans="1:19" ht="13.5" thickBot="1">
      <c r="A46" s="250" t="s">
        <v>107</v>
      </c>
      <c r="B46" s="256"/>
      <c r="C46" s="250">
        <f aca="true" t="shared" si="6" ref="C46:R46">+C20+C33</f>
        <v>-6987.4400000000005</v>
      </c>
      <c r="D46" s="250">
        <f t="shared" si="6"/>
        <v>-1499.22</v>
      </c>
      <c r="E46" s="250">
        <f t="shared" si="6"/>
        <v>8750.18</v>
      </c>
      <c r="F46" s="250">
        <f t="shared" si="6"/>
        <v>9406.37</v>
      </c>
      <c r="G46" s="250">
        <f t="shared" si="6"/>
        <v>8994.12</v>
      </c>
      <c r="H46" s="250">
        <f t="shared" si="6"/>
        <v>8104.92</v>
      </c>
      <c r="I46" s="250">
        <f t="shared" si="6"/>
        <v>4439.34</v>
      </c>
      <c r="J46" s="250">
        <f t="shared" si="6"/>
        <v>4636.6</v>
      </c>
      <c r="K46" s="250">
        <f t="shared" si="6"/>
        <v>5535.76</v>
      </c>
      <c r="L46" s="250">
        <f t="shared" si="6"/>
        <v>7269.929999999999</v>
      </c>
      <c r="M46" s="250">
        <f t="shared" si="6"/>
        <v>5535.58</v>
      </c>
      <c r="N46" s="250">
        <f t="shared" si="6"/>
        <v>4562.43</v>
      </c>
      <c r="O46" s="250">
        <f t="shared" si="6"/>
        <v>4449.17</v>
      </c>
      <c r="P46" s="250">
        <f t="shared" si="6"/>
        <v>4447.34</v>
      </c>
      <c r="Q46" s="250">
        <f t="shared" si="6"/>
        <v>5002.599999999999</v>
      </c>
      <c r="R46" s="250">
        <f t="shared" si="6"/>
        <v>1036.46</v>
      </c>
      <c r="S46" s="250">
        <f>+SUM(C46:R46)</f>
        <v>73684.14000000001</v>
      </c>
    </row>
    <row r="47" spans="1:19" ht="13.5" thickBot="1">
      <c r="A47" s="251" t="s">
        <v>108</v>
      </c>
      <c r="B47" s="256"/>
      <c r="C47" s="250">
        <f aca="true" t="shared" si="7" ref="C47:R47">+C21+C34</f>
        <v>-2141.4</v>
      </c>
      <c r="D47" s="250">
        <f t="shared" si="7"/>
        <v>-450.37999999999994</v>
      </c>
      <c r="E47" s="251">
        <f t="shared" si="7"/>
        <v>2625.2599999999998</v>
      </c>
      <c r="F47" s="251">
        <f t="shared" si="7"/>
        <v>2807.0699999999997</v>
      </c>
      <c r="G47" s="251">
        <f t="shared" si="7"/>
        <v>2835.899999999999</v>
      </c>
      <c r="H47" s="251">
        <f t="shared" si="7"/>
        <v>2764.01</v>
      </c>
      <c r="I47" s="251">
        <f t="shared" si="7"/>
        <v>1478.5100000000002</v>
      </c>
      <c r="J47" s="251">
        <f t="shared" si="7"/>
        <v>1456.6999999999998</v>
      </c>
      <c r="K47" s="251">
        <f t="shared" si="7"/>
        <v>1685.7899999999997</v>
      </c>
      <c r="L47" s="251">
        <f t="shared" si="7"/>
        <v>1932.1899999999998</v>
      </c>
      <c r="M47" s="251">
        <f t="shared" si="7"/>
        <v>1440.8500000000001</v>
      </c>
      <c r="N47" s="251">
        <f t="shared" si="7"/>
        <v>1724.32</v>
      </c>
      <c r="O47" s="251">
        <f t="shared" si="7"/>
        <v>1432.45</v>
      </c>
      <c r="P47" s="251">
        <f t="shared" si="7"/>
        <v>1431.8</v>
      </c>
      <c r="Q47" s="251">
        <f t="shared" si="7"/>
        <v>1411.73</v>
      </c>
      <c r="R47" s="251">
        <f t="shared" si="7"/>
        <v>264.74</v>
      </c>
      <c r="S47" s="251">
        <f>+SUM(C47:R47)</f>
        <v>22699.539999999997</v>
      </c>
    </row>
    <row r="48" spans="1:19" ht="13.5" thickBot="1">
      <c r="A48" s="251" t="s">
        <v>109</v>
      </c>
      <c r="B48" s="256"/>
      <c r="C48" s="250">
        <f aca="true" t="shared" si="8" ref="C48:R48">+C22+C35</f>
        <v>-2.26</v>
      </c>
      <c r="D48" s="250">
        <f t="shared" si="8"/>
        <v>-0.62</v>
      </c>
      <c r="E48" s="251">
        <f t="shared" si="8"/>
        <v>3.01</v>
      </c>
      <c r="F48" s="251">
        <f t="shared" si="8"/>
        <v>3.0500000000000003</v>
      </c>
      <c r="G48" s="251">
        <f t="shared" si="8"/>
        <v>2.85</v>
      </c>
      <c r="H48" s="251">
        <f t="shared" si="8"/>
        <v>2.35</v>
      </c>
      <c r="I48" s="251">
        <f t="shared" si="8"/>
        <v>1.43</v>
      </c>
      <c r="J48" s="251">
        <f t="shared" si="8"/>
        <v>1.08</v>
      </c>
      <c r="K48" s="251">
        <f t="shared" si="8"/>
        <v>1.12</v>
      </c>
      <c r="L48" s="251">
        <f t="shared" si="8"/>
        <v>1.4300000000000002</v>
      </c>
      <c r="M48" s="251">
        <f t="shared" si="8"/>
        <v>0.5700000000000001</v>
      </c>
      <c r="N48" s="251">
        <f t="shared" si="8"/>
        <v>1.15</v>
      </c>
      <c r="O48" s="251">
        <f t="shared" si="8"/>
        <v>1.07</v>
      </c>
      <c r="P48" s="251">
        <f t="shared" si="8"/>
        <v>1.4400000000000002</v>
      </c>
      <c r="Q48" s="251">
        <f t="shared" si="8"/>
        <v>1.3</v>
      </c>
      <c r="R48" s="251">
        <f t="shared" si="8"/>
        <v>0.36</v>
      </c>
      <c r="S48" s="251">
        <f aca="true" t="shared" si="9" ref="S48:S54">+SUM(C48:R48)</f>
        <v>19.330000000000002</v>
      </c>
    </row>
    <row r="49" spans="1:19" ht="13.5" thickBot="1">
      <c r="A49" s="251" t="s">
        <v>110</v>
      </c>
      <c r="B49" s="256"/>
      <c r="C49" s="250">
        <f aca="true" t="shared" si="10" ref="C49:R49">+C23+C36</f>
        <v>-833.12</v>
      </c>
      <c r="D49" s="250">
        <f t="shared" si="10"/>
        <v>-189.5</v>
      </c>
      <c r="E49" s="251">
        <f t="shared" si="10"/>
        <v>943.7499999999999</v>
      </c>
      <c r="F49" s="251">
        <f t="shared" si="10"/>
        <v>977.7799999999999</v>
      </c>
      <c r="G49" s="251">
        <f t="shared" si="10"/>
        <v>1904.4900000000002</v>
      </c>
      <c r="H49" s="251">
        <f t="shared" si="10"/>
        <v>844.88</v>
      </c>
      <c r="I49" s="251">
        <f t="shared" si="10"/>
        <v>591.67</v>
      </c>
      <c r="J49" s="251">
        <f t="shared" si="10"/>
        <v>531.7</v>
      </c>
      <c r="K49" s="251">
        <f t="shared" si="10"/>
        <v>519.0799999999999</v>
      </c>
      <c r="L49" s="251">
        <f t="shared" si="10"/>
        <v>558.38</v>
      </c>
      <c r="M49" s="251">
        <f t="shared" si="10"/>
        <v>411.87</v>
      </c>
      <c r="N49" s="251">
        <f t="shared" si="10"/>
        <v>608.32</v>
      </c>
      <c r="O49" s="251">
        <f t="shared" si="10"/>
        <v>506.71</v>
      </c>
      <c r="P49" s="251">
        <f t="shared" si="10"/>
        <v>508.9</v>
      </c>
      <c r="Q49" s="251">
        <f t="shared" si="10"/>
        <v>440.87</v>
      </c>
      <c r="R49" s="251">
        <f t="shared" si="10"/>
        <v>90.43</v>
      </c>
      <c r="S49" s="251">
        <f t="shared" si="9"/>
        <v>8416.21</v>
      </c>
    </row>
    <row r="50" spans="1:19" ht="13.5" thickBot="1">
      <c r="A50" s="251" t="s">
        <v>111</v>
      </c>
      <c r="B50" s="256"/>
      <c r="C50" s="250">
        <f aca="true" t="shared" si="11" ref="C50:R50">+C24+C37</f>
        <v>-263.18</v>
      </c>
      <c r="D50" s="250">
        <f t="shared" si="11"/>
        <v>0</v>
      </c>
      <c r="E50" s="251">
        <f t="shared" si="11"/>
        <v>263.18</v>
      </c>
      <c r="F50" s="251">
        <f t="shared" si="11"/>
        <v>274.25</v>
      </c>
      <c r="G50" s="251">
        <f t="shared" si="11"/>
        <v>267.36</v>
      </c>
      <c r="H50" s="251">
        <f t="shared" si="11"/>
        <v>327.22</v>
      </c>
      <c r="I50" s="251">
        <f t="shared" si="11"/>
        <v>208.98000000000002</v>
      </c>
      <c r="J50" s="251">
        <f t="shared" si="11"/>
        <v>-312.8</v>
      </c>
      <c r="K50" s="251">
        <f t="shared" si="11"/>
        <v>789.31</v>
      </c>
      <c r="L50" s="251">
        <f t="shared" si="11"/>
        <v>264.42</v>
      </c>
      <c r="M50" s="251">
        <f t="shared" si="11"/>
        <v>3.7900000000000063</v>
      </c>
      <c r="N50" s="251">
        <f t="shared" si="11"/>
        <v>508.76</v>
      </c>
      <c r="O50" s="251">
        <f t="shared" si="11"/>
        <v>258.91</v>
      </c>
      <c r="P50" s="251">
        <f t="shared" si="11"/>
        <v>241.29</v>
      </c>
      <c r="Q50" s="251">
        <f t="shared" si="11"/>
        <v>228.91</v>
      </c>
      <c r="R50" s="251">
        <f t="shared" si="11"/>
        <v>0</v>
      </c>
      <c r="S50" s="251">
        <f t="shared" si="9"/>
        <v>3060.3999999999996</v>
      </c>
    </row>
    <row r="51" spans="1:19" ht="13.5" thickBot="1">
      <c r="A51" s="251" t="s">
        <v>112</v>
      </c>
      <c r="B51" s="256"/>
      <c r="C51" s="250">
        <f aca="true" t="shared" si="12" ref="C51:R51">+C25+C38</f>
        <v>-644.56</v>
      </c>
      <c r="D51" s="250">
        <f t="shared" si="12"/>
        <v>0</v>
      </c>
      <c r="E51" s="251">
        <f t="shared" si="12"/>
        <v>644.56</v>
      </c>
      <c r="F51" s="251">
        <f t="shared" si="12"/>
        <v>644.67</v>
      </c>
      <c r="G51" s="251">
        <f t="shared" si="12"/>
        <v>657.01</v>
      </c>
      <c r="H51" s="251">
        <f t="shared" si="12"/>
        <v>615.88</v>
      </c>
      <c r="I51" s="251">
        <f t="shared" si="12"/>
        <v>350.85</v>
      </c>
      <c r="J51" s="251">
        <f t="shared" si="12"/>
        <v>-158.07</v>
      </c>
      <c r="K51" s="251">
        <f t="shared" si="12"/>
        <v>867.5999999999999</v>
      </c>
      <c r="L51" s="251">
        <f t="shared" si="12"/>
        <v>355.38</v>
      </c>
      <c r="M51" s="251">
        <f t="shared" si="12"/>
        <v>178.01999999999998</v>
      </c>
      <c r="N51" s="251">
        <f t="shared" si="12"/>
        <v>562.9300000000001</v>
      </c>
      <c r="O51" s="251">
        <f t="shared" si="12"/>
        <v>371.29</v>
      </c>
      <c r="P51" s="251">
        <f t="shared" si="12"/>
        <v>367.97</v>
      </c>
      <c r="Q51" s="251">
        <f t="shared" si="12"/>
        <v>360.39</v>
      </c>
      <c r="R51" s="251">
        <f t="shared" si="12"/>
        <v>0</v>
      </c>
      <c r="S51" s="251">
        <f t="shared" si="9"/>
        <v>5173.92</v>
      </c>
    </row>
    <row r="52" spans="1:19" ht="13.5" thickBot="1">
      <c r="A52" s="251" t="s">
        <v>113</v>
      </c>
      <c r="B52" s="256"/>
      <c r="C52" s="250">
        <f aca="true" t="shared" si="13" ref="C52:R52">+C26+C39</f>
        <v>0</v>
      </c>
      <c r="D52" s="250">
        <f t="shared" si="13"/>
        <v>0</v>
      </c>
      <c r="E52" s="251">
        <f t="shared" si="13"/>
        <v>0</v>
      </c>
      <c r="F52" s="251">
        <f t="shared" si="13"/>
        <v>0</v>
      </c>
      <c r="G52" s="251">
        <f t="shared" si="13"/>
        <v>0</v>
      </c>
      <c r="H52" s="251">
        <f t="shared" si="13"/>
        <v>0</v>
      </c>
      <c r="I52" s="251">
        <f t="shared" si="13"/>
        <v>0</v>
      </c>
      <c r="J52" s="251">
        <f t="shared" si="13"/>
        <v>0</v>
      </c>
      <c r="K52" s="251">
        <f t="shared" si="13"/>
        <v>0</v>
      </c>
      <c r="L52" s="251">
        <f t="shared" si="13"/>
        <v>0</v>
      </c>
      <c r="M52" s="251">
        <f t="shared" si="13"/>
        <v>0</v>
      </c>
      <c r="N52" s="251">
        <f t="shared" si="13"/>
        <v>0</v>
      </c>
      <c r="O52" s="251">
        <f t="shared" si="13"/>
        <v>0</v>
      </c>
      <c r="P52" s="251">
        <f t="shared" si="13"/>
        <v>0</v>
      </c>
      <c r="Q52" s="251">
        <f t="shared" si="13"/>
        <v>0</v>
      </c>
      <c r="R52" s="251">
        <f t="shared" si="13"/>
        <v>0</v>
      </c>
      <c r="S52" s="251">
        <f t="shared" si="9"/>
        <v>0</v>
      </c>
    </row>
    <row r="53" spans="1:19" ht="13.5" thickBot="1">
      <c r="A53" s="251" t="s">
        <v>114</v>
      </c>
      <c r="B53" s="256"/>
      <c r="C53" s="250">
        <f aca="true" t="shared" si="14" ref="C53:R53">+C27+C40</f>
        <v>-185.33</v>
      </c>
      <c r="D53" s="250">
        <f t="shared" si="14"/>
        <v>0</v>
      </c>
      <c r="E53" s="251">
        <f t="shared" si="14"/>
        <v>185.33</v>
      </c>
      <c r="F53" s="251">
        <f t="shared" si="14"/>
        <v>185.36</v>
      </c>
      <c r="G53" s="251">
        <f t="shared" si="14"/>
        <v>185.36</v>
      </c>
      <c r="H53" s="251">
        <f t="shared" si="14"/>
        <v>185.36</v>
      </c>
      <c r="I53" s="251">
        <f t="shared" si="14"/>
        <v>112.45</v>
      </c>
      <c r="J53" s="251">
        <f t="shared" si="14"/>
        <v>112.45</v>
      </c>
      <c r="K53" s="251">
        <f t="shared" si="14"/>
        <v>112.45</v>
      </c>
      <c r="L53" s="251">
        <f t="shared" si="14"/>
        <v>112.45</v>
      </c>
      <c r="M53" s="251">
        <f t="shared" si="14"/>
        <v>112.45</v>
      </c>
      <c r="N53" s="251">
        <f t="shared" si="14"/>
        <v>112.45</v>
      </c>
      <c r="O53" s="251">
        <f t="shared" si="14"/>
        <v>112.45</v>
      </c>
      <c r="P53" s="251">
        <f t="shared" si="14"/>
        <v>112.45</v>
      </c>
      <c r="Q53" s="251">
        <f t="shared" si="14"/>
        <v>112.45</v>
      </c>
      <c r="R53" s="251">
        <f t="shared" si="14"/>
        <v>0</v>
      </c>
      <c r="S53" s="251">
        <f t="shared" si="9"/>
        <v>1568.1300000000003</v>
      </c>
    </row>
    <row r="54" spans="1:19" ht="12.75">
      <c r="A54" s="251" t="s">
        <v>115</v>
      </c>
      <c r="B54" s="256"/>
      <c r="C54" s="250">
        <f aca="true" t="shared" si="15" ref="C54:R54">+C28+C41</f>
        <v>-47.17</v>
      </c>
      <c r="D54" s="250">
        <f t="shared" si="15"/>
        <v>-3.77</v>
      </c>
      <c r="E54" s="251">
        <f t="shared" si="15"/>
        <v>50.870000000000005</v>
      </c>
      <c r="F54" s="251">
        <f t="shared" si="15"/>
        <v>16.59</v>
      </c>
      <c r="G54" s="251">
        <f t="shared" si="15"/>
        <v>16.74</v>
      </c>
      <c r="H54" s="251">
        <f t="shared" si="15"/>
        <v>17.16</v>
      </c>
      <c r="I54" s="251">
        <f t="shared" si="15"/>
        <v>14.11</v>
      </c>
      <c r="J54" s="251">
        <f t="shared" si="15"/>
        <v>13.81</v>
      </c>
      <c r="K54" s="251">
        <f t="shared" si="15"/>
        <v>13.35</v>
      </c>
      <c r="L54" s="251">
        <f t="shared" si="15"/>
        <v>14.07</v>
      </c>
      <c r="M54" s="251">
        <f t="shared" si="15"/>
        <v>10.5</v>
      </c>
      <c r="N54" s="251">
        <f t="shared" si="15"/>
        <v>16.66</v>
      </c>
      <c r="O54" s="251">
        <f t="shared" si="15"/>
        <v>13.68</v>
      </c>
      <c r="P54" s="251">
        <f t="shared" si="15"/>
        <v>13.35</v>
      </c>
      <c r="Q54" s="251">
        <f t="shared" si="15"/>
        <v>27.29</v>
      </c>
      <c r="R54" s="251">
        <f t="shared" si="15"/>
        <v>2.92</v>
      </c>
      <c r="S54" s="251">
        <f t="shared" si="9"/>
        <v>190.15999999999997</v>
      </c>
    </row>
    <row r="55" spans="1:19" ht="12.75">
      <c r="A55" s="251"/>
      <c r="B55" s="251"/>
      <c r="C55" s="251">
        <f aca="true" t="shared" si="16" ref="C55:S55">+SUM(C46:C54)</f>
        <v>-11104.460000000001</v>
      </c>
      <c r="D55" s="251">
        <f t="shared" si="16"/>
        <v>-2143.49</v>
      </c>
      <c r="E55" s="251">
        <f t="shared" si="16"/>
        <v>13466.140000000001</v>
      </c>
      <c r="F55" s="251">
        <f t="shared" si="16"/>
        <v>14315.140000000001</v>
      </c>
      <c r="G55" s="251">
        <f t="shared" si="16"/>
        <v>14863.830000000002</v>
      </c>
      <c r="H55" s="251">
        <f t="shared" si="16"/>
        <v>12861.779999999999</v>
      </c>
      <c r="I55" s="251">
        <f t="shared" si="16"/>
        <v>7197.34</v>
      </c>
      <c r="J55" s="251">
        <f t="shared" si="16"/>
        <v>6281.47</v>
      </c>
      <c r="K55" s="251">
        <f t="shared" si="16"/>
        <v>9524.460000000001</v>
      </c>
      <c r="L55" s="251">
        <f t="shared" si="16"/>
        <v>10508.249999999998</v>
      </c>
      <c r="M55" s="251">
        <f t="shared" si="16"/>
        <v>7693.63</v>
      </c>
      <c r="N55" s="251">
        <f t="shared" si="16"/>
        <v>8097.0199999999995</v>
      </c>
      <c r="O55" s="251">
        <f t="shared" si="16"/>
        <v>7145.73</v>
      </c>
      <c r="P55" s="251">
        <f t="shared" si="16"/>
        <v>7124.54</v>
      </c>
      <c r="Q55" s="251">
        <f t="shared" si="16"/>
        <v>7585.54</v>
      </c>
      <c r="R55" s="251">
        <f t="shared" si="16"/>
        <v>1394.91</v>
      </c>
      <c r="S55" s="251">
        <f t="shared" si="16"/>
        <v>114811.83</v>
      </c>
    </row>
    <row r="56" spans="1:19" ht="12.7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</row>
    <row r="58" spans="1:19" ht="13.5" thickBot="1">
      <c r="A58" s="253" t="s">
        <v>123</v>
      </c>
      <c r="C58" t="s">
        <v>117</v>
      </c>
      <c r="D58" t="s">
        <v>118</v>
      </c>
      <c r="E58" t="s">
        <v>119</v>
      </c>
      <c r="F58" t="s">
        <v>37</v>
      </c>
      <c r="G58" t="s">
        <v>38</v>
      </c>
      <c r="H58" t="s">
        <v>39</v>
      </c>
      <c r="I58" t="s">
        <v>40</v>
      </c>
      <c r="J58" t="s">
        <v>41</v>
      </c>
      <c r="K58" t="s">
        <v>42</v>
      </c>
      <c r="L58" t="s">
        <v>43</v>
      </c>
      <c r="M58" t="s">
        <v>44</v>
      </c>
      <c r="N58" t="s">
        <v>45</v>
      </c>
      <c r="O58" t="s">
        <v>46</v>
      </c>
      <c r="P58" t="s">
        <v>47</v>
      </c>
      <c r="Q58" t="s">
        <v>120</v>
      </c>
      <c r="R58" t="s">
        <v>121</v>
      </c>
      <c r="S58" t="s">
        <v>18</v>
      </c>
    </row>
    <row r="59" spans="1:19" ht="12.75">
      <c r="A59" s="250" t="s">
        <v>107</v>
      </c>
      <c r="C59" s="250">
        <f aca="true" t="shared" si="17" ref="C59:R59">+C46+C7</f>
        <v>-6987.4400000000005</v>
      </c>
      <c r="D59" s="250">
        <f t="shared" si="17"/>
        <v>-1499.22</v>
      </c>
      <c r="E59" s="250">
        <f t="shared" si="17"/>
        <v>8750.18</v>
      </c>
      <c r="F59" s="250">
        <f t="shared" si="17"/>
        <v>9406.37</v>
      </c>
      <c r="G59" s="250">
        <f t="shared" si="17"/>
        <v>8994.12</v>
      </c>
      <c r="H59" s="250">
        <f t="shared" si="17"/>
        <v>8104.92</v>
      </c>
      <c r="I59" s="250">
        <f t="shared" si="17"/>
        <v>4439.34</v>
      </c>
      <c r="J59" s="250">
        <f t="shared" si="17"/>
        <v>4636.6</v>
      </c>
      <c r="K59" s="250">
        <f t="shared" si="17"/>
        <v>5535.76</v>
      </c>
      <c r="L59" s="250">
        <f t="shared" si="17"/>
        <v>7269.929999999999</v>
      </c>
      <c r="M59" s="250">
        <f t="shared" si="17"/>
        <v>5535.58</v>
      </c>
      <c r="N59" s="250">
        <f t="shared" si="17"/>
        <v>4562.43</v>
      </c>
      <c r="O59" s="250">
        <f t="shared" si="17"/>
        <v>4449.17</v>
      </c>
      <c r="P59" s="250">
        <f t="shared" si="17"/>
        <v>4447.34</v>
      </c>
      <c r="Q59" s="250">
        <f t="shared" si="17"/>
        <v>5002.599999999999</v>
      </c>
      <c r="R59" s="250">
        <f t="shared" si="17"/>
        <v>1036.46</v>
      </c>
      <c r="S59" s="250">
        <f>+SUM(C59:R59)</f>
        <v>73684.14000000001</v>
      </c>
    </row>
    <row r="60" spans="1:19" ht="12.75">
      <c r="A60" s="251" t="s">
        <v>108</v>
      </c>
      <c r="C60" s="251">
        <f aca="true" t="shared" si="18" ref="C60:R60">+C47+C8</f>
        <v>-2141.4</v>
      </c>
      <c r="D60" s="251">
        <f t="shared" si="18"/>
        <v>-450.37999999999994</v>
      </c>
      <c r="E60" s="251">
        <f t="shared" si="18"/>
        <v>2625.2599999999998</v>
      </c>
      <c r="F60" s="251">
        <f t="shared" si="18"/>
        <v>2807.0699999999997</v>
      </c>
      <c r="G60" s="251">
        <f t="shared" si="18"/>
        <v>2835.899999999999</v>
      </c>
      <c r="H60" s="251">
        <f t="shared" si="18"/>
        <v>2764.01</v>
      </c>
      <c r="I60" s="251">
        <f t="shared" si="18"/>
        <v>1478.5100000000002</v>
      </c>
      <c r="J60" s="251">
        <f t="shared" si="18"/>
        <v>1456.6999999999998</v>
      </c>
      <c r="K60" s="251">
        <f t="shared" si="18"/>
        <v>1685.7899999999997</v>
      </c>
      <c r="L60" s="251">
        <f t="shared" si="18"/>
        <v>1932.1899999999998</v>
      </c>
      <c r="M60" s="251">
        <f t="shared" si="18"/>
        <v>1440.8500000000001</v>
      </c>
      <c r="N60" s="251">
        <f t="shared" si="18"/>
        <v>1724.32</v>
      </c>
      <c r="O60" s="251">
        <f t="shared" si="18"/>
        <v>1432.45</v>
      </c>
      <c r="P60" s="251">
        <f t="shared" si="18"/>
        <v>1431.73</v>
      </c>
      <c r="Q60" s="251">
        <f t="shared" si="18"/>
        <v>1411.73</v>
      </c>
      <c r="R60" s="251">
        <f t="shared" si="18"/>
        <v>264.74</v>
      </c>
      <c r="S60" s="251">
        <f>+SUM(C60:R60)</f>
        <v>22699.469999999998</v>
      </c>
    </row>
    <row r="61" spans="1:19" ht="12.75">
      <c r="A61" s="251" t="s">
        <v>109</v>
      </c>
      <c r="C61" s="251">
        <f aca="true" t="shared" si="19" ref="C61:R61">+C48+C9</f>
        <v>-2.26</v>
      </c>
      <c r="D61" s="251">
        <f t="shared" si="19"/>
        <v>-0.62</v>
      </c>
      <c r="E61" s="251">
        <f t="shared" si="19"/>
        <v>3.01</v>
      </c>
      <c r="F61" s="251">
        <f t="shared" si="19"/>
        <v>3.0500000000000003</v>
      </c>
      <c r="G61" s="251">
        <f t="shared" si="19"/>
        <v>2.85</v>
      </c>
      <c r="H61" s="251">
        <f t="shared" si="19"/>
        <v>2.35</v>
      </c>
      <c r="I61" s="251">
        <f t="shared" si="19"/>
        <v>1.43</v>
      </c>
      <c r="J61" s="251">
        <f t="shared" si="19"/>
        <v>1.08</v>
      </c>
      <c r="K61" s="251">
        <f t="shared" si="19"/>
        <v>1.12</v>
      </c>
      <c r="L61" s="251">
        <f t="shared" si="19"/>
        <v>1.4300000000000002</v>
      </c>
      <c r="M61" s="251">
        <f t="shared" si="19"/>
        <v>0.5700000000000001</v>
      </c>
      <c r="N61" s="251">
        <f t="shared" si="19"/>
        <v>1.15</v>
      </c>
      <c r="O61" s="251">
        <f t="shared" si="19"/>
        <v>1.07</v>
      </c>
      <c r="P61" s="251">
        <f t="shared" si="19"/>
        <v>1.4400000000000002</v>
      </c>
      <c r="Q61" s="251">
        <f t="shared" si="19"/>
        <v>1.3</v>
      </c>
      <c r="R61" s="251">
        <f t="shared" si="19"/>
        <v>0.36</v>
      </c>
      <c r="S61" s="251">
        <f aca="true" t="shared" si="20" ref="S61:S67">+SUM(C61:R61)</f>
        <v>19.330000000000002</v>
      </c>
    </row>
    <row r="62" spans="1:19" ht="12.75">
      <c r="A62" s="251" t="s">
        <v>110</v>
      </c>
      <c r="C62" s="251">
        <f aca="true" t="shared" si="21" ref="C62:R62">+C49+C10</f>
        <v>-833.12</v>
      </c>
      <c r="D62" s="251">
        <f t="shared" si="21"/>
        <v>-189.5</v>
      </c>
      <c r="E62" s="251">
        <f t="shared" si="21"/>
        <v>943.7499999999999</v>
      </c>
      <c r="F62" s="251">
        <f t="shared" si="21"/>
        <v>977.7799999999999</v>
      </c>
      <c r="G62" s="251">
        <f t="shared" si="21"/>
        <v>1904.4900000000002</v>
      </c>
      <c r="H62" s="251">
        <f t="shared" si="21"/>
        <v>844.88</v>
      </c>
      <c r="I62" s="251">
        <f t="shared" si="21"/>
        <v>591.67</v>
      </c>
      <c r="J62" s="251">
        <f t="shared" si="21"/>
        <v>531.7</v>
      </c>
      <c r="K62" s="251">
        <f t="shared" si="21"/>
        <v>519.0799999999999</v>
      </c>
      <c r="L62" s="251">
        <f t="shared" si="21"/>
        <v>558.38</v>
      </c>
      <c r="M62" s="251">
        <f t="shared" si="21"/>
        <v>411.87</v>
      </c>
      <c r="N62" s="251">
        <f t="shared" si="21"/>
        <v>608.32</v>
      </c>
      <c r="O62" s="251">
        <f t="shared" si="21"/>
        <v>506.71</v>
      </c>
      <c r="P62" s="251">
        <f t="shared" si="21"/>
        <v>510.06</v>
      </c>
      <c r="Q62" s="251">
        <f t="shared" si="21"/>
        <v>440.87</v>
      </c>
      <c r="R62" s="251">
        <f t="shared" si="21"/>
        <v>90.43</v>
      </c>
      <c r="S62" s="251">
        <f t="shared" si="20"/>
        <v>8417.37</v>
      </c>
    </row>
    <row r="63" spans="1:19" ht="12.75">
      <c r="A63" s="251" t="s">
        <v>111</v>
      </c>
      <c r="C63" s="251">
        <f aca="true" t="shared" si="22" ref="C63:R63">+C50+C11</f>
        <v>-263.18</v>
      </c>
      <c r="D63" s="251">
        <f t="shared" si="22"/>
        <v>0</v>
      </c>
      <c r="E63" s="251">
        <f t="shared" si="22"/>
        <v>263.18</v>
      </c>
      <c r="F63" s="251">
        <f t="shared" si="22"/>
        <v>274.25</v>
      </c>
      <c r="G63" s="251">
        <f t="shared" si="22"/>
        <v>267.36</v>
      </c>
      <c r="H63" s="251">
        <f t="shared" si="22"/>
        <v>327.22</v>
      </c>
      <c r="I63" s="251">
        <f t="shared" si="22"/>
        <v>208.98000000000002</v>
      </c>
      <c r="J63" s="251">
        <f t="shared" si="22"/>
        <v>-312.8</v>
      </c>
      <c r="K63" s="251">
        <f t="shared" si="22"/>
        <v>789.31</v>
      </c>
      <c r="L63" s="251">
        <f t="shared" si="22"/>
        <v>264.42</v>
      </c>
      <c r="M63" s="251">
        <f t="shared" si="22"/>
        <v>3.7900000000000063</v>
      </c>
      <c r="N63" s="251">
        <f t="shared" si="22"/>
        <v>508.76</v>
      </c>
      <c r="O63" s="251">
        <f t="shared" si="22"/>
        <v>258.91</v>
      </c>
      <c r="P63" s="251">
        <f t="shared" si="22"/>
        <v>241.29</v>
      </c>
      <c r="Q63" s="251">
        <f t="shared" si="22"/>
        <v>228.91</v>
      </c>
      <c r="R63" s="251">
        <f t="shared" si="22"/>
        <v>0</v>
      </c>
      <c r="S63" s="251">
        <f t="shared" si="20"/>
        <v>3060.3999999999996</v>
      </c>
    </row>
    <row r="64" spans="1:19" ht="12.75">
      <c r="A64" s="251" t="s">
        <v>112</v>
      </c>
      <c r="C64" s="251">
        <f aca="true" t="shared" si="23" ref="C64:R64">+C51+C12</f>
        <v>-644.56</v>
      </c>
      <c r="D64" s="251">
        <f t="shared" si="23"/>
        <v>0</v>
      </c>
      <c r="E64" s="251">
        <f t="shared" si="23"/>
        <v>644.56</v>
      </c>
      <c r="F64" s="251">
        <f t="shared" si="23"/>
        <v>644.67</v>
      </c>
      <c r="G64" s="251">
        <f t="shared" si="23"/>
        <v>657.01</v>
      </c>
      <c r="H64" s="251">
        <f t="shared" si="23"/>
        <v>615.88</v>
      </c>
      <c r="I64" s="251">
        <f t="shared" si="23"/>
        <v>350.85</v>
      </c>
      <c r="J64" s="251">
        <f t="shared" si="23"/>
        <v>-158.07</v>
      </c>
      <c r="K64" s="251">
        <f t="shared" si="23"/>
        <v>867.5999999999999</v>
      </c>
      <c r="L64" s="251">
        <f t="shared" si="23"/>
        <v>355.38</v>
      </c>
      <c r="M64" s="251">
        <f t="shared" si="23"/>
        <v>178.01999999999998</v>
      </c>
      <c r="N64" s="251">
        <f t="shared" si="23"/>
        <v>562.9300000000001</v>
      </c>
      <c r="O64" s="251">
        <f t="shared" si="23"/>
        <v>371.29</v>
      </c>
      <c r="P64" s="251">
        <f t="shared" si="23"/>
        <v>367.97</v>
      </c>
      <c r="Q64" s="251">
        <f t="shared" si="23"/>
        <v>360.39</v>
      </c>
      <c r="R64" s="251">
        <f t="shared" si="23"/>
        <v>0</v>
      </c>
      <c r="S64" s="251">
        <f t="shared" si="20"/>
        <v>5173.92</v>
      </c>
    </row>
    <row r="65" spans="1:19" ht="12.75">
      <c r="A65" s="251" t="s">
        <v>113</v>
      </c>
      <c r="C65" s="251">
        <f aca="true" t="shared" si="24" ref="C65:R65">+C52+C13</f>
        <v>0</v>
      </c>
      <c r="D65" s="251">
        <f t="shared" si="24"/>
        <v>0</v>
      </c>
      <c r="E65" s="251">
        <f t="shared" si="24"/>
        <v>0</v>
      </c>
      <c r="F65" s="251">
        <f t="shared" si="24"/>
        <v>0</v>
      </c>
      <c r="G65" s="251">
        <f t="shared" si="24"/>
        <v>0</v>
      </c>
      <c r="H65" s="251">
        <f t="shared" si="24"/>
        <v>0</v>
      </c>
      <c r="I65" s="251">
        <f t="shared" si="24"/>
        <v>0</v>
      </c>
      <c r="J65" s="251">
        <f t="shared" si="24"/>
        <v>0</v>
      </c>
      <c r="K65" s="251">
        <f t="shared" si="24"/>
        <v>0</v>
      </c>
      <c r="L65" s="251">
        <f t="shared" si="24"/>
        <v>0</v>
      </c>
      <c r="M65" s="251">
        <f t="shared" si="24"/>
        <v>0</v>
      </c>
      <c r="N65" s="251">
        <f t="shared" si="24"/>
        <v>0</v>
      </c>
      <c r="O65" s="251">
        <f t="shared" si="24"/>
        <v>0</v>
      </c>
      <c r="P65" s="251">
        <f t="shared" si="24"/>
        <v>0</v>
      </c>
      <c r="Q65" s="251">
        <f t="shared" si="24"/>
        <v>0</v>
      </c>
      <c r="R65" s="251">
        <f t="shared" si="24"/>
        <v>0</v>
      </c>
      <c r="S65" s="251">
        <f t="shared" si="20"/>
        <v>0</v>
      </c>
    </row>
    <row r="66" spans="1:19" ht="12.75">
      <c r="A66" s="251" t="s">
        <v>114</v>
      </c>
      <c r="C66" s="251">
        <f aca="true" t="shared" si="25" ref="C66:R66">+C53+C14</f>
        <v>-185.33</v>
      </c>
      <c r="D66" s="251">
        <f t="shared" si="25"/>
        <v>0</v>
      </c>
      <c r="E66" s="251">
        <f t="shared" si="25"/>
        <v>185.33</v>
      </c>
      <c r="F66" s="251">
        <f t="shared" si="25"/>
        <v>185.36</v>
      </c>
      <c r="G66" s="251">
        <f t="shared" si="25"/>
        <v>185.36</v>
      </c>
      <c r="H66" s="251">
        <f t="shared" si="25"/>
        <v>185.36</v>
      </c>
      <c r="I66" s="251">
        <f t="shared" si="25"/>
        <v>112.45</v>
      </c>
      <c r="J66" s="251">
        <f t="shared" si="25"/>
        <v>112.45</v>
      </c>
      <c r="K66" s="251">
        <f t="shared" si="25"/>
        <v>112.45</v>
      </c>
      <c r="L66" s="251">
        <f t="shared" si="25"/>
        <v>112.45</v>
      </c>
      <c r="M66" s="251">
        <f t="shared" si="25"/>
        <v>112.45</v>
      </c>
      <c r="N66" s="251">
        <f t="shared" si="25"/>
        <v>112.45</v>
      </c>
      <c r="O66" s="251">
        <f t="shared" si="25"/>
        <v>112.45</v>
      </c>
      <c r="P66" s="251">
        <f t="shared" si="25"/>
        <v>112.45</v>
      </c>
      <c r="Q66" s="251">
        <f t="shared" si="25"/>
        <v>112.45</v>
      </c>
      <c r="R66" s="251">
        <f t="shared" si="25"/>
        <v>0</v>
      </c>
      <c r="S66" s="251">
        <f t="shared" si="20"/>
        <v>1568.1300000000003</v>
      </c>
    </row>
    <row r="67" spans="1:19" ht="12.75">
      <c r="A67" s="251" t="s">
        <v>115</v>
      </c>
      <c r="C67" s="251">
        <f aca="true" t="shared" si="26" ref="C67:R67">+C54+C15</f>
        <v>-47.17</v>
      </c>
      <c r="D67" s="251">
        <f t="shared" si="26"/>
        <v>-3.77</v>
      </c>
      <c r="E67" s="251">
        <f t="shared" si="26"/>
        <v>50.870000000000005</v>
      </c>
      <c r="F67" s="251">
        <f t="shared" si="26"/>
        <v>16.59</v>
      </c>
      <c r="G67" s="251">
        <f t="shared" si="26"/>
        <v>16.74</v>
      </c>
      <c r="H67" s="251">
        <f t="shared" si="26"/>
        <v>17.16</v>
      </c>
      <c r="I67" s="251">
        <f t="shared" si="26"/>
        <v>14.11</v>
      </c>
      <c r="J67" s="251">
        <f t="shared" si="26"/>
        <v>13.81</v>
      </c>
      <c r="K67" s="251">
        <f t="shared" si="26"/>
        <v>13.35</v>
      </c>
      <c r="L67" s="251">
        <f t="shared" si="26"/>
        <v>14.07</v>
      </c>
      <c r="M67" s="251">
        <f t="shared" si="26"/>
        <v>10.5</v>
      </c>
      <c r="N67" s="251">
        <f t="shared" si="26"/>
        <v>16.66</v>
      </c>
      <c r="O67" s="251">
        <f t="shared" si="26"/>
        <v>13.68</v>
      </c>
      <c r="P67" s="251">
        <f t="shared" si="26"/>
        <v>13.35</v>
      </c>
      <c r="Q67" s="251">
        <f t="shared" si="26"/>
        <v>27.29</v>
      </c>
      <c r="R67" s="251">
        <f t="shared" si="26"/>
        <v>2.92</v>
      </c>
      <c r="S67" s="251">
        <f t="shared" si="20"/>
        <v>190.15999999999997</v>
      </c>
    </row>
    <row r="68" spans="1:19" ht="12.75">
      <c r="A68" s="251"/>
      <c r="C68" s="251">
        <f aca="true" t="shared" si="27" ref="C68:S68">+SUM(C59:C67)</f>
        <v>-11104.460000000001</v>
      </c>
      <c r="D68" s="251">
        <f t="shared" si="27"/>
        <v>-2143.49</v>
      </c>
      <c r="E68" s="251">
        <f t="shared" si="27"/>
        <v>13466.140000000001</v>
      </c>
      <c r="F68" s="251">
        <f t="shared" si="27"/>
        <v>14315.140000000001</v>
      </c>
      <c r="G68" s="251">
        <f t="shared" si="27"/>
        <v>14863.830000000002</v>
      </c>
      <c r="H68" s="251">
        <f t="shared" si="27"/>
        <v>12861.779999999999</v>
      </c>
      <c r="I68" s="251">
        <f t="shared" si="27"/>
        <v>7197.34</v>
      </c>
      <c r="J68" s="251">
        <f t="shared" si="27"/>
        <v>6281.47</v>
      </c>
      <c r="K68" s="251">
        <f t="shared" si="27"/>
        <v>9524.460000000001</v>
      </c>
      <c r="L68" s="251">
        <f t="shared" si="27"/>
        <v>10508.249999999998</v>
      </c>
      <c r="M68" s="251">
        <f t="shared" si="27"/>
        <v>7693.63</v>
      </c>
      <c r="N68" s="251">
        <f t="shared" si="27"/>
        <v>8097.0199999999995</v>
      </c>
      <c r="O68" s="251">
        <f t="shared" si="27"/>
        <v>7145.73</v>
      </c>
      <c r="P68" s="251">
        <f t="shared" si="27"/>
        <v>7125.63</v>
      </c>
      <c r="Q68" s="251">
        <f t="shared" si="27"/>
        <v>7585.54</v>
      </c>
      <c r="R68" s="251">
        <f t="shared" si="27"/>
        <v>1394.91</v>
      </c>
      <c r="S68" s="251">
        <f t="shared" si="27"/>
        <v>114812.92000000001</v>
      </c>
    </row>
    <row r="71" ht="12.75">
      <c r="A71" s="252"/>
    </row>
    <row r="72" spans="1:20" ht="13.5" thickBot="1">
      <c r="A72" s="253" t="s">
        <v>122</v>
      </c>
      <c r="C72" t="s">
        <v>117</v>
      </c>
      <c r="D72" t="s">
        <v>118</v>
      </c>
      <c r="E72" t="s">
        <v>119</v>
      </c>
      <c r="F72" t="s">
        <v>37</v>
      </c>
      <c r="G72" t="s">
        <v>38</v>
      </c>
      <c r="H72" t="s">
        <v>39</v>
      </c>
      <c r="I72" t="s">
        <v>40</v>
      </c>
      <c r="J72" t="s">
        <v>41</v>
      </c>
      <c r="K72" t="s">
        <v>42</v>
      </c>
      <c r="L72" t="s">
        <v>43</v>
      </c>
      <c r="M72" t="s">
        <v>44</v>
      </c>
      <c r="N72" t="s">
        <v>45</v>
      </c>
      <c r="O72" t="s">
        <v>46</v>
      </c>
      <c r="P72" t="s">
        <v>47</v>
      </c>
      <c r="Q72" t="s">
        <v>120</v>
      </c>
      <c r="R72" t="s">
        <v>121</v>
      </c>
      <c r="S72" t="s">
        <v>18</v>
      </c>
      <c r="T72" s="260" t="s">
        <v>124</v>
      </c>
    </row>
    <row r="73" spans="1:20" ht="13.5" thickBot="1">
      <c r="A73" s="250" t="s">
        <v>107</v>
      </c>
      <c r="C73" s="257">
        <f aca="true" t="shared" si="28" ref="C73:R73">+ROUND(C7/$B7,0)</f>
        <v>0</v>
      </c>
      <c r="D73" s="257">
        <f t="shared" si="28"/>
        <v>0</v>
      </c>
      <c r="E73" s="257">
        <f t="shared" si="28"/>
        <v>0</v>
      </c>
      <c r="F73" s="257">
        <f t="shared" si="28"/>
        <v>0</v>
      </c>
      <c r="G73" s="257">
        <f t="shared" si="28"/>
        <v>0</v>
      </c>
      <c r="H73" s="257">
        <f t="shared" si="28"/>
        <v>0</v>
      </c>
      <c r="I73" s="257">
        <f t="shared" si="28"/>
        <v>0</v>
      </c>
      <c r="J73" s="257">
        <f t="shared" si="28"/>
        <v>0</v>
      </c>
      <c r="K73" s="257">
        <f t="shared" si="28"/>
        <v>0</v>
      </c>
      <c r="L73" s="257">
        <f t="shared" si="28"/>
        <v>0</v>
      </c>
      <c r="M73" s="257">
        <f t="shared" si="28"/>
        <v>0</v>
      </c>
      <c r="N73" s="257">
        <f t="shared" si="28"/>
        <v>0</v>
      </c>
      <c r="O73" s="257">
        <f t="shared" si="28"/>
        <v>0</v>
      </c>
      <c r="P73" s="257">
        <f t="shared" si="28"/>
        <v>0</v>
      </c>
      <c r="Q73" s="257">
        <f t="shared" si="28"/>
        <v>0</v>
      </c>
      <c r="R73" s="257">
        <f t="shared" si="28"/>
        <v>0</v>
      </c>
      <c r="S73" s="257">
        <f>+SUM(C73:R73)</f>
        <v>0</v>
      </c>
      <c r="T73" s="259">
        <f>+ROUND(S73/12,0)</f>
        <v>0</v>
      </c>
    </row>
    <row r="74" spans="1:20" ht="13.5" thickBot="1">
      <c r="A74" s="251" t="s">
        <v>108</v>
      </c>
      <c r="C74" s="257">
        <f aca="true" t="shared" si="29" ref="C74:R74">+ROUND(C8/$B8,0)</f>
        <v>0</v>
      </c>
      <c r="D74" s="257">
        <f t="shared" si="29"/>
        <v>0</v>
      </c>
      <c r="E74" s="257">
        <f t="shared" si="29"/>
        <v>0</v>
      </c>
      <c r="F74" s="257">
        <f t="shared" si="29"/>
        <v>0</v>
      </c>
      <c r="G74" s="257">
        <f t="shared" si="29"/>
        <v>0</v>
      </c>
      <c r="H74" s="257">
        <f t="shared" si="29"/>
        <v>0</v>
      </c>
      <c r="I74" s="257">
        <f t="shared" si="29"/>
        <v>0</v>
      </c>
      <c r="J74" s="257">
        <f t="shared" si="29"/>
        <v>0</v>
      </c>
      <c r="K74" s="257">
        <f t="shared" si="29"/>
        <v>0</v>
      </c>
      <c r="L74" s="257">
        <f t="shared" si="29"/>
        <v>0</v>
      </c>
      <c r="M74" s="257">
        <f t="shared" si="29"/>
        <v>0</v>
      </c>
      <c r="N74" s="257">
        <f t="shared" si="29"/>
        <v>0</v>
      </c>
      <c r="O74" s="257">
        <f t="shared" si="29"/>
        <v>0</v>
      </c>
      <c r="P74" s="257">
        <f t="shared" si="29"/>
        <v>0</v>
      </c>
      <c r="Q74" s="257">
        <f t="shared" si="29"/>
        <v>0</v>
      </c>
      <c r="R74" s="257">
        <f t="shared" si="29"/>
        <v>0</v>
      </c>
      <c r="S74" s="258">
        <f>+SUM(C74:R74)</f>
        <v>0</v>
      </c>
      <c r="T74" s="259">
        <f aca="true" t="shared" si="30" ref="T74:T81">+ROUND(S74/12,0)</f>
        <v>0</v>
      </c>
    </row>
    <row r="75" spans="1:20" ht="13.5" thickBot="1">
      <c r="A75" s="251" t="s">
        <v>109</v>
      </c>
      <c r="C75" s="257">
        <f aca="true" t="shared" si="31" ref="C75:R75">+ROUND(C9/$B9,0)</f>
        <v>0</v>
      </c>
      <c r="D75" s="257">
        <f t="shared" si="31"/>
        <v>0</v>
      </c>
      <c r="E75" s="257">
        <f t="shared" si="31"/>
        <v>0</v>
      </c>
      <c r="F75" s="257">
        <f t="shared" si="31"/>
        <v>0</v>
      </c>
      <c r="G75" s="257">
        <f t="shared" si="31"/>
        <v>0</v>
      </c>
      <c r="H75" s="257">
        <f t="shared" si="31"/>
        <v>0</v>
      </c>
      <c r="I75" s="257">
        <f t="shared" si="31"/>
        <v>0</v>
      </c>
      <c r="J75" s="257">
        <f t="shared" si="31"/>
        <v>0</v>
      </c>
      <c r="K75" s="257">
        <f t="shared" si="31"/>
        <v>0</v>
      </c>
      <c r="L75" s="257">
        <f t="shared" si="31"/>
        <v>0</v>
      </c>
      <c r="M75" s="257">
        <f t="shared" si="31"/>
        <v>0</v>
      </c>
      <c r="N75" s="257">
        <f t="shared" si="31"/>
        <v>0</v>
      </c>
      <c r="O75" s="257">
        <f t="shared" si="31"/>
        <v>0</v>
      </c>
      <c r="P75" s="257">
        <f t="shared" si="31"/>
        <v>0</v>
      </c>
      <c r="Q75" s="257">
        <f t="shared" si="31"/>
        <v>0</v>
      </c>
      <c r="R75" s="257">
        <f t="shared" si="31"/>
        <v>0</v>
      </c>
      <c r="S75" s="258">
        <f aca="true" t="shared" si="32" ref="S75:S81">+SUM(C75:R75)</f>
        <v>0</v>
      </c>
      <c r="T75" s="259">
        <f t="shared" si="30"/>
        <v>0</v>
      </c>
    </row>
    <row r="76" spans="1:20" ht="13.5" thickBot="1">
      <c r="A76" s="251" t="s">
        <v>110</v>
      </c>
      <c r="C76" s="257">
        <f aca="true" t="shared" si="33" ref="C76:R76">+ROUND(C10/$B10,0)</f>
        <v>0</v>
      </c>
      <c r="D76" s="257">
        <f t="shared" si="33"/>
        <v>0</v>
      </c>
      <c r="E76" s="257">
        <f t="shared" si="33"/>
        <v>0</v>
      </c>
      <c r="F76" s="257">
        <f t="shared" si="33"/>
        <v>0</v>
      </c>
      <c r="G76" s="257">
        <f t="shared" si="33"/>
        <v>0</v>
      </c>
      <c r="H76" s="257">
        <f t="shared" si="33"/>
        <v>0</v>
      </c>
      <c r="I76" s="257">
        <f t="shared" si="33"/>
        <v>0</v>
      </c>
      <c r="J76" s="257">
        <f t="shared" si="33"/>
        <v>0</v>
      </c>
      <c r="K76" s="257">
        <f t="shared" si="33"/>
        <v>0</v>
      </c>
      <c r="L76" s="257">
        <f t="shared" si="33"/>
        <v>0</v>
      </c>
      <c r="M76" s="257">
        <f t="shared" si="33"/>
        <v>0</v>
      </c>
      <c r="N76" s="257">
        <f t="shared" si="33"/>
        <v>0</v>
      </c>
      <c r="O76" s="257">
        <f t="shared" si="33"/>
        <v>0</v>
      </c>
      <c r="P76" s="257">
        <f t="shared" si="33"/>
        <v>0</v>
      </c>
      <c r="Q76" s="257">
        <f t="shared" si="33"/>
        <v>0</v>
      </c>
      <c r="R76" s="257">
        <f t="shared" si="33"/>
        <v>0</v>
      </c>
      <c r="S76" s="258">
        <f t="shared" si="32"/>
        <v>0</v>
      </c>
      <c r="T76" s="259">
        <f t="shared" si="30"/>
        <v>0</v>
      </c>
    </row>
    <row r="77" spans="1:20" ht="13.5" thickBot="1">
      <c r="A77" s="251" t="s">
        <v>111</v>
      </c>
      <c r="C77" s="257">
        <f aca="true" t="shared" si="34" ref="C77:R77">+ROUND(C11/$B11,0)</f>
        <v>0</v>
      </c>
      <c r="D77" s="257">
        <f t="shared" si="34"/>
        <v>0</v>
      </c>
      <c r="E77" s="257">
        <f t="shared" si="34"/>
        <v>0</v>
      </c>
      <c r="F77" s="257">
        <f t="shared" si="34"/>
        <v>0</v>
      </c>
      <c r="G77" s="257">
        <f t="shared" si="34"/>
        <v>0</v>
      </c>
      <c r="H77" s="257">
        <f t="shared" si="34"/>
        <v>0</v>
      </c>
      <c r="I77" s="257">
        <f t="shared" si="34"/>
        <v>0</v>
      </c>
      <c r="J77" s="257">
        <f t="shared" si="34"/>
        <v>0</v>
      </c>
      <c r="K77" s="257">
        <f t="shared" si="34"/>
        <v>0</v>
      </c>
      <c r="L77" s="257">
        <f t="shared" si="34"/>
        <v>0</v>
      </c>
      <c r="M77" s="257">
        <f t="shared" si="34"/>
        <v>0</v>
      </c>
      <c r="N77" s="257">
        <f t="shared" si="34"/>
        <v>0</v>
      </c>
      <c r="O77" s="257">
        <f t="shared" si="34"/>
        <v>0</v>
      </c>
      <c r="P77" s="257">
        <f t="shared" si="34"/>
        <v>0</v>
      </c>
      <c r="Q77" s="257">
        <f t="shared" si="34"/>
        <v>0</v>
      </c>
      <c r="R77" s="257">
        <f t="shared" si="34"/>
        <v>0</v>
      </c>
      <c r="S77" s="258">
        <f t="shared" si="32"/>
        <v>0</v>
      </c>
      <c r="T77" s="259">
        <f t="shared" si="30"/>
        <v>0</v>
      </c>
    </row>
    <row r="78" spans="1:20" ht="13.5" thickBot="1">
      <c r="A78" s="251" t="s">
        <v>112</v>
      </c>
      <c r="C78" s="257">
        <f aca="true" t="shared" si="35" ref="C78:R78">+ROUND(C12/$B12,0)</f>
        <v>0</v>
      </c>
      <c r="D78" s="257">
        <f t="shared" si="35"/>
        <v>0</v>
      </c>
      <c r="E78" s="257">
        <f t="shared" si="35"/>
        <v>0</v>
      </c>
      <c r="F78" s="257">
        <f t="shared" si="35"/>
        <v>0</v>
      </c>
      <c r="G78" s="257">
        <f t="shared" si="35"/>
        <v>0</v>
      </c>
      <c r="H78" s="257">
        <f t="shared" si="35"/>
        <v>0</v>
      </c>
      <c r="I78" s="257">
        <f t="shared" si="35"/>
        <v>0</v>
      </c>
      <c r="J78" s="257">
        <f t="shared" si="35"/>
        <v>0</v>
      </c>
      <c r="K78" s="257">
        <f t="shared" si="35"/>
        <v>0</v>
      </c>
      <c r="L78" s="257">
        <f t="shared" si="35"/>
        <v>0</v>
      </c>
      <c r="M78" s="257">
        <f t="shared" si="35"/>
        <v>0</v>
      </c>
      <c r="N78" s="257">
        <f t="shared" si="35"/>
        <v>0</v>
      </c>
      <c r="O78" s="257">
        <f t="shared" si="35"/>
        <v>0</v>
      </c>
      <c r="P78" s="257">
        <f t="shared" si="35"/>
        <v>0</v>
      </c>
      <c r="Q78" s="257">
        <f t="shared" si="35"/>
        <v>0</v>
      </c>
      <c r="R78" s="257">
        <f t="shared" si="35"/>
        <v>0</v>
      </c>
      <c r="S78" s="258">
        <f t="shared" si="32"/>
        <v>0</v>
      </c>
      <c r="T78" s="259">
        <f t="shared" si="30"/>
        <v>0</v>
      </c>
    </row>
    <row r="79" spans="1:20" ht="13.5" thickBot="1">
      <c r="A79" s="251" t="s">
        <v>113</v>
      </c>
      <c r="C79" s="257">
        <f aca="true" t="shared" si="36" ref="C79:R79">+ROUND(C13/$B13,0)</f>
        <v>0</v>
      </c>
      <c r="D79" s="257">
        <f t="shared" si="36"/>
        <v>0</v>
      </c>
      <c r="E79" s="257">
        <f t="shared" si="36"/>
        <v>0</v>
      </c>
      <c r="F79" s="257">
        <f t="shared" si="36"/>
        <v>0</v>
      </c>
      <c r="G79" s="257">
        <f t="shared" si="36"/>
        <v>0</v>
      </c>
      <c r="H79" s="257">
        <f t="shared" si="36"/>
        <v>0</v>
      </c>
      <c r="I79" s="257">
        <f t="shared" si="36"/>
        <v>0</v>
      </c>
      <c r="J79" s="257">
        <f t="shared" si="36"/>
        <v>0</v>
      </c>
      <c r="K79" s="257">
        <f t="shared" si="36"/>
        <v>0</v>
      </c>
      <c r="L79" s="257">
        <f t="shared" si="36"/>
        <v>0</v>
      </c>
      <c r="M79" s="257">
        <f t="shared" si="36"/>
        <v>0</v>
      </c>
      <c r="N79" s="257">
        <f t="shared" si="36"/>
        <v>0</v>
      </c>
      <c r="O79" s="257">
        <f t="shared" si="36"/>
        <v>0</v>
      </c>
      <c r="P79" s="257">
        <f t="shared" si="36"/>
        <v>0</v>
      </c>
      <c r="Q79" s="257">
        <f t="shared" si="36"/>
        <v>0</v>
      </c>
      <c r="R79" s="257">
        <f t="shared" si="36"/>
        <v>0</v>
      </c>
      <c r="S79" s="258">
        <f t="shared" si="32"/>
        <v>0</v>
      </c>
      <c r="T79" s="259">
        <f t="shared" si="30"/>
        <v>0</v>
      </c>
    </row>
    <row r="80" spans="1:20" ht="13.5" thickBot="1">
      <c r="A80" s="251" t="s">
        <v>114</v>
      </c>
      <c r="C80" s="257">
        <f aca="true" t="shared" si="37" ref="C80:R80">+ROUND(C14/$B14,0)</f>
        <v>0</v>
      </c>
      <c r="D80" s="257">
        <f t="shared" si="37"/>
        <v>0</v>
      </c>
      <c r="E80" s="257">
        <f t="shared" si="37"/>
        <v>0</v>
      </c>
      <c r="F80" s="257">
        <f t="shared" si="37"/>
        <v>0</v>
      </c>
      <c r="G80" s="257">
        <f t="shared" si="37"/>
        <v>0</v>
      </c>
      <c r="H80" s="257">
        <f t="shared" si="37"/>
        <v>0</v>
      </c>
      <c r="I80" s="257">
        <f t="shared" si="37"/>
        <v>0</v>
      </c>
      <c r="J80" s="257">
        <f t="shared" si="37"/>
        <v>0</v>
      </c>
      <c r="K80" s="257">
        <f t="shared" si="37"/>
        <v>0</v>
      </c>
      <c r="L80" s="257">
        <f t="shared" si="37"/>
        <v>0</v>
      </c>
      <c r="M80" s="257">
        <f t="shared" si="37"/>
        <v>0</v>
      </c>
      <c r="N80" s="257">
        <f t="shared" si="37"/>
        <v>0</v>
      </c>
      <c r="O80" s="257">
        <f t="shared" si="37"/>
        <v>0</v>
      </c>
      <c r="P80" s="257">
        <f t="shared" si="37"/>
        <v>0</v>
      </c>
      <c r="Q80" s="257">
        <f t="shared" si="37"/>
        <v>0</v>
      </c>
      <c r="R80" s="257">
        <f t="shared" si="37"/>
        <v>0</v>
      </c>
      <c r="S80" s="258">
        <f t="shared" si="32"/>
        <v>0</v>
      </c>
      <c r="T80" s="259">
        <f t="shared" si="30"/>
        <v>0</v>
      </c>
    </row>
    <row r="81" spans="1:20" ht="12.75">
      <c r="A81" s="251" t="s">
        <v>115</v>
      </c>
      <c r="C81" s="257">
        <f aca="true" t="shared" si="38" ref="C81:R81">+ROUND(C15/$B15,0)</f>
        <v>0</v>
      </c>
      <c r="D81" s="257">
        <f t="shared" si="38"/>
        <v>0</v>
      </c>
      <c r="E81" s="257">
        <f t="shared" si="38"/>
        <v>0</v>
      </c>
      <c r="F81" s="257">
        <f t="shared" si="38"/>
        <v>0</v>
      </c>
      <c r="G81" s="257">
        <f t="shared" si="38"/>
        <v>0</v>
      </c>
      <c r="H81" s="257">
        <f t="shared" si="38"/>
        <v>0</v>
      </c>
      <c r="I81" s="257">
        <f t="shared" si="38"/>
        <v>0</v>
      </c>
      <c r="J81" s="257">
        <f t="shared" si="38"/>
        <v>0</v>
      </c>
      <c r="K81" s="257">
        <f t="shared" si="38"/>
        <v>0</v>
      </c>
      <c r="L81" s="257">
        <f t="shared" si="38"/>
        <v>0</v>
      </c>
      <c r="M81" s="257">
        <f t="shared" si="38"/>
        <v>0</v>
      </c>
      <c r="N81" s="257">
        <f t="shared" si="38"/>
        <v>0</v>
      </c>
      <c r="O81" s="257">
        <f t="shared" si="38"/>
        <v>0</v>
      </c>
      <c r="P81" s="257">
        <f t="shared" si="38"/>
        <v>0</v>
      </c>
      <c r="Q81" s="257">
        <f t="shared" si="38"/>
        <v>0</v>
      </c>
      <c r="R81" s="257">
        <f t="shared" si="38"/>
        <v>0</v>
      </c>
      <c r="S81" s="258">
        <f t="shared" si="32"/>
        <v>0</v>
      </c>
      <c r="T81" s="259">
        <f t="shared" si="30"/>
        <v>0</v>
      </c>
    </row>
    <row r="82" spans="1:20" ht="12.75">
      <c r="A82" s="251"/>
      <c r="C82" s="258">
        <f aca="true" t="shared" si="39" ref="C82:T82">+SUM(C73:C81)</f>
        <v>0</v>
      </c>
      <c r="D82" s="258">
        <f t="shared" si="39"/>
        <v>0</v>
      </c>
      <c r="E82" s="258">
        <f t="shared" si="39"/>
        <v>0</v>
      </c>
      <c r="F82" s="258">
        <f t="shared" si="39"/>
        <v>0</v>
      </c>
      <c r="G82" s="258">
        <f t="shared" si="39"/>
        <v>0</v>
      </c>
      <c r="H82" s="258">
        <f t="shared" si="39"/>
        <v>0</v>
      </c>
      <c r="I82" s="258">
        <f t="shared" si="39"/>
        <v>0</v>
      </c>
      <c r="J82" s="258">
        <f t="shared" si="39"/>
        <v>0</v>
      </c>
      <c r="K82" s="258">
        <f t="shared" si="39"/>
        <v>0</v>
      </c>
      <c r="L82" s="258">
        <f t="shared" si="39"/>
        <v>0</v>
      </c>
      <c r="M82" s="258">
        <f t="shared" si="39"/>
        <v>0</v>
      </c>
      <c r="N82" s="258">
        <f t="shared" si="39"/>
        <v>0</v>
      </c>
      <c r="O82" s="258">
        <f t="shared" si="39"/>
        <v>0</v>
      </c>
      <c r="P82" s="258">
        <f t="shared" si="39"/>
        <v>0</v>
      </c>
      <c r="Q82" s="258">
        <f t="shared" si="39"/>
        <v>0</v>
      </c>
      <c r="R82" s="258">
        <f t="shared" si="39"/>
        <v>0</v>
      </c>
      <c r="S82" s="258">
        <f t="shared" si="39"/>
        <v>0</v>
      </c>
      <c r="T82" s="258">
        <f t="shared" si="39"/>
        <v>0</v>
      </c>
    </row>
    <row r="84" spans="2:3" ht="12.75">
      <c r="B84" s="255"/>
      <c r="C84" s="255"/>
    </row>
    <row r="85" spans="1:19" ht="13.5" thickBot="1">
      <c r="A85" s="253" t="s">
        <v>123</v>
      </c>
      <c r="C85" t="s">
        <v>117</v>
      </c>
      <c r="D85" t="s">
        <v>118</v>
      </c>
      <c r="E85" t="s">
        <v>119</v>
      </c>
      <c r="F85" t="s">
        <v>37</v>
      </c>
      <c r="G85" t="s">
        <v>38</v>
      </c>
      <c r="H85" t="s">
        <v>39</v>
      </c>
      <c r="I85" t="s">
        <v>40</v>
      </c>
      <c r="J85" t="s">
        <v>41</v>
      </c>
      <c r="K85" t="s">
        <v>42</v>
      </c>
      <c r="L85" t="s">
        <v>43</v>
      </c>
      <c r="M85" t="s">
        <v>44</v>
      </c>
      <c r="N85" t="s">
        <v>45</v>
      </c>
      <c r="O85" t="s">
        <v>46</v>
      </c>
      <c r="P85" t="s">
        <v>47</v>
      </c>
      <c r="Q85" t="s">
        <v>120</v>
      </c>
      <c r="R85" t="s">
        <v>121</v>
      </c>
      <c r="S85" t="s">
        <v>18</v>
      </c>
    </row>
    <row r="86" spans="1:21" ht="13.5" thickBot="1">
      <c r="A86" s="250" t="s">
        <v>107</v>
      </c>
      <c r="B86" s="256"/>
      <c r="C86" s="268">
        <f>+ROUND(((C20/$B20)+(C33/$B33)),0)</f>
        <v>-3493720</v>
      </c>
      <c r="D86" s="268">
        <f aca="true" t="shared" si="40" ref="D86:R86">+ROUND(((D20/$B20)+(D33/$B33)),0)</f>
        <v>-749610</v>
      </c>
      <c r="E86" s="268">
        <f t="shared" si="40"/>
        <v>4375090</v>
      </c>
      <c r="F86" s="268">
        <f t="shared" si="40"/>
        <v>4703185</v>
      </c>
      <c r="G86" s="268">
        <f t="shared" si="40"/>
        <v>4497060</v>
      </c>
      <c r="H86" s="268">
        <f t="shared" si="40"/>
        <v>4305650</v>
      </c>
      <c r="I86" s="268">
        <f t="shared" si="40"/>
        <v>3465723</v>
      </c>
      <c r="J86" s="268">
        <f t="shared" si="40"/>
        <v>3862747</v>
      </c>
      <c r="K86" s="268">
        <f t="shared" si="40"/>
        <v>4613157</v>
      </c>
      <c r="L86" s="268">
        <f t="shared" si="40"/>
        <v>6060975</v>
      </c>
      <c r="M86" s="268">
        <f t="shared" si="40"/>
        <v>4611450</v>
      </c>
      <c r="N86" s="268">
        <f t="shared" si="40"/>
        <v>3802025</v>
      </c>
      <c r="O86" s="268">
        <f t="shared" si="40"/>
        <v>3707642</v>
      </c>
      <c r="P86" s="268">
        <f t="shared" si="40"/>
        <v>3706117</v>
      </c>
      <c r="Q86" s="268">
        <f t="shared" si="40"/>
        <v>4168833</v>
      </c>
      <c r="R86" s="268">
        <f t="shared" si="40"/>
        <v>863717</v>
      </c>
      <c r="S86" s="257">
        <f>+SUM(C86:R86)</f>
        <v>52500041</v>
      </c>
      <c r="T86" s="261"/>
      <c r="U86" t="s">
        <v>116</v>
      </c>
    </row>
    <row r="87" spans="1:21" ht="13.5" thickBot="1">
      <c r="A87" s="251" t="s">
        <v>108</v>
      </c>
      <c r="B87" s="256"/>
      <c r="C87" s="268">
        <f aca="true" t="shared" si="41" ref="C87:R94">+ROUND(((C21/$B21)+(C34/$B34)),0)</f>
        <v>-1755246</v>
      </c>
      <c r="D87" s="268">
        <f t="shared" si="41"/>
        <v>-369164</v>
      </c>
      <c r="E87" s="268">
        <f t="shared" si="41"/>
        <v>2151852</v>
      </c>
      <c r="F87" s="268">
        <f t="shared" si="41"/>
        <v>2300877</v>
      </c>
      <c r="G87" s="268">
        <f t="shared" si="41"/>
        <v>2324508</v>
      </c>
      <c r="H87" s="268">
        <f t="shared" si="41"/>
        <v>2426319</v>
      </c>
      <c r="I87" s="268">
        <f t="shared" si="41"/>
        <v>1971727</v>
      </c>
      <c r="J87" s="268">
        <f t="shared" si="41"/>
        <v>2081000</v>
      </c>
      <c r="K87" s="268">
        <f t="shared" si="41"/>
        <v>2408271</v>
      </c>
      <c r="L87" s="268">
        <f t="shared" si="41"/>
        <v>2760271</v>
      </c>
      <c r="M87" s="268">
        <f t="shared" si="41"/>
        <v>2058357</v>
      </c>
      <c r="N87" s="268">
        <f t="shared" si="41"/>
        <v>2463314</v>
      </c>
      <c r="O87" s="268">
        <f t="shared" si="41"/>
        <v>2046357</v>
      </c>
      <c r="P87" s="268">
        <f t="shared" si="41"/>
        <v>2045429</v>
      </c>
      <c r="Q87" s="268">
        <f t="shared" si="41"/>
        <v>2016757</v>
      </c>
      <c r="R87" s="268">
        <f t="shared" si="41"/>
        <v>378200</v>
      </c>
      <c r="S87" s="258">
        <f>+SUM(C87:R87)</f>
        <v>27308829</v>
      </c>
      <c r="T87" s="261"/>
      <c r="U87" t="s">
        <v>116</v>
      </c>
    </row>
    <row r="88" spans="1:21" ht="13.5" thickBot="1">
      <c r="A88" s="251" t="s">
        <v>109</v>
      </c>
      <c r="B88" s="256"/>
      <c r="C88" s="268">
        <f t="shared" si="41"/>
        <v>-1852</v>
      </c>
      <c r="D88" s="268">
        <f t="shared" si="41"/>
        <v>-508</v>
      </c>
      <c r="E88" s="268">
        <f t="shared" si="41"/>
        <v>2467</v>
      </c>
      <c r="F88" s="268">
        <f t="shared" si="41"/>
        <v>2500</v>
      </c>
      <c r="G88" s="268">
        <f t="shared" si="41"/>
        <v>2336</v>
      </c>
      <c r="H88" s="268">
        <f t="shared" si="41"/>
        <v>2060</v>
      </c>
      <c r="I88" s="268">
        <f t="shared" si="41"/>
        <v>1769</v>
      </c>
      <c r="J88" s="268">
        <f t="shared" si="41"/>
        <v>1543</v>
      </c>
      <c r="K88" s="268">
        <f t="shared" si="41"/>
        <v>1600</v>
      </c>
      <c r="L88" s="268">
        <f t="shared" si="41"/>
        <v>2043</v>
      </c>
      <c r="M88" s="268">
        <f t="shared" si="41"/>
        <v>814</v>
      </c>
      <c r="N88" s="268">
        <f t="shared" si="41"/>
        <v>1643</v>
      </c>
      <c r="O88" s="268">
        <f t="shared" si="41"/>
        <v>1529</v>
      </c>
      <c r="P88" s="268">
        <f t="shared" si="41"/>
        <v>2057</v>
      </c>
      <c r="Q88" s="268">
        <f t="shared" si="41"/>
        <v>1857</v>
      </c>
      <c r="R88" s="268">
        <f t="shared" si="41"/>
        <v>514</v>
      </c>
      <c r="S88" s="258">
        <f aca="true" t="shared" si="42" ref="S88:S94">+SUM(C88:R88)</f>
        <v>22372</v>
      </c>
      <c r="T88" s="261"/>
      <c r="U88" t="s">
        <v>116</v>
      </c>
    </row>
    <row r="89" spans="1:21" ht="13.5" thickBot="1">
      <c r="A89" s="251" t="s">
        <v>110</v>
      </c>
      <c r="B89" s="256"/>
      <c r="C89" s="268">
        <f t="shared" si="41"/>
        <v>-9257</v>
      </c>
      <c r="D89" s="268">
        <f t="shared" si="41"/>
        <v>-2106</v>
      </c>
      <c r="E89" s="268">
        <f t="shared" si="41"/>
        <v>10486</v>
      </c>
      <c r="F89" s="268">
        <f t="shared" si="41"/>
        <v>10864</v>
      </c>
      <c r="G89" s="268">
        <f t="shared" si="41"/>
        <v>21161</v>
      </c>
      <c r="H89" s="268">
        <f t="shared" si="41"/>
        <v>9796</v>
      </c>
      <c r="I89" s="268">
        <f t="shared" si="41"/>
        <v>9702</v>
      </c>
      <c r="J89" s="268">
        <f t="shared" si="41"/>
        <v>9703</v>
      </c>
      <c r="K89" s="268">
        <f t="shared" si="41"/>
        <v>9472</v>
      </c>
      <c r="L89" s="268">
        <f t="shared" si="41"/>
        <v>10189</v>
      </c>
      <c r="M89" s="268">
        <f t="shared" si="41"/>
        <v>7516</v>
      </c>
      <c r="N89" s="268">
        <f t="shared" si="41"/>
        <v>11101</v>
      </c>
      <c r="O89" s="268">
        <f t="shared" si="41"/>
        <v>9247</v>
      </c>
      <c r="P89" s="268">
        <f t="shared" si="41"/>
        <v>9286</v>
      </c>
      <c r="Q89" s="268">
        <f t="shared" si="41"/>
        <v>8045</v>
      </c>
      <c r="R89" s="268">
        <f t="shared" si="41"/>
        <v>1650</v>
      </c>
      <c r="S89" s="258">
        <f t="shared" si="42"/>
        <v>126855</v>
      </c>
      <c r="T89" s="261"/>
      <c r="U89" t="s">
        <v>20</v>
      </c>
    </row>
    <row r="90" spans="1:21" ht="13.5" thickBot="1">
      <c r="A90" s="251" t="s">
        <v>111</v>
      </c>
      <c r="B90" s="256"/>
      <c r="C90" s="268">
        <f t="shared" si="41"/>
        <v>-2924</v>
      </c>
      <c r="D90" s="268">
        <f t="shared" si="41"/>
        <v>0</v>
      </c>
      <c r="E90" s="268">
        <f t="shared" si="41"/>
        <v>2924</v>
      </c>
      <c r="F90" s="268">
        <f t="shared" si="41"/>
        <v>3047</v>
      </c>
      <c r="G90" s="268">
        <f t="shared" si="41"/>
        <v>2971</v>
      </c>
      <c r="H90" s="268">
        <f t="shared" si="41"/>
        <v>3636</v>
      </c>
      <c r="I90" s="268">
        <f t="shared" si="41"/>
        <v>3815</v>
      </c>
      <c r="J90" s="268">
        <f t="shared" si="41"/>
        <v>-3402</v>
      </c>
      <c r="K90" s="268">
        <f t="shared" si="41"/>
        <v>12107</v>
      </c>
      <c r="L90" s="268">
        <f t="shared" si="41"/>
        <v>4825</v>
      </c>
      <c r="M90" s="268">
        <f t="shared" si="41"/>
        <v>69</v>
      </c>
      <c r="N90" s="268">
        <f t="shared" si="41"/>
        <v>9284</v>
      </c>
      <c r="O90" s="268">
        <f t="shared" si="41"/>
        <v>4725</v>
      </c>
      <c r="P90" s="268">
        <f t="shared" si="41"/>
        <v>4403</v>
      </c>
      <c r="Q90" s="268">
        <f t="shared" si="41"/>
        <v>4177</v>
      </c>
      <c r="R90" s="268">
        <f t="shared" si="41"/>
        <v>0</v>
      </c>
      <c r="S90" s="258">
        <f t="shared" si="42"/>
        <v>49657</v>
      </c>
      <c r="T90" s="261"/>
      <c r="U90" t="s">
        <v>20</v>
      </c>
    </row>
    <row r="91" spans="1:21" ht="13.5" thickBot="1">
      <c r="A91" s="251" t="s">
        <v>112</v>
      </c>
      <c r="B91" s="256"/>
      <c r="C91" s="268">
        <f t="shared" si="41"/>
        <v>-14649</v>
      </c>
      <c r="D91" s="268">
        <f t="shared" si="41"/>
        <v>0</v>
      </c>
      <c r="E91" s="268">
        <f t="shared" si="41"/>
        <v>14649</v>
      </c>
      <c r="F91" s="268">
        <f t="shared" si="41"/>
        <v>14652</v>
      </c>
      <c r="G91" s="268">
        <f t="shared" si="41"/>
        <v>14932</v>
      </c>
      <c r="H91" s="268">
        <f t="shared" si="41"/>
        <v>13997</v>
      </c>
      <c r="I91" s="268">
        <f t="shared" si="41"/>
        <v>13813</v>
      </c>
      <c r="J91" s="268">
        <f t="shared" si="41"/>
        <v>-817</v>
      </c>
      <c r="K91" s="268">
        <f t="shared" si="41"/>
        <v>28752</v>
      </c>
      <c r="L91" s="268">
        <f t="shared" si="41"/>
        <v>13991</v>
      </c>
      <c r="M91" s="268">
        <f t="shared" si="41"/>
        <v>7009</v>
      </c>
      <c r="N91" s="268">
        <f t="shared" si="41"/>
        <v>22163</v>
      </c>
      <c r="O91" s="268">
        <f t="shared" si="41"/>
        <v>14618</v>
      </c>
      <c r="P91" s="268">
        <f t="shared" si="41"/>
        <v>14487</v>
      </c>
      <c r="Q91" s="268">
        <f t="shared" si="41"/>
        <v>14189</v>
      </c>
      <c r="R91" s="268">
        <f t="shared" si="41"/>
        <v>0</v>
      </c>
      <c r="S91" s="258">
        <f t="shared" si="42"/>
        <v>171786</v>
      </c>
      <c r="T91" s="261"/>
      <c r="U91" t="s">
        <v>20</v>
      </c>
    </row>
    <row r="92" spans="1:21" ht="13.5" thickBot="1">
      <c r="A92" s="251" t="s">
        <v>113</v>
      </c>
      <c r="B92" s="256"/>
      <c r="C92" s="268">
        <f t="shared" si="41"/>
        <v>0</v>
      </c>
      <c r="D92" s="268">
        <f t="shared" si="41"/>
        <v>0</v>
      </c>
      <c r="E92" s="268">
        <f t="shared" si="41"/>
        <v>0</v>
      </c>
      <c r="F92" s="268">
        <f t="shared" si="41"/>
        <v>0</v>
      </c>
      <c r="G92" s="268">
        <f t="shared" si="41"/>
        <v>0</v>
      </c>
      <c r="H92" s="268">
        <f t="shared" si="41"/>
        <v>0</v>
      </c>
      <c r="I92" s="268">
        <f t="shared" si="41"/>
        <v>0</v>
      </c>
      <c r="J92" s="268">
        <f t="shared" si="41"/>
        <v>0</v>
      </c>
      <c r="K92" s="268">
        <f t="shared" si="41"/>
        <v>0</v>
      </c>
      <c r="L92" s="268">
        <f t="shared" si="41"/>
        <v>0</v>
      </c>
      <c r="M92" s="268">
        <f t="shared" si="41"/>
        <v>0</v>
      </c>
      <c r="N92" s="268">
        <f t="shared" si="41"/>
        <v>0</v>
      </c>
      <c r="O92" s="268">
        <f t="shared" si="41"/>
        <v>0</v>
      </c>
      <c r="P92" s="268">
        <f t="shared" si="41"/>
        <v>0</v>
      </c>
      <c r="Q92" s="268">
        <f t="shared" si="41"/>
        <v>0</v>
      </c>
      <c r="R92" s="268">
        <f t="shared" si="41"/>
        <v>0</v>
      </c>
      <c r="S92" s="258">
        <f t="shared" si="42"/>
        <v>0</v>
      </c>
      <c r="T92" s="261"/>
      <c r="U92" t="s">
        <v>20</v>
      </c>
    </row>
    <row r="93" spans="1:21" ht="13.5" thickBot="1">
      <c r="A93" s="251" t="s">
        <v>114</v>
      </c>
      <c r="B93" s="256"/>
      <c r="C93" s="268">
        <f t="shared" si="41"/>
        <v>-315</v>
      </c>
      <c r="D93" s="268">
        <f t="shared" si="41"/>
        <v>0</v>
      </c>
      <c r="E93" s="268">
        <f t="shared" si="41"/>
        <v>315</v>
      </c>
      <c r="F93" s="268">
        <f t="shared" si="41"/>
        <v>315</v>
      </c>
      <c r="G93" s="268">
        <f t="shared" si="41"/>
        <v>315</v>
      </c>
      <c r="H93" s="268">
        <f t="shared" si="41"/>
        <v>315</v>
      </c>
      <c r="I93" s="268">
        <f t="shared" si="41"/>
        <v>315</v>
      </c>
      <c r="J93" s="268">
        <f t="shared" si="41"/>
        <v>315</v>
      </c>
      <c r="K93" s="268">
        <f t="shared" si="41"/>
        <v>315</v>
      </c>
      <c r="L93" s="268">
        <f t="shared" si="41"/>
        <v>315</v>
      </c>
      <c r="M93" s="268">
        <f t="shared" si="41"/>
        <v>315</v>
      </c>
      <c r="N93" s="268">
        <f t="shared" si="41"/>
        <v>315</v>
      </c>
      <c r="O93" s="268">
        <f t="shared" si="41"/>
        <v>315</v>
      </c>
      <c r="P93" s="268">
        <f t="shared" si="41"/>
        <v>315</v>
      </c>
      <c r="Q93" s="268">
        <f t="shared" si="41"/>
        <v>315</v>
      </c>
      <c r="R93" s="268">
        <f t="shared" si="41"/>
        <v>0</v>
      </c>
      <c r="S93" s="258">
        <f t="shared" si="42"/>
        <v>3780</v>
      </c>
      <c r="T93" s="261"/>
      <c r="U93" t="s">
        <v>20</v>
      </c>
    </row>
    <row r="94" spans="1:21" ht="12.75">
      <c r="A94" s="251" t="s">
        <v>115</v>
      </c>
      <c r="B94" s="256"/>
      <c r="C94" s="268">
        <f t="shared" si="41"/>
        <v>-71</v>
      </c>
      <c r="D94" s="268">
        <f t="shared" si="41"/>
        <v>-6</v>
      </c>
      <c r="E94" s="268">
        <f t="shared" si="41"/>
        <v>77</v>
      </c>
      <c r="F94" s="268">
        <f t="shared" si="41"/>
        <v>25</v>
      </c>
      <c r="G94" s="268">
        <f t="shared" si="41"/>
        <v>25</v>
      </c>
      <c r="H94" s="268">
        <f t="shared" si="41"/>
        <v>26</v>
      </c>
      <c r="I94" s="268">
        <f t="shared" si="41"/>
        <v>25</v>
      </c>
      <c r="J94" s="268">
        <f t="shared" si="41"/>
        <v>25</v>
      </c>
      <c r="K94" s="268">
        <f t="shared" si="41"/>
        <v>25</v>
      </c>
      <c r="L94" s="268">
        <f t="shared" si="41"/>
        <v>26</v>
      </c>
      <c r="M94" s="268">
        <f t="shared" si="41"/>
        <v>19</v>
      </c>
      <c r="N94" s="268">
        <f t="shared" si="41"/>
        <v>31</v>
      </c>
      <c r="O94" s="268">
        <f t="shared" si="41"/>
        <v>25</v>
      </c>
      <c r="P94" s="268">
        <f t="shared" si="41"/>
        <v>25</v>
      </c>
      <c r="Q94" s="268">
        <f t="shared" si="41"/>
        <v>50</v>
      </c>
      <c r="R94" s="268">
        <f t="shared" si="41"/>
        <v>5</v>
      </c>
      <c r="S94" s="258">
        <f t="shared" si="42"/>
        <v>332</v>
      </c>
      <c r="T94" s="261"/>
      <c r="U94" t="s">
        <v>20</v>
      </c>
    </row>
    <row r="95" spans="1:21" ht="12.75">
      <c r="A95" s="251"/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t="s">
        <v>20</v>
      </c>
    </row>
  </sheetData>
  <sheetProtection/>
  <printOptions/>
  <pageMargins left="0.3" right="0.3" top="0.3" bottom="0.3" header="0.2" footer="0.2"/>
  <pageSetup fitToHeight="10" horizontalDpi="600" verticalDpi="600" orientation="landscape" paperSize="5" scale="66" r:id="rId3"/>
  <headerFooter>
    <oddHeader>&amp;RTillsonburg Hydro Inc.
</oddHeader>
    <oddFooter>&amp;L&amp;A</oddFooter>
  </headerFooter>
  <rowBreaks count="1" manualBreakCount="1">
    <brk id="5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T95"/>
  <sheetViews>
    <sheetView zoomScalePageLayoutView="0" workbookViewId="0" topLeftCell="A16">
      <selection activeCell="A19" sqref="A19"/>
    </sheetView>
  </sheetViews>
  <sheetFormatPr defaultColWidth="9.140625" defaultRowHeight="12.75"/>
  <cols>
    <col min="1" max="1" width="23.57421875" style="0" bestFit="1" customWidth="1"/>
    <col min="2" max="2" width="10.421875" style="0" customWidth="1"/>
    <col min="3" max="20" width="12.140625" style="0" customWidth="1"/>
  </cols>
  <sheetData>
    <row r="5" ht="12.75">
      <c r="A5" s="252">
        <v>2004</v>
      </c>
    </row>
    <row r="6" spans="1:19" ht="13.5" thickBot="1">
      <c r="A6" s="253" t="s">
        <v>122</v>
      </c>
      <c r="B6" s="253" t="s">
        <v>28</v>
      </c>
      <c r="C6" t="s">
        <v>117</v>
      </c>
      <c r="D6" t="s">
        <v>118</v>
      </c>
      <c r="E6" t="s">
        <v>119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120</v>
      </c>
      <c r="R6" t="s">
        <v>121</v>
      </c>
      <c r="S6" t="s">
        <v>18</v>
      </c>
    </row>
    <row r="7" spans="1:19" ht="13.5" thickBot="1">
      <c r="A7" s="250" t="s">
        <v>107</v>
      </c>
      <c r="B7" s="263">
        <v>1.07</v>
      </c>
      <c r="C7" s="263">
        <v>-4424.09</v>
      </c>
      <c r="D7" s="263">
        <v>-877.3599999999999</v>
      </c>
      <c r="E7" s="263">
        <v>5202.859999999999</v>
      </c>
      <c r="F7" s="263">
        <v>5549.349999999999</v>
      </c>
      <c r="G7" s="263">
        <v>6551.619999999999</v>
      </c>
      <c r="H7" s="263">
        <v>3543.1300000000006</v>
      </c>
      <c r="I7" s="263">
        <v>1719.96</v>
      </c>
      <c r="J7" s="263">
        <v>0.76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/>
      <c r="S7" s="263">
        <f>+SUM(C7:R7)</f>
        <v>17266.229999999996</v>
      </c>
    </row>
    <row r="8" spans="1:19" ht="13.5" thickBot="1">
      <c r="A8" s="251" t="s">
        <v>108</v>
      </c>
      <c r="B8" s="264">
        <v>2.29</v>
      </c>
      <c r="C8" s="263">
        <v>-1178.3400000000001</v>
      </c>
      <c r="D8" s="263">
        <v>-167.54000000000002</v>
      </c>
      <c r="E8" s="264">
        <v>1421.61</v>
      </c>
      <c r="F8" s="264">
        <v>1493.1799999999998</v>
      </c>
      <c r="G8" s="264">
        <v>1766.3199999999997</v>
      </c>
      <c r="H8" s="264">
        <v>1058.83</v>
      </c>
      <c r="I8" s="264">
        <v>353.3</v>
      </c>
      <c r="J8" s="264">
        <v>-0.33</v>
      </c>
      <c r="K8" s="264">
        <v>0</v>
      </c>
      <c r="L8" s="264">
        <v>0</v>
      </c>
      <c r="M8" s="264">
        <v>0</v>
      </c>
      <c r="N8" s="264">
        <f>-0.33+0.33</f>
        <v>0</v>
      </c>
      <c r="O8" s="264">
        <v>0</v>
      </c>
      <c r="P8" s="264">
        <v>0</v>
      </c>
      <c r="Q8" s="264">
        <v>0</v>
      </c>
      <c r="R8" s="264"/>
      <c r="S8" s="264">
        <f>+SUM(C8:R8)</f>
        <v>4747.03</v>
      </c>
    </row>
    <row r="9" spans="1:19" ht="13.5" thickBot="1">
      <c r="A9" s="251" t="s">
        <v>109</v>
      </c>
      <c r="B9" s="264">
        <v>1.07</v>
      </c>
      <c r="C9" s="263">
        <v>-10.34</v>
      </c>
      <c r="D9" s="263">
        <v>-2.07</v>
      </c>
      <c r="E9" s="264">
        <v>12.84</v>
      </c>
      <c r="F9" s="264">
        <v>11.77</v>
      </c>
      <c r="G9" s="264">
        <v>17.12</v>
      </c>
      <c r="H9" s="264">
        <v>7.49</v>
      </c>
      <c r="I9" s="264">
        <v>4.89</v>
      </c>
      <c r="J9" s="264">
        <v>0</v>
      </c>
      <c r="K9" s="264">
        <v>0</v>
      </c>
      <c r="L9" s="264">
        <v>0</v>
      </c>
      <c r="M9" s="264">
        <v>0</v>
      </c>
      <c r="N9" s="264">
        <v>0</v>
      </c>
      <c r="O9" s="264">
        <v>0</v>
      </c>
      <c r="P9" s="264">
        <v>0</v>
      </c>
      <c r="Q9" s="264">
        <v>0</v>
      </c>
      <c r="R9" s="264"/>
      <c r="S9" s="264">
        <f aca="true" t="shared" si="0" ref="S9:S15">+SUM(C9:R9)</f>
        <v>41.7</v>
      </c>
    </row>
    <row r="10" spans="1:19" ht="13.5" thickBot="1">
      <c r="A10" s="251" t="s">
        <v>110</v>
      </c>
      <c r="B10" s="264">
        <v>9.22</v>
      </c>
      <c r="C10" s="263">
        <v>-547.4700000000001</v>
      </c>
      <c r="D10" s="263">
        <v>-117.41000000000001</v>
      </c>
      <c r="E10" s="264">
        <v>633.1100000000001</v>
      </c>
      <c r="F10" s="264">
        <v>657.6900000000002</v>
      </c>
      <c r="G10" s="264">
        <v>710.2500000000002</v>
      </c>
      <c r="H10" s="264">
        <v>434.05</v>
      </c>
      <c r="I10" s="264">
        <v>198.74</v>
      </c>
      <c r="J10" s="264">
        <v>3.0700000000000003</v>
      </c>
      <c r="K10" s="264">
        <v>0</v>
      </c>
      <c r="L10" s="264">
        <v>0</v>
      </c>
      <c r="M10" s="264">
        <v>0</v>
      </c>
      <c r="N10" s="358">
        <f>3.07-3.07</f>
        <v>0</v>
      </c>
      <c r="O10" s="264">
        <v>0</v>
      </c>
      <c r="P10" s="264">
        <v>0</v>
      </c>
      <c r="Q10" s="264">
        <v>0</v>
      </c>
      <c r="R10" s="264"/>
      <c r="S10" s="264">
        <f t="shared" si="0"/>
        <v>1972.0300000000004</v>
      </c>
    </row>
    <row r="11" spans="1:19" ht="13.5" thickBot="1">
      <c r="A11" s="251" t="s">
        <v>111</v>
      </c>
      <c r="B11" s="264">
        <v>9.22</v>
      </c>
      <c r="C11" s="263">
        <v>-46.1</v>
      </c>
      <c r="D11" s="263">
        <v>0</v>
      </c>
      <c r="E11" s="264">
        <v>46.1</v>
      </c>
      <c r="F11" s="264">
        <v>46.1</v>
      </c>
      <c r="G11" s="264">
        <v>55.32000000000001</v>
      </c>
      <c r="H11" s="264">
        <v>55.32000000000001</v>
      </c>
      <c r="I11" s="359">
        <f aca="true" t="shared" si="1" ref="I11:Q11">55.32-55.32</f>
        <v>0</v>
      </c>
      <c r="J11" s="359">
        <f t="shared" si="1"/>
        <v>0</v>
      </c>
      <c r="K11" s="359">
        <f t="shared" si="1"/>
        <v>0</v>
      </c>
      <c r="L11" s="359">
        <f t="shared" si="1"/>
        <v>0</v>
      </c>
      <c r="M11" s="359">
        <f t="shared" si="1"/>
        <v>0</v>
      </c>
      <c r="N11" s="359">
        <f t="shared" si="1"/>
        <v>0</v>
      </c>
      <c r="O11" s="359">
        <f t="shared" si="1"/>
        <v>0</v>
      </c>
      <c r="P11" s="359">
        <f t="shared" si="1"/>
        <v>0</v>
      </c>
      <c r="Q11" s="359">
        <f t="shared" si="1"/>
        <v>0</v>
      </c>
      <c r="R11" s="264"/>
      <c r="S11" s="264">
        <f t="shared" si="0"/>
        <v>156.74</v>
      </c>
    </row>
    <row r="12" spans="1:19" ht="13.5" thickBot="1">
      <c r="A12" s="251" t="s">
        <v>112</v>
      </c>
      <c r="B12" s="264">
        <v>77.99</v>
      </c>
      <c r="C12" s="263">
        <v>-389.94999999999993</v>
      </c>
      <c r="D12" s="263">
        <v>0</v>
      </c>
      <c r="E12" s="264">
        <v>389.94999999999993</v>
      </c>
      <c r="F12" s="264">
        <v>389.94999999999993</v>
      </c>
      <c r="G12" s="264">
        <v>389.94999999999993</v>
      </c>
      <c r="H12" s="264">
        <v>389.94999999999993</v>
      </c>
      <c r="I12" s="264">
        <v>389.95</v>
      </c>
      <c r="J12" s="359">
        <f>389.95-389.95</f>
        <v>0</v>
      </c>
      <c r="K12" s="359">
        <f>-155.98+155.98</f>
        <v>0</v>
      </c>
      <c r="L12" s="359">
        <f>935.88-935.88</f>
        <v>0</v>
      </c>
      <c r="M12" s="359">
        <f>389.95-389.95</f>
        <v>0</v>
      </c>
      <c r="N12" s="359">
        <f>389.95-389.95</f>
        <v>0</v>
      </c>
      <c r="O12" s="359">
        <f>389.95-389.95</f>
        <v>0</v>
      </c>
      <c r="P12" s="359">
        <f>389.95-389.95</f>
        <v>0</v>
      </c>
      <c r="Q12" s="359">
        <f>389.95-389.95</f>
        <v>0</v>
      </c>
      <c r="R12" s="264"/>
      <c r="S12" s="264">
        <f t="shared" si="0"/>
        <v>1559.8</v>
      </c>
    </row>
    <row r="13" spans="1:19" ht="13.5" thickBot="1">
      <c r="A13" s="251" t="s">
        <v>113</v>
      </c>
      <c r="B13" s="264">
        <v>77.99</v>
      </c>
      <c r="C13" s="263">
        <v>0</v>
      </c>
      <c r="D13" s="263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/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/>
      <c r="Q13" s="264"/>
      <c r="R13" s="264"/>
      <c r="S13" s="264">
        <f t="shared" si="0"/>
        <v>0</v>
      </c>
    </row>
    <row r="14" spans="1:19" ht="13.5" thickBot="1">
      <c r="A14" s="251" t="s">
        <v>114</v>
      </c>
      <c r="B14" s="264">
        <v>124.77</v>
      </c>
      <c r="C14" s="263">
        <v>-128.41</v>
      </c>
      <c r="D14" s="263">
        <v>0</v>
      </c>
      <c r="E14" s="264">
        <v>128.41</v>
      </c>
      <c r="F14" s="264">
        <v>124.27</v>
      </c>
      <c r="G14" s="264">
        <v>124.27</v>
      </c>
      <c r="H14" s="264">
        <v>124.27</v>
      </c>
      <c r="I14" s="264">
        <v>0</v>
      </c>
      <c r="J14" s="264"/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/>
      <c r="Q14" s="264"/>
      <c r="R14" s="264"/>
      <c r="S14" s="264">
        <f t="shared" si="0"/>
        <v>372.81</v>
      </c>
    </row>
    <row r="15" spans="1:19" ht="12.75">
      <c r="A15" s="251" t="s">
        <v>115</v>
      </c>
      <c r="B15" s="264">
        <v>0.11</v>
      </c>
      <c r="C15" s="263">
        <v>-32.43</v>
      </c>
      <c r="D15" s="263">
        <v>0.76</v>
      </c>
      <c r="E15" s="264">
        <v>34.11</v>
      </c>
      <c r="F15" s="264">
        <v>10.06</v>
      </c>
      <c r="G15" s="264">
        <v>17.71</v>
      </c>
      <c r="H15" s="264">
        <v>11.46</v>
      </c>
      <c r="I15" s="264">
        <v>5.87</v>
      </c>
      <c r="J15" s="264">
        <v>0.13</v>
      </c>
      <c r="K15" s="264"/>
      <c r="L15" s="264"/>
      <c r="M15" s="264"/>
      <c r="N15" s="264">
        <f>0.13-0.13</f>
        <v>0</v>
      </c>
      <c r="O15" s="264"/>
      <c r="P15" s="264"/>
      <c r="Q15" s="264"/>
      <c r="R15" s="264"/>
      <c r="S15" s="264">
        <f t="shared" si="0"/>
        <v>47.67</v>
      </c>
    </row>
    <row r="16" spans="1:19" ht="12.75">
      <c r="A16" s="251"/>
      <c r="B16" s="264"/>
      <c r="C16" s="264">
        <f aca="true" t="shared" si="2" ref="C16:S16">+SUM(C7:C15)</f>
        <v>-6757.130000000001</v>
      </c>
      <c r="D16" s="264">
        <f t="shared" si="2"/>
        <v>-1163.62</v>
      </c>
      <c r="E16" s="264">
        <f t="shared" si="2"/>
        <v>7868.989999999998</v>
      </c>
      <c r="F16" s="264">
        <f t="shared" si="2"/>
        <v>8282.369999999999</v>
      </c>
      <c r="G16" s="264">
        <f t="shared" si="2"/>
        <v>9632.56</v>
      </c>
      <c r="H16" s="264">
        <f t="shared" si="2"/>
        <v>5624.500000000001</v>
      </c>
      <c r="I16" s="264">
        <f t="shared" si="2"/>
        <v>2672.71</v>
      </c>
      <c r="J16" s="264">
        <f t="shared" si="2"/>
        <v>3.6300000000000003</v>
      </c>
      <c r="K16" s="264">
        <f t="shared" si="2"/>
        <v>0</v>
      </c>
      <c r="L16" s="264">
        <f t="shared" si="2"/>
        <v>0</v>
      </c>
      <c r="M16" s="264">
        <f t="shared" si="2"/>
        <v>0</v>
      </c>
      <c r="N16" s="264">
        <f t="shared" si="2"/>
        <v>0</v>
      </c>
      <c r="O16" s="264">
        <f t="shared" si="2"/>
        <v>0</v>
      </c>
      <c r="P16" s="264">
        <f t="shared" si="2"/>
        <v>0</v>
      </c>
      <c r="Q16" s="264">
        <f t="shared" si="2"/>
        <v>0</v>
      </c>
      <c r="R16" s="264">
        <f t="shared" si="2"/>
        <v>0</v>
      </c>
      <c r="S16" s="264">
        <f t="shared" si="2"/>
        <v>26164.009999999995</v>
      </c>
    </row>
    <row r="18" spans="2:3" ht="12.75">
      <c r="B18" s="255"/>
      <c r="C18" s="255"/>
    </row>
    <row r="19" spans="1:19" ht="13.5" thickBot="1">
      <c r="A19" s="253" t="s">
        <v>130</v>
      </c>
      <c r="B19" s="253" t="s">
        <v>28</v>
      </c>
      <c r="C19" t="s">
        <v>117</v>
      </c>
      <c r="D19" t="s">
        <v>118</v>
      </c>
      <c r="E19" t="s">
        <v>119</v>
      </c>
      <c r="F19" t="s">
        <v>37</v>
      </c>
      <c r="G19" t="s">
        <v>38</v>
      </c>
      <c r="H19" t="s">
        <v>39</v>
      </c>
      <c r="I19" t="s">
        <v>40</v>
      </c>
      <c r="J19" t="s">
        <v>41</v>
      </c>
      <c r="K19" t="s">
        <v>42</v>
      </c>
      <c r="L19" t="s">
        <v>43</v>
      </c>
      <c r="M19" t="s">
        <v>44</v>
      </c>
      <c r="N19" t="s">
        <v>45</v>
      </c>
      <c r="O19" t="s">
        <v>46</v>
      </c>
      <c r="P19" t="s">
        <v>47</v>
      </c>
      <c r="Q19" t="s">
        <v>120</v>
      </c>
      <c r="R19" t="s">
        <v>121</v>
      </c>
      <c r="S19" t="s">
        <v>18</v>
      </c>
    </row>
    <row r="20" spans="1:19" ht="13.5" thickBot="1">
      <c r="A20" s="250" t="s">
        <v>107</v>
      </c>
      <c r="B20" s="265">
        <v>0.0013</v>
      </c>
      <c r="C20" s="263">
        <v>-4781.7300000000005</v>
      </c>
      <c r="D20" s="263">
        <v>-1179.3999999999999</v>
      </c>
      <c r="E20" s="263">
        <v>5759.41</v>
      </c>
      <c r="F20" s="263">
        <v>6569.34</v>
      </c>
      <c r="G20" s="263">
        <v>6169.07</v>
      </c>
      <c r="H20" s="263">
        <v>3165.35</v>
      </c>
      <c r="I20" s="263">
        <v>1560.89</v>
      </c>
      <c r="J20" s="263">
        <v>0.2</v>
      </c>
      <c r="K20" s="263"/>
      <c r="L20" s="263"/>
      <c r="M20" s="263"/>
      <c r="N20" s="263"/>
      <c r="O20" s="263"/>
      <c r="P20" s="263"/>
      <c r="Q20" s="263"/>
      <c r="R20" s="263"/>
      <c r="S20" s="263">
        <f>+SUM(C20:R20)</f>
        <v>17263.13</v>
      </c>
    </row>
    <row r="21" spans="1:19" ht="13.5" thickBot="1">
      <c r="A21" s="251" t="s">
        <v>108</v>
      </c>
      <c r="B21" s="265">
        <v>0.0008</v>
      </c>
      <c r="C21" s="263">
        <v>-1512.8999999999999</v>
      </c>
      <c r="D21" s="263">
        <v>-288.4</v>
      </c>
      <c r="E21" s="264">
        <v>1836.3999999999996</v>
      </c>
      <c r="F21" s="264">
        <v>1989.4299999999998</v>
      </c>
      <c r="G21" s="264">
        <v>1955.77</v>
      </c>
      <c r="H21" s="264">
        <v>1220.88</v>
      </c>
      <c r="I21" s="264">
        <v>470.34</v>
      </c>
      <c r="J21" s="264"/>
      <c r="K21" s="264"/>
      <c r="L21" s="264"/>
      <c r="M21" s="264"/>
      <c r="N21" s="264"/>
      <c r="O21" s="264"/>
      <c r="P21" s="264"/>
      <c r="Q21" s="264"/>
      <c r="R21" s="264"/>
      <c r="S21" s="264">
        <f>+SUM(C21:R21)</f>
        <v>5671.52</v>
      </c>
    </row>
    <row r="22" spans="1:19" ht="13.5" thickBot="1">
      <c r="A22" s="251" t="s">
        <v>109</v>
      </c>
      <c r="B22" s="265">
        <v>0.0008</v>
      </c>
      <c r="C22" s="263">
        <v>-1.21</v>
      </c>
      <c r="D22" s="263">
        <v>-1.09</v>
      </c>
      <c r="E22" s="264">
        <v>1.3599999999999999</v>
      </c>
      <c r="F22" s="264">
        <v>2.7</v>
      </c>
      <c r="G22" s="264">
        <v>3.63</v>
      </c>
      <c r="H22" s="264">
        <v>1.47</v>
      </c>
      <c r="I22" s="264">
        <v>0.49</v>
      </c>
      <c r="J22" s="264"/>
      <c r="K22" s="264"/>
      <c r="L22" s="264"/>
      <c r="M22" s="264"/>
      <c r="N22" s="264"/>
      <c r="O22" s="264"/>
      <c r="P22" s="264"/>
      <c r="Q22" s="264"/>
      <c r="R22" s="264"/>
      <c r="S22" s="264">
        <f aca="true" t="shared" si="3" ref="S22:S28">+SUM(C22:R22)</f>
        <v>7.3500000000000005</v>
      </c>
    </row>
    <row r="23" spans="1:19" ht="13.5" thickBot="1">
      <c r="A23" s="251" t="s">
        <v>110</v>
      </c>
      <c r="B23" s="265">
        <v>0.0624</v>
      </c>
      <c r="C23" s="263">
        <v>-544.99</v>
      </c>
      <c r="D23" s="263">
        <v>-122.19999999999999</v>
      </c>
      <c r="E23" s="264">
        <v>617.74</v>
      </c>
      <c r="F23" s="264">
        <v>655.31</v>
      </c>
      <c r="G23" s="264">
        <v>691.11</v>
      </c>
      <c r="H23" s="264">
        <v>437.79</v>
      </c>
      <c r="I23" s="264">
        <v>198.52</v>
      </c>
      <c r="J23" s="264"/>
      <c r="K23" s="264"/>
      <c r="L23" s="264"/>
      <c r="M23" s="264"/>
      <c r="N23" s="264"/>
      <c r="O23" s="264"/>
      <c r="P23" s="264"/>
      <c r="Q23" s="264"/>
      <c r="R23" s="264"/>
      <c r="S23" s="264">
        <f t="shared" si="3"/>
        <v>1933.2799999999997</v>
      </c>
    </row>
    <row r="24" spans="1:19" ht="13.5" thickBot="1">
      <c r="A24" s="251" t="s">
        <v>111</v>
      </c>
      <c r="B24" s="265">
        <v>0.0624</v>
      </c>
      <c r="C24" s="263">
        <v>-154.72</v>
      </c>
      <c r="D24" s="263">
        <v>0</v>
      </c>
      <c r="E24" s="264">
        <v>154.72</v>
      </c>
      <c r="F24" s="264">
        <v>161.49</v>
      </c>
      <c r="G24" s="264">
        <v>192.83</v>
      </c>
      <c r="H24" s="264">
        <v>195.04</v>
      </c>
      <c r="I24" s="264">
        <v>0</v>
      </c>
      <c r="J24" s="264"/>
      <c r="K24" s="264"/>
      <c r="L24" s="264"/>
      <c r="M24" s="264"/>
      <c r="N24" s="264"/>
      <c r="O24" s="264"/>
      <c r="P24" s="264"/>
      <c r="Q24" s="264"/>
      <c r="R24" s="264"/>
      <c r="S24" s="264">
        <f t="shared" si="3"/>
        <v>549.36</v>
      </c>
    </row>
    <row r="25" spans="1:19" ht="13.5" thickBot="1">
      <c r="A25" s="251" t="s">
        <v>112</v>
      </c>
      <c r="B25" s="265">
        <v>0.0292</v>
      </c>
      <c r="C25" s="263">
        <v>-438.24</v>
      </c>
      <c r="D25" s="263">
        <v>0</v>
      </c>
      <c r="E25" s="264">
        <v>438.24</v>
      </c>
      <c r="F25" s="264">
        <v>449.23</v>
      </c>
      <c r="G25" s="264">
        <v>448.56</v>
      </c>
      <c r="H25" s="264">
        <v>432.82</v>
      </c>
      <c r="I25" s="264">
        <v>435.52</v>
      </c>
      <c r="J25" s="264"/>
      <c r="K25" s="264"/>
      <c r="L25" s="264"/>
      <c r="M25" s="264"/>
      <c r="N25" s="264"/>
      <c r="O25" s="264"/>
      <c r="P25" s="264"/>
      <c r="Q25" s="264"/>
      <c r="R25" s="264"/>
      <c r="S25" s="264">
        <f t="shared" si="3"/>
        <v>1766.1299999999999</v>
      </c>
    </row>
    <row r="26" spans="1:19" ht="13.5" thickBot="1">
      <c r="A26" s="251" t="s">
        <v>113</v>
      </c>
      <c r="B26" s="265">
        <v>0.0292</v>
      </c>
      <c r="C26" s="263">
        <v>0</v>
      </c>
      <c r="D26" s="263">
        <v>0</v>
      </c>
      <c r="E26" s="264">
        <v>0</v>
      </c>
      <c r="F26" s="264">
        <v>0</v>
      </c>
      <c r="G26" s="264">
        <v>0</v>
      </c>
      <c r="H26" s="264">
        <v>115.61</v>
      </c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>
        <f t="shared" si="3"/>
        <v>115.61</v>
      </c>
    </row>
    <row r="27" spans="1:19" ht="13.5" thickBot="1">
      <c r="A27" s="251" t="s">
        <v>114</v>
      </c>
      <c r="B27" s="265">
        <v>0.3745</v>
      </c>
      <c r="C27" s="263">
        <v>-115.61</v>
      </c>
      <c r="D27" s="263">
        <v>0</v>
      </c>
      <c r="E27" s="264">
        <v>115.61</v>
      </c>
      <c r="F27" s="264">
        <v>115.61</v>
      </c>
      <c r="G27" s="264">
        <v>115.61</v>
      </c>
      <c r="H27" s="264">
        <v>10.38</v>
      </c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>
        <f t="shared" si="3"/>
        <v>241.6</v>
      </c>
    </row>
    <row r="28" spans="1:19" ht="12.75">
      <c r="A28" s="251" t="s">
        <v>115</v>
      </c>
      <c r="B28" s="265">
        <v>0.6246</v>
      </c>
      <c r="C28" s="263">
        <v>-45.73</v>
      </c>
      <c r="D28" s="263">
        <v>-3.08</v>
      </c>
      <c r="E28" s="264">
        <v>48.11</v>
      </c>
      <c r="F28" s="264">
        <v>14.27</v>
      </c>
      <c r="G28" s="264">
        <v>17.98</v>
      </c>
      <c r="H28" s="264"/>
      <c r="I28" s="264">
        <v>6.17</v>
      </c>
      <c r="J28" s="264"/>
      <c r="K28" s="264"/>
      <c r="L28" s="264"/>
      <c r="M28" s="264"/>
      <c r="N28" s="264"/>
      <c r="O28" s="264"/>
      <c r="P28" s="264"/>
      <c r="Q28" s="264"/>
      <c r="R28" s="264"/>
      <c r="S28" s="264">
        <f t="shared" si="3"/>
        <v>37.720000000000006</v>
      </c>
    </row>
    <row r="29" spans="1:19" ht="12.75">
      <c r="A29" s="251"/>
      <c r="B29" s="266"/>
      <c r="C29" s="264">
        <f aca="true" t="shared" si="4" ref="C29:S29">+SUM(C20:C28)</f>
        <v>-7595.129999999999</v>
      </c>
      <c r="D29" s="264">
        <f t="shared" si="4"/>
        <v>-1594.1699999999996</v>
      </c>
      <c r="E29" s="264">
        <f t="shared" si="4"/>
        <v>8971.59</v>
      </c>
      <c r="F29" s="264">
        <f t="shared" si="4"/>
        <v>9957.380000000001</v>
      </c>
      <c r="G29" s="264">
        <f t="shared" si="4"/>
        <v>9594.56</v>
      </c>
      <c r="H29" s="264">
        <f t="shared" si="4"/>
        <v>5579.339999999999</v>
      </c>
      <c r="I29" s="264">
        <f t="shared" si="4"/>
        <v>2671.9300000000003</v>
      </c>
      <c r="J29" s="264">
        <f t="shared" si="4"/>
        <v>0.2</v>
      </c>
      <c r="K29" s="264">
        <f t="shared" si="4"/>
        <v>0</v>
      </c>
      <c r="L29" s="264">
        <f t="shared" si="4"/>
        <v>0</v>
      </c>
      <c r="M29" s="264">
        <f t="shared" si="4"/>
        <v>0</v>
      </c>
      <c r="N29" s="264">
        <f t="shared" si="4"/>
        <v>0</v>
      </c>
      <c r="O29" s="264">
        <f t="shared" si="4"/>
        <v>0</v>
      </c>
      <c r="P29" s="264">
        <f t="shared" si="4"/>
        <v>0</v>
      </c>
      <c r="Q29" s="264">
        <f t="shared" si="4"/>
        <v>0</v>
      </c>
      <c r="R29" s="264">
        <f t="shared" si="4"/>
        <v>0</v>
      </c>
      <c r="S29" s="264">
        <f t="shared" si="4"/>
        <v>27585.7</v>
      </c>
    </row>
    <row r="31" spans="2:3" ht="12.75">
      <c r="B31" s="255"/>
      <c r="C31" s="255"/>
    </row>
    <row r="32" spans="1:19" ht="13.5" thickBot="1">
      <c r="A32" s="253" t="s">
        <v>131</v>
      </c>
      <c r="B32" s="253" t="s">
        <v>28</v>
      </c>
      <c r="C32" t="s">
        <v>117</v>
      </c>
      <c r="D32" t="s">
        <v>118</v>
      </c>
      <c r="E32" t="s">
        <v>119</v>
      </c>
      <c r="F32" t="s">
        <v>37</v>
      </c>
      <c r="G32" t="s">
        <v>38</v>
      </c>
      <c r="H32" t="s">
        <v>39</v>
      </c>
      <c r="I32" t="s">
        <v>40</v>
      </c>
      <c r="J32" t="s">
        <v>41</v>
      </c>
      <c r="K32" t="s">
        <v>42</v>
      </c>
      <c r="L32" t="s">
        <v>43</v>
      </c>
      <c r="M32" t="s">
        <v>44</v>
      </c>
      <c r="N32" t="s">
        <v>45</v>
      </c>
      <c r="O32" t="s">
        <v>46</v>
      </c>
      <c r="P32" t="s">
        <v>47</v>
      </c>
      <c r="Q32" t="s">
        <v>120</v>
      </c>
      <c r="R32" t="s">
        <v>121</v>
      </c>
      <c r="S32" t="s">
        <v>18</v>
      </c>
    </row>
    <row r="33" spans="1:19" ht="13.5" thickBot="1">
      <c r="A33" s="250" t="s">
        <v>107</v>
      </c>
      <c r="B33" s="270">
        <v>0.002</v>
      </c>
      <c r="C33" s="263"/>
      <c r="D33" s="263"/>
      <c r="E33" s="263"/>
      <c r="F33" s="263"/>
      <c r="G33" s="263"/>
      <c r="H33" s="263">
        <v>290.19</v>
      </c>
      <c r="I33" s="263">
        <v>7002.97</v>
      </c>
      <c r="J33" s="263">
        <v>7397.95</v>
      </c>
      <c r="K33" s="263">
        <v>7681.509999999999</v>
      </c>
      <c r="L33" s="263">
        <v>8499.43</v>
      </c>
      <c r="M33" s="263">
        <v>7998.56</v>
      </c>
      <c r="N33" s="263">
        <v>7469.94</v>
      </c>
      <c r="O33" s="263">
        <v>7360.62</v>
      </c>
      <c r="P33" s="263">
        <v>8206.13</v>
      </c>
      <c r="Q33" s="263">
        <v>6987.4400000000005</v>
      </c>
      <c r="R33" s="263">
        <v>1499.22</v>
      </c>
      <c r="S33" s="263">
        <f>+SUM(C33:R33)</f>
        <v>70393.96</v>
      </c>
    </row>
    <row r="34" spans="1:19" ht="13.5" thickBot="1">
      <c r="A34" s="251" t="s">
        <v>108</v>
      </c>
      <c r="B34" s="270">
        <v>0.00122</v>
      </c>
      <c r="C34" s="263"/>
      <c r="D34" s="263"/>
      <c r="E34" s="264"/>
      <c r="F34" s="264"/>
      <c r="G34" s="264"/>
      <c r="H34" s="264">
        <v>109.88</v>
      </c>
      <c r="I34" s="264">
        <v>2618.55</v>
      </c>
      <c r="J34" s="264">
        <v>2597.37</v>
      </c>
      <c r="K34" s="264">
        <v>2721.9399999999996</v>
      </c>
      <c r="L34" s="264">
        <v>2830.3999999999996</v>
      </c>
      <c r="M34" s="264">
        <v>2798.2099999999996</v>
      </c>
      <c r="N34" s="264">
        <v>2611.1199999999994</v>
      </c>
      <c r="O34" s="264">
        <v>2436.0600000000004</v>
      </c>
      <c r="P34" s="264">
        <v>2693.6999999999994</v>
      </c>
      <c r="Q34" s="264">
        <v>2141.4</v>
      </c>
      <c r="R34" s="264">
        <v>450.37999999999994</v>
      </c>
      <c r="S34" s="264">
        <f>+SUM(C34:R34)</f>
        <v>24009.010000000002</v>
      </c>
    </row>
    <row r="35" spans="1:19" ht="13.5" thickBot="1">
      <c r="A35" s="251" t="s">
        <v>109</v>
      </c>
      <c r="B35" s="270">
        <v>0.00122</v>
      </c>
      <c r="C35" s="263"/>
      <c r="D35" s="263"/>
      <c r="E35" s="264"/>
      <c r="F35" s="264"/>
      <c r="G35" s="264"/>
      <c r="H35" s="264"/>
      <c r="I35" s="264">
        <v>1.78</v>
      </c>
      <c r="J35" s="264">
        <v>2.93</v>
      </c>
      <c r="K35" s="264">
        <v>1.96</v>
      </c>
      <c r="L35" s="264">
        <v>1.86</v>
      </c>
      <c r="M35" s="264">
        <v>1.81</v>
      </c>
      <c r="N35" s="264">
        <v>1.93</v>
      </c>
      <c r="O35" s="264">
        <v>2.93</v>
      </c>
      <c r="P35" s="264">
        <v>2.71</v>
      </c>
      <c r="Q35" s="264">
        <v>2.26</v>
      </c>
      <c r="R35" s="264">
        <v>0.62</v>
      </c>
      <c r="S35" s="264">
        <f aca="true" t="shared" si="5" ref="S35:S41">+SUM(C35:R35)</f>
        <v>20.790000000000003</v>
      </c>
    </row>
    <row r="36" spans="1:19" ht="13.5" thickBot="1">
      <c r="A36" s="251" t="s">
        <v>110</v>
      </c>
      <c r="B36" s="270">
        <v>0.09</v>
      </c>
      <c r="C36" s="263"/>
      <c r="D36" s="263"/>
      <c r="E36" s="264"/>
      <c r="F36" s="264"/>
      <c r="G36" s="264"/>
      <c r="H36" s="264">
        <v>17.59</v>
      </c>
      <c r="I36" s="264">
        <v>849.9</v>
      </c>
      <c r="J36" s="264">
        <v>1578.77</v>
      </c>
      <c r="K36" s="264">
        <v>962.27</v>
      </c>
      <c r="L36" s="264">
        <v>899.02</v>
      </c>
      <c r="M36" s="264">
        <v>818.15</v>
      </c>
      <c r="N36" s="264">
        <v>1028.21</v>
      </c>
      <c r="O36" s="264">
        <v>958.5799999999999</v>
      </c>
      <c r="P36" s="264">
        <v>1239.03</v>
      </c>
      <c r="Q36" s="264">
        <v>833.12</v>
      </c>
      <c r="R36" s="264">
        <v>189.5</v>
      </c>
      <c r="S36" s="264">
        <f t="shared" si="5"/>
        <v>9374.140000000001</v>
      </c>
    </row>
    <row r="37" spans="1:19" ht="13.5" thickBot="1">
      <c r="A37" s="251" t="s">
        <v>111</v>
      </c>
      <c r="B37" s="270">
        <v>0.09</v>
      </c>
      <c r="C37" s="263"/>
      <c r="D37" s="263"/>
      <c r="E37" s="264"/>
      <c r="F37" s="264"/>
      <c r="G37" s="264"/>
      <c r="H37" s="264"/>
      <c r="I37" s="264">
        <v>194.71</v>
      </c>
      <c r="J37" s="264">
        <v>211.26</v>
      </c>
      <c r="K37" s="264">
        <v>215.73</v>
      </c>
      <c r="L37" s="264">
        <v>220.18</v>
      </c>
      <c r="M37" s="264">
        <v>228.64</v>
      </c>
      <c r="N37" s="264">
        <v>800.22</v>
      </c>
      <c r="O37" s="264">
        <v>291.89</v>
      </c>
      <c r="P37" s="264">
        <v>267.6</v>
      </c>
      <c r="Q37" s="264">
        <v>263.18</v>
      </c>
      <c r="R37" s="264">
        <v>0</v>
      </c>
      <c r="S37" s="264">
        <f t="shared" si="5"/>
        <v>2693.41</v>
      </c>
    </row>
    <row r="38" spans="1:19" ht="13.5" thickBot="1">
      <c r="A38" s="251" t="s">
        <v>112</v>
      </c>
      <c r="B38" s="270">
        <v>0.044</v>
      </c>
      <c r="C38" s="263"/>
      <c r="D38" s="263"/>
      <c r="E38" s="264"/>
      <c r="F38" s="264"/>
      <c r="G38" s="264"/>
      <c r="H38" s="264"/>
      <c r="I38" s="264"/>
      <c r="J38" s="264">
        <v>440.65</v>
      </c>
      <c r="K38" s="264">
        <v>-724.86</v>
      </c>
      <c r="L38" s="264">
        <v>1590.29</v>
      </c>
      <c r="M38" s="264">
        <v>440.02</v>
      </c>
      <c r="N38" s="264">
        <v>1779.2800000000002</v>
      </c>
      <c r="O38" s="264">
        <v>645.52</v>
      </c>
      <c r="P38" s="264">
        <v>650.82</v>
      </c>
      <c r="Q38" s="264">
        <v>644.56</v>
      </c>
      <c r="R38" s="264">
        <v>0</v>
      </c>
      <c r="S38" s="264">
        <f t="shared" si="5"/>
        <v>5466.279999999999</v>
      </c>
    </row>
    <row r="39" spans="1:19" ht="13.5" thickBot="1">
      <c r="A39" s="251" t="s">
        <v>113</v>
      </c>
      <c r="B39" s="270">
        <v>0.044</v>
      </c>
      <c r="C39" s="263"/>
      <c r="D39" s="263"/>
      <c r="E39" s="264"/>
      <c r="F39" s="264"/>
      <c r="G39" s="264"/>
      <c r="H39" s="264"/>
      <c r="I39" s="264"/>
      <c r="J39" s="264">
        <v>0</v>
      </c>
      <c r="K39" s="264">
        <v>0</v>
      </c>
      <c r="L39" s="264">
        <v>0</v>
      </c>
      <c r="M39" s="264">
        <v>0</v>
      </c>
      <c r="N39" s="264">
        <v>0</v>
      </c>
      <c r="O39" s="264">
        <v>0</v>
      </c>
      <c r="P39" s="264">
        <v>0</v>
      </c>
      <c r="Q39" s="264">
        <v>0</v>
      </c>
      <c r="R39" s="264">
        <v>0</v>
      </c>
      <c r="S39" s="264">
        <f t="shared" si="5"/>
        <v>0</v>
      </c>
    </row>
    <row r="40" spans="1:19" ht="13.5" thickBot="1">
      <c r="A40" s="251" t="s">
        <v>114</v>
      </c>
      <c r="B40" s="270">
        <v>0.5888</v>
      </c>
      <c r="C40" s="263"/>
      <c r="D40" s="263"/>
      <c r="E40" s="264"/>
      <c r="F40" s="264"/>
      <c r="G40" s="264"/>
      <c r="H40" s="264">
        <v>0.16</v>
      </c>
      <c r="I40" s="264">
        <v>181.77</v>
      </c>
      <c r="J40" s="264">
        <v>181.77</v>
      </c>
      <c r="K40" s="264">
        <v>181.77</v>
      </c>
      <c r="L40" s="264">
        <v>181.77</v>
      </c>
      <c r="M40" s="264">
        <v>181.77</v>
      </c>
      <c r="N40" s="264">
        <v>181.77</v>
      </c>
      <c r="O40" s="264">
        <v>181.77</v>
      </c>
      <c r="P40" s="264">
        <v>181.77</v>
      </c>
      <c r="Q40" s="264">
        <v>185.33</v>
      </c>
      <c r="R40" s="264">
        <v>0</v>
      </c>
      <c r="S40" s="264">
        <f t="shared" si="5"/>
        <v>1639.6499999999999</v>
      </c>
    </row>
    <row r="41" spans="1:19" ht="12.75">
      <c r="A41" s="251" t="s">
        <v>115</v>
      </c>
      <c r="B41" s="270">
        <v>0.6648</v>
      </c>
      <c r="C41" s="263"/>
      <c r="D41" s="263"/>
      <c r="E41" s="264"/>
      <c r="F41" s="264"/>
      <c r="G41" s="264"/>
      <c r="H41" s="264"/>
      <c r="I41" s="264">
        <v>15.28</v>
      </c>
      <c r="J41" s="264">
        <v>16.89</v>
      </c>
      <c r="K41" s="264">
        <v>16.89</v>
      </c>
      <c r="L41" s="264">
        <v>16.89</v>
      </c>
      <c r="M41" s="264">
        <v>16.33</v>
      </c>
      <c r="N41" s="264">
        <v>15.85</v>
      </c>
      <c r="O41" s="264">
        <v>17.31</v>
      </c>
      <c r="P41" s="264">
        <v>17.85</v>
      </c>
      <c r="Q41" s="264">
        <v>47.17</v>
      </c>
      <c r="R41" s="264">
        <v>3.77</v>
      </c>
      <c r="S41" s="264">
        <f t="shared" si="5"/>
        <v>184.23</v>
      </c>
    </row>
    <row r="42" spans="1:19" ht="12.75">
      <c r="A42" s="251"/>
      <c r="B42" s="271"/>
      <c r="C42" s="264">
        <f aca="true" t="shared" si="6" ref="C42:S42">+SUM(C33:C41)</f>
        <v>0</v>
      </c>
      <c r="D42" s="264">
        <f t="shared" si="6"/>
        <v>0</v>
      </c>
      <c r="E42" s="264">
        <f t="shared" si="6"/>
        <v>0</v>
      </c>
      <c r="F42" s="264">
        <f t="shared" si="6"/>
        <v>0</v>
      </c>
      <c r="G42" s="264">
        <f t="shared" si="6"/>
        <v>0</v>
      </c>
      <c r="H42" s="264">
        <f t="shared" si="6"/>
        <v>417.82</v>
      </c>
      <c r="I42" s="264">
        <f t="shared" si="6"/>
        <v>10864.960000000001</v>
      </c>
      <c r="J42" s="264">
        <f t="shared" si="6"/>
        <v>12427.59</v>
      </c>
      <c r="K42" s="264">
        <f t="shared" si="6"/>
        <v>11057.209999999997</v>
      </c>
      <c r="L42" s="264">
        <f t="shared" si="6"/>
        <v>14239.84</v>
      </c>
      <c r="M42" s="264">
        <f t="shared" si="6"/>
        <v>12483.49</v>
      </c>
      <c r="N42" s="264">
        <f t="shared" si="6"/>
        <v>13888.320000000002</v>
      </c>
      <c r="O42" s="264">
        <f t="shared" si="6"/>
        <v>11894.68</v>
      </c>
      <c r="P42" s="264">
        <f t="shared" si="6"/>
        <v>13259.609999999999</v>
      </c>
      <c r="Q42" s="264">
        <f t="shared" si="6"/>
        <v>11104.460000000001</v>
      </c>
      <c r="R42" s="264">
        <f t="shared" si="6"/>
        <v>2143.49</v>
      </c>
      <c r="S42" s="264">
        <f t="shared" si="6"/>
        <v>113781.46999999999</v>
      </c>
    </row>
    <row r="44" spans="2:3" ht="12.75">
      <c r="B44" s="255"/>
      <c r="C44" s="255"/>
    </row>
    <row r="45" spans="1:19" ht="13.5" thickBot="1">
      <c r="A45" s="253" t="s">
        <v>132</v>
      </c>
      <c r="C45" t="s">
        <v>117</v>
      </c>
      <c r="D45" t="s">
        <v>118</v>
      </c>
      <c r="E45" t="s">
        <v>119</v>
      </c>
      <c r="F45" t="s">
        <v>37</v>
      </c>
      <c r="G45" t="s">
        <v>38</v>
      </c>
      <c r="H45" t="s">
        <v>39</v>
      </c>
      <c r="I45" t="s">
        <v>40</v>
      </c>
      <c r="J45" t="s">
        <v>41</v>
      </c>
      <c r="K45" t="s">
        <v>42</v>
      </c>
      <c r="L45" t="s">
        <v>43</v>
      </c>
      <c r="M45" t="s">
        <v>44</v>
      </c>
      <c r="N45" t="s">
        <v>45</v>
      </c>
      <c r="O45" t="s">
        <v>46</v>
      </c>
      <c r="P45" t="s">
        <v>47</v>
      </c>
      <c r="Q45" t="s">
        <v>120</v>
      </c>
      <c r="R45" t="s">
        <v>121</v>
      </c>
      <c r="S45" t="s">
        <v>18</v>
      </c>
    </row>
    <row r="46" spans="1:19" ht="13.5" thickBot="1">
      <c r="A46" s="250" t="s">
        <v>107</v>
      </c>
      <c r="B46" s="263"/>
      <c r="C46" s="263">
        <f aca="true" t="shared" si="7" ref="C46:R46">+C20+C33</f>
        <v>-4781.7300000000005</v>
      </c>
      <c r="D46" s="263">
        <f t="shared" si="7"/>
        <v>-1179.3999999999999</v>
      </c>
      <c r="E46" s="263">
        <f t="shared" si="7"/>
        <v>5759.41</v>
      </c>
      <c r="F46" s="263">
        <f t="shared" si="7"/>
        <v>6569.34</v>
      </c>
      <c r="G46" s="263">
        <f t="shared" si="7"/>
        <v>6169.07</v>
      </c>
      <c r="H46" s="263">
        <f t="shared" si="7"/>
        <v>3455.54</v>
      </c>
      <c r="I46" s="263">
        <f t="shared" si="7"/>
        <v>8563.86</v>
      </c>
      <c r="J46" s="263">
        <f t="shared" si="7"/>
        <v>7398.15</v>
      </c>
      <c r="K46" s="263">
        <f t="shared" si="7"/>
        <v>7681.509999999999</v>
      </c>
      <c r="L46" s="263">
        <f t="shared" si="7"/>
        <v>8499.43</v>
      </c>
      <c r="M46" s="263">
        <f t="shared" si="7"/>
        <v>7998.56</v>
      </c>
      <c r="N46" s="263">
        <f t="shared" si="7"/>
        <v>7469.94</v>
      </c>
      <c r="O46" s="263">
        <f t="shared" si="7"/>
        <v>7360.62</v>
      </c>
      <c r="P46" s="263">
        <f t="shared" si="7"/>
        <v>8206.13</v>
      </c>
      <c r="Q46" s="263">
        <f t="shared" si="7"/>
        <v>6987.4400000000005</v>
      </c>
      <c r="R46" s="263">
        <f t="shared" si="7"/>
        <v>1499.22</v>
      </c>
      <c r="S46" s="263">
        <f>+SUM(C46:R46)</f>
        <v>87657.09000000001</v>
      </c>
    </row>
    <row r="47" spans="1:19" ht="13.5" thickBot="1">
      <c r="A47" s="251" t="s">
        <v>108</v>
      </c>
      <c r="B47" s="263"/>
      <c r="C47" s="263">
        <f aca="true" t="shared" si="8" ref="C47:R47">+C21+C34</f>
        <v>-1512.8999999999999</v>
      </c>
      <c r="D47" s="263">
        <f t="shared" si="8"/>
        <v>-288.4</v>
      </c>
      <c r="E47" s="264">
        <f t="shared" si="8"/>
        <v>1836.3999999999996</v>
      </c>
      <c r="F47" s="264">
        <f t="shared" si="8"/>
        <v>1989.4299999999998</v>
      </c>
      <c r="G47" s="264">
        <f t="shared" si="8"/>
        <v>1955.77</v>
      </c>
      <c r="H47" s="264">
        <f t="shared" si="8"/>
        <v>1330.7600000000002</v>
      </c>
      <c r="I47" s="264">
        <f t="shared" si="8"/>
        <v>3088.8900000000003</v>
      </c>
      <c r="J47" s="264">
        <f t="shared" si="8"/>
        <v>2597.37</v>
      </c>
      <c r="K47" s="264">
        <f t="shared" si="8"/>
        <v>2721.9399999999996</v>
      </c>
      <c r="L47" s="264">
        <f t="shared" si="8"/>
        <v>2830.3999999999996</v>
      </c>
      <c r="M47" s="264">
        <f t="shared" si="8"/>
        <v>2798.2099999999996</v>
      </c>
      <c r="N47" s="264">
        <f t="shared" si="8"/>
        <v>2611.1199999999994</v>
      </c>
      <c r="O47" s="264">
        <f t="shared" si="8"/>
        <v>2436.0600000000004</v>
      </c>
      <c r="P47" s="264">
        <f t="shared" si="8"/>
        <v>2693.6999999999994</v>
      </c>
      <c r="Q47" s="264">
        <f t="shared" si="8"/>
        <v>2141.4</v>
      </c>
      <c r="R47" s="264">
        <f t="shared" si="8"/>
        <v>450.37999999999994</v>
      </c>
      <c r="S47" s="264">
        <f>+SUM(C47:R47)</f>
        <v>29680.53</v>
      </c>
    </row>
    <row r="48" spans="1:19" ht="13.5" thickBot="1">
      <c r="A48" s="251" t="s">
        <v>109</v>
      </c>
      <c r="B48" s="263"/>
      <c r="C48" s="263">
        <f aca="true" t="shared" si="9" ref="C48:R48">+C22+C35</f>
        <v>-1.21</v>
      </c>
      <c r="D48" s="263">
        <f t="shared" si="9"/>
        <v>-1.09</v>
      </c>
      <c r="E48" s="264">
        <f t="shared" si="9"/>
        <v>1.3599999999999999</v>
      </c>
      <c r="F48" s="264">
        <f t="shared" si="9"/>
        <v>2.7</v>
      </c>
      <c r="G48" s="264">
        <f t="shared" si="9"/>
        <v>3.63</v>
      </c>
      <c r="H48" s="264">
        <f t="shared" si="9"/>
        <v>1.47</v>
      </c>
      <c r="I48" s="264">
        <f t="shared" si="9"/>
        <v>2.27</v>
      </c>
      <c r="J48" s="264">
        <f t="shared" si="9"/>
        <v>2.93</v>
      </c>
      <c r="K48" s="264">
        <f t="shared" si="9"/>
        <v>1.96</v>
      </c>
      <c r="L48" s="264">
        <f t="shared" si="9"/>
        <v>1.86</v>
      </c>
      <c r="M48" s="264">
        <f t="shared" si="9"/>
        <v>1.81</v>
      </c>
      <c r="N48" s="264">
        <f t="shared" si="9"/>
        <v>1.93</v>
      </c>
      <c r="O48" s="264">
        <f t="shared" si="9"/>
        <v>2.93</v>
      </c>
      <c r="P48" s="264">
        <f t="shared" si="9"/>
        <v>2.71</v>
      </c>
      <c r="Q48" s="264">
        <f t="shared" si="9"/>
        <v>2.26</v>
      </c>
      <c r="R48" s="264">
        <f t="shared" si="9"/>
        <v>0.62</v>
      </c>
      <c r="S48" s="264">
        <f aca="true" t="shared" si="10" ref="S48:S54">+SUM(C48:R48)</f>
        <v>28.139999999999997</v>
      </c>
    </row>
    <row r="49" spans="1:19" ht="13.5" thickBot="1">
      <c r="A49" s="251" t="s">
        <v>110</v>
      </c>
      <c r="B49" s="263"/>
      <c r="C49" s="263">
        <f aca="true" t="shared" si="11" ref="C49:R49">+C23+C36</f>
        <v>-544.99</v>
      </c>
      <c r="D49" s="263">
        <f t="shared" si="11"/>
        <v>-122.19999999999999</v>
      </c>
      <c r="E49" s="264">
        <f t="shared" si="11"/>
        <v>617.74</v>
      </c>
      <c r="F49" s="264">
        <f t="shared" si="11"/>
        <v>655.31</v>
      </c>
      <c r="G49" s="264">
        <f t="shared" si="11"/>
        <v>691.11</v>
      </c>
      <c r="H49" s="264">
        <f t="shared" si="11"/>
        <v>455.38</v>
      </c>
      <c r="I49" s="264">
        <f t="shared" si="11"/>
        <v>1048.42</v>
      </c>
      <c r="J49" s="264">
        <f t="shared" si="11"/>
        <v>1578.77</v>
      </c>
      <c r="K49" s="264">
        <f t="shared" si="11"/>
        <v>962.27</v>
      </c>
      <c r="L49" s="264">
        <f t="shared" si="11"/>
        <v>899.02</v>
      </c>
      <c r="M49" s="264">
        <f t="shared" si="11"/>
        <v>818.15</v>
      </c>
      <c r="N49" s="264">
        <f t="shared" si="11"/>
        <v>1028.21</v>
      </c>
      <c r="O49" s="264">
        <f t="shared" si="11"/>
        <v>958.5799999999999</v>
      </c>
      <c r="P49" s="264">
        <f t="shared" si="11"/>
        <v>1239.03</v>
      </c>
      <c r="Q49" s="264">
        <f t="shared" si="11"/>
        <v>833.12</v>
      </c>
      <c r="R49" s="264">
        <f t="shared" si="11"/>
        <v>189.5</v>
      </c>
      <c r="S49" s="264">
        <f t="shared" si="10"/>
        <v>11307.420000000002</v>
      </c>
    </row>
    <row r="50" spans="1:19" ht="13.5" thickBot="1">
      <c r="A50" s="251" t="s">
        <v>111</v>
      </c>
      <c r="B50" s="263"/>
      <c r="C50" s="263">
        <f aca="true" t="shared" si="12" ref="C50:R50">+C24+C37</f>
        <v>-154.72</v>
      </c>
      <c r="D50" s="263">
        <f t="shared" si="12"/>
        <v>0</v>
      </c>
      <c r="E50" s="264">
        <f t="shared" si="12"/>
        <v>154.72</v>
      </c>
      <c r="F50" s="264">
        <f t="shared" si="12"/>
        <v>161.49</v>
      </c>
      <c r="G50" s="264">
        <f t="shared" si="12"/>
        <v>192.83</v>
      </c>
      <c r="H50" s="264">
        <f t="shared" si="12"/>
        <v>195.04</v>
      </c>
      <c r="I50" s="264">
        <f t="shared" si="12"/>
        <v>194.71</v>
      </c>
      <c r="J50" s="264">
        <f t="shared" si="12"/>
        <v>211.26</v>
      </c>
      <c r="K50" s="264">
        <f t="shared" si="12"/>
        <v>215.73</v>
      </c>
      <c r="L50" s="264">
        <f t="shared" si="12"/>
        <v>220.18</v>
      </c>
      <c r="M50" s="264">
        <f t="shared" si="12"/>
        <v>228.64</v>
      </c>
      <c r="N50" s="264">
        <f t="shared" si="12"/>
        <v>800.22</v>
      </c>
      <c r="O50" s="264">
        <f t="shared" si="12"/>
        <v>291.89</v>
      </c>
      <c r="P50" s="264">
        <f t="shared" si="12"/>
        <v>267.6</v>
      </c>
      <c r="Q50" s="264">
        <f t="shared" si="12"/>
        <v>263.18</v>
      </c>
      <c r="R50" s="264">
        <f t="shared" si="12"/>
        <v>0</v>
      </c>
      <c r="S50" s="264">
        <f t="shared" si="10"/>
        <v>3242.77</v>
      </c>
    </row>
    <row r="51" spans="1:19" ht="13.5" thickBot="1">
      <c r="A51" s="251" t="s">
        <v>112</v>
      </c>
      <c r="B51" s="263"/>
      <c r="C51" s="263">
        <f aca="true" t="shared" si="13" ref="C51:R51">+C25+C38</f>
        <v>-438.24</v>
      </c>
      <c r="D51" s="263">
        <f t="shared" si="13"/>
        <v>0</v>
      </c>
      <c r="E51" s="264">
        <f t="shared" si="13"/>
        <v>438.24</v>
      </c>
      <c r="F51" s="264">
        <f t="shared" si="13"/>
        <v>449.23</v>
      </c>
      <c r="G51" s="264">
        <f t="shared" si="13"/>
        <v>448.56</v>
      </c>
      <c r="H51" s="264">
        <f t="shared" si="13"/>
        <v>432.82</v>
      </c>
      <c r="I51" s="264">
        <f t="shared" si="13"/>
        <v>435.52</v>
      </c>
      <c r="J51" s="264">
        <f t="shared" si="13"/>
        <v>440.65</v>
      </c>
      <c r="K51" s="264">
        <f t="shared" si="13"/>
        <v>-724.86</v>
      </c>
      <c r="L51" s="264">
        <f t="shared" si="13"/>
        <v>1590.29</v>
      </c>
      <c r="M51" s="264">
        <f t="shared" si="13"/>
        <v>440.02</v>
      </c>
      <c r="N51" s="264">
        <f t="shared" si="13"/>
        <v>1779.2800000000002</v>
      </c>
      <c r="O51" s="264">
        <f t="shared" si="13"/>
        <v>645.52</v>
      </c>
      <c r="P51" s="264">
        <f t="shared" si="13"/>
        <v>650.82</v>
      </c>
      <c r="Q51" s="264">
        <f t="shared" si="13"/>
        <v>644.56</v>
      </c>
      <c r="R51" s="264">
        <f t="shared" si="13"/>
        <v>0</v>
      </c>
      <c r="S51" s="264">
        <f t="shared" si="10"/>
        <v>7232.41</v>
      </c>
    </row>
    <row r="52" spans="1:19" ht="13.5" thickBot="1">
      <c r="A52" s="251" t="s">
        <v>113</v>
      </c>
      <c r="B52" s="263"/>
      <c r="C52" s="263">
        <f aca="true" t="shared" si="14" ref="C52:R52">+C26+C39</f>
        <v>0</v>
      </c>
      <c r="D52" s="263">
        <f t="shared" si="14"/>
        <v>0</v>
      </c>
      <c r="E52" s="264">
        <f t="shared" si="14"/>
        <v>0</v>
      </c>
      <c r="F52" s="264">
        <f t="shared" si="14"/>
        <v>0</v>
      </c>
      <c r="G52" s="264">
        <f t="shared" si="14"/>
        <v>0</v>
      </c>
      <c r="H52" s="264">
        <f t="shared" si="14"/>
        <v>115.61</v>
      </c>
      <c r="I52" s="264">
        <f t="shared" si="14"/>
        <v>0</v>
      </c>
      <c r="J52" s="264">
        <f t="shared" si="14"/>
        <v>0</v>
      </c>
      <c r="K52" s="264">
        <f t="shared" si="14"/>
        <v>0</v>
      </c>
      <c r="L52" s="264">
        <f t="shared" si="14"/>
        <v>0</v>
      </c>
      <c r="M52" s="264">
        <f t="shared" si="14"/>
        <v>0</v>
      </c>
      <c r="N52" s="264">
        <f t="shared" si="14"/>
        <v>0</v>
      </c>
      <c r="O52" s="264">
        <f t="shared" si="14"/>
        <v>0</v>
      </c>
      <c r="P52" s="264">
        <f t="shared" si="14"/>
        <v>0</v>
      </c>
      <c r="Q52" s="264">
        <f t="shared" si="14"/>
        <v>0</v>
      </c>
      <c r="R52" s="264">
        <f t="shared" si="14"/>
        <v>0</v>
      </c>
      <c r="S52" s="264">
        <f t="shared" si="10"/>
        <v>115.61</v>
      </c>
    </row>
    <row r="53" spans="1:19" ht="13.5" thickBot="1">
      <c r="A53" s="251" t="s">
        <v>114</v>
      </c>
      <c r="B53" s="263"/>
      <c r="C53" s="263">
        <f aca="true" t="shared" si="15" ref="C53:R53">+C27+C40</f>
        <v>-115.61</v>
      </c>
      <c r="D53" s="263">
        <f t="shared" si="15"/>
        <v>0</v>
      </c>
      <c r="E53" s="264">
        <f t="shared" si="15"/>
        <v>115.61</v>
      </c>
      <c r="F53" s="264">
        <f t="shared" si="15"/>
        <v>115.61</v>
      </c>
      <c r="G53" s="264">
        <f t="shared" si="15"/>
        <v>115.61</v>
      </c>
      <c r="H53" s="264">
        <f t="shared" si="15"/>
        <v>10.540000000000001</v>
      </c>
      <c r="I53" s="264">
        <f t="shared" si="15"/>
        <v>181.77</v>
      </c>
      <c r="J53" s="264">
        <f t="shared" si="15"/>
        <v>181.77</v>
      </c>
      <c r="K53" s="264">
        <f t="shared" si="15"/>
        <v>181.77</v>
      </c>
      <c r="L53" s="264">
        <f t="shared" si="15"/>
        <v>181.77</v>
      </c>
      <c r="M53" s="264">
        <f t="shared" si="15"/>
        <v>181.77</v>
      </c>
      <c r="N53" s="264">
        <f t="shared" si="15"/>
        <v>181.77</v>
      </c>
      <c r="O53" s="264">
        <f t="shared" si="15"/>
        <v>181.77</v>
      </c>
      <c r="P53" s="264">
        <f t="shared" si="15"/>
        <v>181.77</v>
      </c>
      <c r="Q53" s="264">
        <f t="shared" si="15"/>
        <v>185.33</v>
      </c>
      <c r="R53" s="264">
        <f t="shared" si="15"/>
        <v>0</v>
      </c>
      <c r="S53" s="264">
        <f t="shared" si="10"/>
        <v>1881.2499999999998</v>
      </c>
    </row>
    <row r="54" spans="1:19" ht="12.75">
      <c r="A54" s="251" t="s">
        <v>115</v>
      </c>
      <c r="B54" s="263"/>
      <c r="C54" s="263">
        <f aca="true" t="shared" si="16" ref="C54:R54">+C28+C41</f>
        <v>-45.73</v>
      </c>
      <c r="D54" s="263">
        <f t="shared" si="16"/>
        <v>-3.08</v>
      </c>
      <c r="E54" s="264">
        <f t="shared" si="16"/>
        <v>48.11</v>
      </c>
      <c r="F54" s="264">
        <f t="shared" si="16"/>
        <v>14.27</v>
      </c>
      <c r="G54" s="264">
        <f t="shared" si="16"/>
        <v>17.98</v>
      </c>
      <c r="H54" s="264">
        <f t="shared" si="16"/>
        <v>0</v>
      </c>
      <c r="I54" s="264">
        <f t="shared" si="16"/>
        <v>21.45</v>
      </c>
      <c r="J54" s="264">
        <f t="shared" si="16"/>
        <v>16.89</v>
      </c>
      <c r="K54" s="264">
        <f t="shared" si="16"/>
        <v>16.89</v>
      </c>
      <c r="L54" s="264">
        <f t="shared" si="16"/>
        <v>16.89</v>
      </c>
      <c r="M54" s="264">
        <f t="shared" si="16"/>
        <v>16.33</v>
      </c>
      <c r="N54" s="264">
        <f t="shared" si="16"/>
        <v>15.85</v>
      </c>
      <c r="O54" s="264">
        <f t="shared" si="16"/>
        <v>17.31</v>
      </c>
      <c r="P54" s="264">
        <f t="shared" si="16"/>
        <v>17.85</v>
      </c>
      <c r="Q54" s="264">
        <f t="shared" si="16"/>
        <v>47.17</v>
      </c>
      <c r="R54" s="264">
        <f t="shared" si="16"/>
        <v>3.77</v>
      </c>
      <c r="S54" s="264">
        <f t="shared" si="10"/>
        <v>221.95000000000002</v>
      </c>
    </row>
    <row r="55" spans="1:19" ht="12.75">
      <c r="A55" s="251"/>
      <c r="B55" s="264"/>
      <c r="C55" s="264">
        <f aca="true" t="shared" si="17" ref="C55:S55">+SUM(C46:C54)</f>
        <v>-7595.129999999999</v>
      </c>
      <c r="D55" s="264">
        <f t="shared" si="17"/>
        <v>-1594.1699999999996</v>
      </c>
      <c r="E55" s="264">
        <f t="shared" si="17"/>
        <v>8971.59</v>
      </c>
      <c r="F55" s="264">
        <f t="shared" si="17"/>
        <v>9957.380000000001</v>
      </c>
      <c r="G55" s="264">
        <f t="shared" si="17"/>
        <v>9594.56</v>
      </c>
      <c r="H55" s="264">
        <f t="shared" si="17"/>
        <v>5997.16</v>
      </c>
      <c r="I55" s="264">
        <f t="shared" si="17"/>
        <v>13536.890000000001</v>
      </c>
      <c r="J55" s="264">
        <f t="shared" si="17"/>
        <v>12427.79</v>
      </c>
      <c r="K55" s="264">
        <f t="shared" si="17"/>
        <v>11057.209999999997</v>
      </c>
      <c r="L55" s="264">
        <f t="shared" si="17"/>
        <v>14239.84</v>
      </c>
      <c r="M55" s="264">
        <f t="shared" si="17"/>
        <v>12483.49</v>
      </c>
      <c r="N55" s="264">
        <f t="shared" si="17"/>
        <v>13888.320000000002</v>
      </c>
      <c r="O55" s="264">
        <f t="shared" si="17"/>
        <v>11894.68</v>
      </c>
      <c r="P55" s="264">
        <f t="shared" si="17"/>
        <v>13259.609999999999</v>
      </c>
      <c r="Q55" s="264">
        <f t="shared" si="17"/>
        <v>11104.460000000001</v>
      </c>
      <c r="R55" s="264">
        <f t="shared" si="17"/>
        <v>2143.49</v>
      </c>
      <c r="S55" s="264">
        <f t="shared" si="17"/>
        <v>141367.17</v>
      </c>
    </row>
    <row r="56" spans="1:19" ht="12.75">
      <c r="A56" s="254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</row>
    <row r="58" spans="1:19" ht="13.5" thickBot="1">
      <c r="A58" s="253" t="s">
        <v>127</v>
      </c>
      <c r="C58" t="s">
        <v>117</v>
      </c>
      <c r="D58" t="s">
        <v>118</v>
      </c>
      <c r="E58" t="s">
        <v>119</v>
      </c>
      <c r="F58" t="s">
        <v>37</v>
      </c>
      <c r="G58" t="s">
        <v>38</v>
      </c>
      <c r="H58" t="s">
        <v>39</v>
      </c>
      <c r="I58" t="s">
        <v>40</v>
      </c>
      <c r="J58" t="s">
        <v>41</v>
      </c>
      <c r="K58" t="s">
        <v>42</v>
      </c>
      <c r="L58" t="s">
        <v>43</v>
      </c>
      <c r="M58" t="s">
        <v>44</v>
      </c>
      <c r="N58" t="s">
        <v>45</v>
      </c>
      <c r="O58" t="s">
        <v>46</v>
      </c>
      <c r="P58" t="s">
        <v>47</v>
      </c>
      <c r="Q58" t="s">
        <v>120</v>
      </c>
      <c r="R58" t="s">
        <v>121</v>
      </c>
      <c r="S58" t="s">
        <v>18</v>
      </c>
    </row>
    <row r="59" spans="1:19" ht="12.75">
      <c r="A59" s="250" t="s">
        <v>107</v>
      </c>
      <c r="B59" s="267"/>
      <c r="C59" s="263">
        <f aca="true" t="shared" si="18" ref="C59:R59">+C46+C7</f>
        <v>-9205.82</v>
      </c>
      <c r="D59" s="263">
        <f t="shared" si="18"/>
        <v>-2056.7599999999998</v>
      </c>
      <c r="E59" s="263">
        <f t="shared" si="18"/>
        <v>10962.269999999999</v>
      </c>
      <c r="F59" s="263">
        <f t="shared" si="18"/>
        <v>12118.689999999999</v>
      </c>
      <c r="G59" s="263">
        <f t="shared" si="18"/>
        <v>12720.689999999999</v>
      </c>
      <c r="H59" s="263">
        <f t="shared" si="18"/>
        <v>6998.67</v>
      </c>
      <c r="I59" s="263">
        <f t="shared" si="18"/>
        <v>10283.82</v>
      </c>
      <c r="J59" s="263">
        <f t="shared" si="18"/>
        <v>7398.91</v>
      </c>
      <c r="K59" s="263">
        <f t="shared" si="18"/>
        <v>7681.509999999999</v>
      </c>
      <c r="L59" s="263">
        <f t="shared" si="18"/>
        <v>8499.43</v>
      </c>
      <c r="M59" s="263">
        <f t="shared" si="18"/>
        <v>7998.56</v>
      </c>
      <c r="N59" s="263">
        <f t="shared" si="18"/>
        <v>7469.94</v>
      </c>
      <c r="O59" s="263">
        <f t="shared" si="18"/>
        <v>7360.62</v>
      </c>
      <c r="P59" s="263">
        <f t="shared" si="18"/>
        <v>8206.13</v>
      </c>
      <c r="Q59" s="263">
        <f t="shared" si="18"/>
        <v>6987.4400000000005</v>
      </c>
      <c r="R59" s="263">
        <f t="shared" si="18"/>
        <v>1499.22</v>
      </c>
      <c r="S59" s="263">
        <f>+SUM(C59:R59)</f>
        <v>104923.32</v>
      </c>
    </row>
    <row r="60" spans="1:19" ht="12.75">
      <c r="A60" s="251" t="s">
        <v>108</v>
      </c>
      <c r="B60" s="267"/>
      <c r="C60" s="264">
        <f aca="true" t="shared" si="19" ref="C60:R60">+C47+C8</f>
        <v>-2691.24</v>
      </c>
      <c r="D60" s="264">
        <f t="shared" si="19"/>
        <v>-455.94</v>
      </c>
      <c r="E60" s="264">
        <f t="shared" si="19"/>
        <v>3258.0099999999993</v>
      </c>
      <c r="F60" s="264">
        <f t="shared" si="19"/>
        <v>3482.6099999999997</v>
      </c>
      <c r="G60" s="264">
        <f t="shared" si="19"/>
        <v>3722.0899999999997</v>
      </c>
      <c r="H60" s="264">
        <f t="shared" si="19"/>
        <v>2389.59</v>
      </c>
      <c r="I60" s="264">
        <f t="shared" si="19"/>
        <v>3442.1900000000005</v>
      </c>
      <c r="J60" s="264">
        <f t="shared" si="19"/>
        <v>2597.04</v>
      </c>
      <c r="K60" s="264">
        <f t="shared" si="19"/>
        <v>2721.9399999999996</v>
      </c>
      <c r="L60" s="264">
        <f t="shared" si="19"/>
        <v>2830.3999999999996</v>
      </c>
      <c r="M60" s="264">
        <f t="shared" si="19"/>
        <v>2798.2099999999996</v>
      </c>
      <c r="N60" s="264">
        <f t="shared" si="19"/>
        <v>2611.1199999999994</v>
      </c>
      <c r="O60" s="264">
        <f t="shared" si="19"/>
        <v>2436.0600000000004</v>
      </c>
      <c r="P60" s="264">
        <f t="shared" si="19"/>
        <v>2693.6999999999994</v>
      </c>
      <c r="Q60" s="264">
        <f t="shared" si="19"/>
        <v>2141.4</v>
      </c>
      <c r="R60" s="264">
        <f t="shared" si="19"/>
        <v>450.37999999999994</v>
      </c>
      <c r="S60" s="264">
        <f>+SUM(C60:R60)</f>
        <v>34427.55999999999</v>
      </c>
    </row>
    <row r="61" spans="1:19" ht="12.75">
      <c r="A61" s="251" t="s">
        <v>109</v>
      </c>
      <c r="B61" s="267"/>
      <c r="C61" s="264">
        <f aca="true" t="shared" si="20" ref="C61:R61">+C48+C9</f>
        <v>-11.55</v>
      </c>
      <c r="D61" s="264">
        <f t="shared" si="20"/>
        <v>-3.16</v>
      </c>
      <c r="E61" s="264">
        <f t="shared" si="20"/>
        <v>14.2</v>
      </c>
      <c r="F61" s="264">
        <f t="shared" si="20"/>
        <v>14.469999999999999</v>
      </c>
      <c r="G61" s="264">
        <f t="shared" si="20"/>
        <v>20.75</v>
      </c>
      <c r="H61" s="264">
        <f t="shared" si="20"/>
        <v>8.96</v>
      </c>
      <c r="I61" s="264">
        <f t="shared" si="20"/>
        <v>7.16</v>
      </c>
      <c r="J61" s="264">
        <f t="shared" si="20"/>
        <v>2.93</v>
      </c>
      <c r="K61" s="264">
        <f t="shared" si="20"/>
        <v>1.96</v>
      </c>
      <c r="L61" s="264">
        <f t="shared" si="20"/>
        <v>1.86</v>
      </c>
      <c r="M61" s="264">
        <f t="shared" si="20"/>
        <v>1.81</v>
      </c>
      <c r="N61" s="264">
        <f t="shared" si="20"/>
        <v>1.93</v>
      </c>
      <c r="O61" s="264">
        <f t="shared" si="20"/>
        <v>2.93</v>
      </c>
      <c r="P61" s="264">
        <f t="shared" si="20"/>
        <v>2.71</v>
      </c>
      <c r="Q61" s="264">
        <f t="shared" si="20"/>
        <v>2.26</v>
      </c>
      <c r="R61" s="264">
        <f t="shared" si="20"/>
        <v>0.62</v>
      </c>
      <c r="S61" s="264">
        <f aca="true" t="shared" si="21" ref="S61:S67">+SUM(C61:R61)</f>
        <v>69.84</v>
      </c>
    </row>
    <row r="62" spans="1:19" ht="12.75">
      <c r="A62" s="251" t="s">
        <v>110</v>
      </c>
      <c r="B62" s="267"/>
      <c r="C62" s="264">
        <f aca="true" t="shared" si="22" ref="C62:R62">+C49+C10</f>
        <v>-1092.46</v>
      </c>
      <c r="D62" s="264">
        <f t="shared" si="22"/>
        <v>-239.61</v>
      </c>
      <c r="E62" s="264">
        <f t="shared" si="22"/>
        <v>1250.8500000000001</v>
      </c>
      <c r="F62" s="264">
        <f t="shared" si="22"/>
        <v>1313</v>
      </c>
      <c r="G62" s="264">
        <f t="shared" si="22"/>
        <v>1401.3600000000001</v>
      </c>
      <c r="H62" s="264">
        <f t="shared" si="22"/>
        <v>889.4300000000001</v>
      </c>
      <c r="I62" s="264">
        <f t="shared" si="22"/>
        <v>1247.16</v>
      </c>
      <c r="J62" s="264">
        <f t="shared" si="22"/>
        <v>1581.84</v>
      </c>
      <c r="K62" s="264">
        <f t="shared" si="22"/>
        <v>962.27</v>
      </c>
      <c r="L62" s="264">
        <f t="shared" si="22"/>
        <v>899.02</v>
      </c>
      <c r="M62" s="264">
        <f t="shared" si="22"/>
        <v>818.15</v>
      </c>
      <c r="N62" s="264">
        <f t="shared" si="22"/>
        <v>1028.21</v>
      </c>
      <c r="O62" s="264">
        <f t="shared" si="22"/>
        <v>958.5799999999999</v>
      </c>
      <c r="P62" s="264">
        <f t="shared" si="22"/>
        <v>1239.03</v>
      </c>
      <c r="Q62" s="264">
        <f t="shared" si="22"/>
        <v>833.12</v>
      </c>
      <c r="R62" s="264">
        <f t="shared" si="22"/>
        <v>189.5</v>
      </c>
      <c r="S62" s="264">
        <f t="shared" si="21"/>
        <v>13279.450000000003</v>
      </c>
    </row>
    <row r="63" spans="1:19" ht="12.75">
      <c r="A63" s="251" t="s">
        <v>111</v>
      </c>
      <c r="B63" s="267"/>
      <c r="C63" s="264">
        <f aca="true" t="shared" si="23" ref="C63:R63">+C50+C11</f>
        <v>-200.82</v>
      </c>
      <c r="D63" s="264">
        <f t="shared" si="23"/>
        <v>0</v>
      </c>
      <c r="E63" s="264">
        <f t="shared" si="23"/>
        <v>200.82</v>
      </c>
      <c r="F63" s="264">
        <f t="shared" si="23"/>
        <v>207.59</v>
      </c>
      <c r="G63" s="264">
        <f t="shared" si="23"/>
        <v>248.15000000000003</v>
      </c>
      <c r="H63" s="264">
        <f t="shared" si="23"/>
        <v>250.36</v>
      </c>
      <c r="I63" s="264">
        <f t="shared" si="23"/>
        <v>194.71</v>
      </c>
      <c r="J63" s="264">
        <f t="shared" si="23"/>
        <v>211.26</v>
      </c>
      <c r="K63" s="264">
        <f t="shared" si="23"/>
        <v>215.73</v>
      </c>
      <c r="L63" s="264">
        <f t="shared" si="23"/>
        <v>220.18</v>
      </c>
      <c r="M63" s="264">
        <f t="shared" si="23"/>
        <v>228.64</v>
      </c>
      <c r="N63" s="264">
        <f t="shared" si="23"/>
        <v>800.22</v>
      </c>
      <c r="O63" s="264">
        <f t="shared" si="23"/>
        <v>291.89</v>
      </c>
      <c r="P63" s="264">
        <f t="shared" si="23"/>
        <v>267.6</v>
      </c>
      <c r="Q63" s="264">
        <f t="shared" si="23"/>
        <v>263.18</v>
      </c>
      <c r="R63" s="264">
        <f t="shared" si="23"/>
        <v>0</v>
      </c>
      <c r="S63" s="264">
        <f t="shared" si="21"/>
        <v>3399.5099999999998</v>
      </c>
    </row>
    <row r="64" spans="1:19" ht="12.75">
      <c r="A64" s="251" t="s">
        <v>112</v>
      </c>
      <c r="B64" s="267"/>
      <c r="C64" s="264">
        <f aca="true" t="shared" si="24" ref="C64:R64">+C51+C12</f>
        <v>-828.1899999999999</v>
      </c>
      <c r="D64" s="264">
        <f t="shared" si="24"/>
        <v>0</v>
      </c>
      <c r="E64" s="264">
        <f t="shared" si="24"/>
        <v>828.1899999999999</v>
      </c>
      <c r="F64" s="264">
        <f t="shared" si="24"/>
        <v>839.18</v>
      </c>
      <c r="G64" s="264">
        <f t="shared" si="24"/>
        <v>838.51</v>
      </c>
      <c r="H64" s="264">
        <f t="shared" si="24"/>
        <v>822.77</v>
      </c>
      <c r="I64" s="264">
        <f t="shared" si="24"/>
        <v>825.47</v>
      </c>
      <c r="J64" s="264">
        <f t="shared" si="24"/>
        <v>440.65</v>
      </c>
      <c r="K64" s="264">
        <f t="shared" si="24"/>
        <v>-724.86</v>
      </c>
      <c r="L64" s="264">
        <f t="shared" si="24"/>
        <v>1590.29</v>
      </c>
      <c r="M64" s="264">
        <f t="shared" si="24"/>
        <v>440.02</v>
      </c>
      <c r="N64" s="264">
        <f t="shared" si="24"/>
        <v>1779.2800000000002</v>
      </c>
      <c r="O64" s="264">
        <f t="shared" si="24"/>
        <v>645.52</v>
      </c>
      <c r="P64" s="264">
        <f t="shared" si="24"/>
        <v>650.82</v>
      </c>
      <c r="Q64" s="264">
        <f t="shared" si="24"/>
        <v>644.56</v>
      </c>
      <c r="R64" s="264">
        <f t="shared" si="24"/>
        <v>0</v>
      </c>
      <c r="S64" s="264">
        <f t="shared" si="21"/>
        <v>8792.210000000001</v>
      </c>
    </row>
    <row r="65" spans="1:19" ht="12.75">
      <c r="A65" s="251" t="s">
        <v>113</v>
      </c>
      <c r="B65" s="267"/>
      <c r="C65" s="264">
        <f aca="true" t="shared" si="25" ref="C65:R65">+C52+C13</f>
        <v>0</v>
      </c>
      <c r="D65" s="264">
        <f t="shared" si="25"/>
        <v>0</v>
      </c>
      <c r="E65" s="264">
        <f t="shared" si="25"/>
        <v>0</v>
      </c>
      <c r="F65" s="264">
        <f t="shared" si="25"/>
        <v>0</v>
      </c>
      <c r="G65" s="264">
        <f t="shared" si="25"/>
        <v>0</v>
      </c>
      <c r="H65" s="264">
        <f t="shared" si="25"/>
        <v>115.61</v>
      </c>
      <c r="I65" s="264">
        <f t="shared" si="25"/>
        <v>0</v>
      </c>
      <c r="J65" s="264">
        <f t="shared" si="25"/>
        <v>0</v>
      </c>
      <c r="K65" s="264">
        <f t="shared" si="25"/>
        <v>0</v>
      </c>
      <c r="L65" s="264">
        <f t="shared" si="25"/>
        <v>0</v>
      </c>
      <c r="M65" s="264">
        <f t="shared" si="25"/>
        <v>0</v>
      </c>
      <c r="N65" s="264">
        <f t="shared" si="25"/>
        <v>0</v>
      </c>
      <c r="O65" s="264">
        <f t="shared" si="25"/>
        <v>0</v>
      </c>
      <c r="P65" s="264">
        <f t="shared" si="25"/>
        <v>0</v>
      </c>
      <c r="Q65" s="264">
        <f t="shared" si="25"/>
        <v>0</v>
      </c>
      <c r="R65" s="264">
        <f t="shared" si="25"/>
        <v>0</v>
      </c>
      <c r="S65" s="264">
        <f t="shared" si="21"/>
        <v>115.61</v>
      </c>
    </row>
    <row r="66" spans="1:19" ht="12.75">
      <c r="A66" s="251" t="s">
        <v>114</v>
      </c>
      <c r="B66" s="267"/>
      <c r="C66" s="264">
        <f aca="true" t="shared" si="26" ref="C66:R66">+C53+C14</f>
        <v>-244.01999999999998</v>
      </c>
      <c r="D66" s="264">
        <f t="shared" si="26"/>
        <v>0</v>
      </c>
      <c r="E66" s="264">
        <f t="shared" si="26"/>
        <v>244.01999999999998</v>
      </c>
      <c r="F66" s="264">
        <f t="shared" si="26"/>
        <v>239.88</v>
      </c>
      <c r="G66" s="264">
        <f t="shared" si="26"/>
        <v>239.88</v>
      </c>
      <c r="H66" s="264">
        <f t="shared" si="26"/>
        <v>134.81</v>
      </c>
      <c r="I66" s="264">
        <f t="shared" si="26"/>
        <v>181.77</v>
      </c>
      <c r="J66" s="264">
        <f t="shared" si="26"/>
        <v>181.77</v>
      </c>
      <c r="K66" s="264">
        <f t="shared" si="26"/>
        <v>181.77</v>
      </c>
      <c r="L66" s="264">
        <f t="shared" si="26"/>
        <v>181.77</v>
      </c>
      <c r="M66" s="264">
        <f t="shared" si="26"/>
        <v>181.77</v>
      </c>
      <c r="N66" s="264">
        <f t="shared" si="26"/>
        <v>181.77</v>
      </c>
      <c r="O66" s="264">
        <f t="shared" si="26"/>
        <v>181.77</v>
      </c>
      <c r="P66" s="264">
        <f t="shared" si="26"/>
        <v>181.77</v>
      </c>
      <c r="Q66" s="264">
        <f t="shared" si="26"/>
        <v>185.33</v>
      </c>
      <c r="R66" s="264">
        <f t="shared" si="26"/>
        <v>0</v>
      </c>
      <c r="S66" s="264">
        <f t="shared" si="21"/>
        <v>2254.06</v>
      </c>
    </row>
    <row r="67" spans="1:19" ht="12.75">
      <c r="A67" s="251" t="s">
        <v>115</v>
      </c>
      <c r="B67" s="267"/>
      <c r="C67" s="264">
        <f aca="true" t="shared" si="27" ref="C67:R67">+C54+C15</f>
        <v>-78.16</v>
      </c>
      <c r="D67" s="264">
        <f t="shared" si="27"/>
        <v>-2.3200000000000003</v>
      </c>
      <c r="E67" s="264">
        <f t="shared" si="27"/>
        <v>82.22</v>
      </c>
      <c r="F67" s="264">
        <f t="shared" si="27"/>
        <v>24.33</v>
      </c>
      <c r="G67" s="264">
        <f t="shared" si="27"/>
        <v>35.69</v>
      </c>
      <c r="H67" s="264">
        <f t="shared" si="27"/>
        <v>11.46</v>
      </c>
      <c r="I67" s="264">
        <f t="shared" si="27"/>
        <v>27.32</v>
      </c>
      <c r="J67" s="264">
        <f t="shared" si="27"/>
        <v>17.02</v>
      </c>
      <c r="K67" s="264">
        <f t="shared" si="27"/>
        <v>16.89</v>
      </c>
      <c r="L67" s="264">
        <f t="shared" si="27"/>
        <v>16.89</v>
      </c>
      <c r="M67" s="264">
        <f t="shared" si="27"/>
        <v>16.33</v>
      </c>
      <c r="N67" s="264">
        <f t="shared" si="27"/>
        <v>15.85</v>
      </c>
      <c r="O67" s="264">
        <f t="shared" si="27"/>
        <v>17.31</v>
      </c>
      <c r="P67" s="264">
        <f t="shared" si="27"/>
        <v>17.85</v>
      </c>
      <c r="Q67" s="264">
        <f t="shared" si="27"/>
        <v>47.17</v>
      </c>
      <c r="R67" s="264">
        <f t="shared" si="27"/>
        <v>3.77</v>
      </c>
      <c r="S67" s="264">
        <f t="shared" si="21"/>
        <v>269.61999999999995</v>
      </c>
    </row>
    <row r="68" spans="1:19" ht="12.75">
      <c r="A68" s="251"/>
      <c r="B68" s="267"/>
      <c r="C68" s="264">
        <f aca="true" t="shared" si="28" ref="C68:S68">+SUM(C59:C67)</f>
        <v>-14352.26</v>
      </c>
      <c r="D68" s="264">
        <f t="shared" si="28"/>
        <v>-2757.79</v>
      </c>
      <c r="E68" s="264">
        <f t="shared" si="28"/>
        <v>16840.58</v>
      </c>
      <c r="F68" s="264">
        <f t="shared" si="28"/>
        <v>18239.75</v>
      </c>
      <c r="G68" s="264">
        <f t="shared" si="28"/>
        <v>19227.12</v>
      </c>
      <c r="H68" s="264">
        <f t="shared" si="28"/>
        <v>11621.66</v>
      </c>
      <c r="I68" s="264">
        <f t="shared" si="28"/>
        <v>16209.599999999999</v>
      </c>
      <c r="J68" s="264">
        <f t="shared" si="28"/>
        <v>12431.420000000002</v>
      </c>
      <c r="K68" s="264">
        <f t="shared" si="28"/>
        <v>11057.209999999997</v>
      </c>
      <c r="L68" s="264">
        <f t="shared" si="28"/>
        <v>14239.84</v>
      </c>
      <c r="M68" s="264">
        <f t="shared" si="28"/>
        <v>12483.49</v>
      </c>
      <c r="N68" s="264">
        <f t="shared" si="28"/>
        <v>13888.320000000002</v>
      </c>
      <c r="O68" s="264">
        <f t="shared" si="28"/>
        <v>11894.68</v>
      </c>
      <c r="P68" s="264">
        <f t="shared" si="28"/>
        <v>13259.609999999999</v>
      </c>
      <c r="Q68" s="264">
        <f t="shared" si="28"/>
        <v>11104.460000000001</v>
      </c>
      <c r="R68" s="264">
        <f t="shared" si="28"/>
        <v>2143.49</v>
      </c>
      <c r="S68" s="264">
        <f t="shared" si="28"/>
        <v>167531.18</v>
      </c>
    </row>
    <row r="71" ht="12.75">
      <c r="A71" s="252"/>
    </row>
    <row r="72" spans="1:20" ht="13.5" thickBot="1">
      <c r="A72" s="253" t="s">
        <v>128</v>
      </c>
      <c r="C72" t="s">
        <v>117</v>
      </c>
      <c r="D72" t="s">
        <v>118</v>
      </c>
      <c r="E72" t="s">
        <v>119</v>
      </c>
      <c r="F72" t="s">
        <v>37</v>
      </c>
      <c r="G72" t="s">
        <v>38</v>
      </c>
      <c r="H72" t="s">
        <v>39</v>
      </c>
      <c r="I72" t="s">
        <v>40</v>
      </c>
      <c r="J72" t="s">
        <v>41</v>
      </c>
      <c r="K72" t="s">
        <v>42</v>
      </c>
      <c r="L72" t="s">
        <v>43</v>
      </c>
      <c r="M72" t="s">
        <v>44</v>
      </c>
      <c r="N72" t="s">
        <v>45</v>
      </c>
      <c r="O72" t="s">
        <v>46</v>
      </c>
      <c r="P72" t="s">
        <v>47</v>
      </c>
      <c r="Q72" t="s">
        <v>120</v>
      </c>
      <c r="R72" t="s">
        <v>121</v>
      </c>
      <c r="S72" t="s">
        <v>18</v>
      </c>
      <c r="T72" s="360"/>
    </row>
    <row r="73" spans="1:20" ht="13.5" thickBot="1">
      <c r="A73" s="250" t="s">
        <v>107</v>
      </c>
      <c r="B73" s="261"/>
      <c r="C73" s="268">
        <f aca="true" t="shared" si="29" ref="C73:R73">+ROUND(C7/$B7,0)</f>
        <v>-4135</v>
      </c>
      <c r="D73" s="268">
        <f t="shared" si="29"/>
        <v>-820</v>
      </c>
      <c r="E73" s="268">
        <f t="shared" si="29"/>
        <v>4862</v>
      </c>
      <c r="F73" s="268">
        <f t="shared" si="29"/>
        <v>5186</v>
      </c>
      <c r="G73" s="268">
        <f t="shared" si="29"/>
        <v>6123</v>
      </c>
      <c r="H73" s="268">
        <f t="shared" si="29"/>
        <v>3311</v>
      </c>
      <c r="I73" s="268">
        <f t="shared" si="29"/>
        <v>1607</v>
      </c>
      <c r="J73" s="268">
        <f t="shared" si="29"/>
        <v>1</v>
      </c>
      <c r="K73" s="268">
        <f t="shared" si="29"/>
        <v>0</v>
      </c>
      <c r="L73" s="268">
        <f t="shared" si="29"/>
        <v>0</v>
      </c>
      <c r="M73" s="268">
        <f t="shared" si="29"/>
        <v>0</v>
      </c>
      <c r="N73" s="268">
        <f t="shared" si="29"/>
        <v>0</v>
      </c>
      <c r="O73" s="268">
        <f t="shared" si="29"/>
        <v>0</v>
      </c>
      <c r="P73" s="268">
        <f t="shared" si="29"/>
        <v>0</v>
      </c>
      <c r="Q73" s="268">
        <f t="shared" si="29"/>
        <v>0</v>
      </c>
      <c r="R73" s="268">
        <f t="shared" si="29"/>
        <v>0</v>
      </c>
      <c r="S73" s="268">
        <f>+SUM(C73:R73)</f>
        <v>16135</v>
      </c>
      <c r="T73" s="361"/>
    </row>
    <row r="74" spans="1:20" ht="13.5" thickBot="1">
      <c r="A74" s="251" t="s">
        <v>108</v>
      </c>
      <c r="B74" s="261"/>
      <c r="C74" s="268">
        <f aca="true" t="shared" si="30" ref="C74:R74">+ROUND(C8/$B8,0)</f>
        <v>-515</v>
      </c>
      <c r="D74" s="268">
        <f t="shared" si="30"/>
        <v>-73</v>
      </c>
      <c r="E74" s="268">
        <f t="shared" si="30"/>
        <v>621</v>
      </c>
      <c r="F74" s="268">
        <f t="shared" si="30"/>
        <v>652</v>
      </c>
      <c r="G74" s="268">
        <f t="shared" si="30"/>
        <v>771</v>
      </c>
      <c r="H74" s="268">
        <f t="shared" si="30"/>
        <v>462</v>
      </c>
      <c r="I74" s="268">
        <f t="shared" si="30"/>
        <v>154</v>
      </c>
      <c r="J74" s="268">
        <f t="shared" si="30"/>
        <v>0</v>
      </c>
      <c r="K74" s="268">
        <f t="shared" si="30"/>
        <v>0</v>
      </c>
      <c r="L74" s="268">
        <f t="shared" si="30"/>
        <v>0</v>
      </c>
      <c r="M74" s="268">
        <f t="shared" si="30"/>
        <v>0</v>
      </c>
      <c r="N74" s="268">
        <f t="shared" si="30"/>
        <v>0</v>
      </c>
      <c r="O74" s="268">
        <f t="shared" si="30"/>
        <v>0</v>
      </c>
      <c r="P74" s="268">
        <f t="shared" si="30"/>
        <v>0</v>
      </c>
      <c r="Q74" s="268">
        <f t="shared" si="30"/>
        <v>0</v>
      </c>
      <c r="R74" s="268">
        <f t="shared" si="30"/>
        <v>0</v>
      </c>
      <c r="S74" s="269">
        <f>+SUM(C74:R74)</f>
        <v>2072</v>
      </c>
      <c r="T74" s="361"/>
    </row>
    <row r="75" spans="1:20" ht="13.5" thickBot="1">
      <c r="A75" s="251" t="s">
        <v>109</v>
      </c>
      <c r="B75" s="261"/>
      <c r="C75" s="268">
        <f aca="true" t="shared" si="31" ref="C75:R75">+ROUND(C9/$B9,0)</f>
        <v>-10</v>
      </c>
      <c r="D75" s="268">
        <f t="shared" si="31"/>
        <v>-2</v>
      </c>
      <c r="E75" s="268">
        <f t="shared" si="31"/>
        <v>12</v>
      </c>
      <c r="F75" s="268">
        <f t="shared" si="31"/>
        <v>11</v>
      </c>
      <c r="G75" s="268">
        <f t="shared" si="31"/>
        <v>16</v>
      </c>
      <c r="H75" s="268">
        <f t="shared" si="31"/>
        <v>7</v>
      </c>
      <c r="I75" s="268">
        <f t="shared" si="31"/>
        <v>5</v>
      </c>
      <c r="J75" s="268">
        <f t="shared" si="31"/>
        <v>0</v>
      </c>
      <c r="K75" s="268">
        <f t="shared" si="31"/>
        <v>0</v>
      </c>
      <c r="L75" s="268">
        <f t="shared" si="31"/>
        <v>0</v>
      </c>
      <c r="M75" s="268">
        <f t="shared" si="31"/>
        <v>0</v>
      </c>
      <c r="N75" s="268">
        <f t="shared" si="31"/>
        <v>0</v>
      </c>
      <c r="O75" s="268">
        <f t="shared" si="31"/>
        <v>0</v>
      </c>
      <c r="P75" s="268">
        <f t="shared" si="31"/>
        <v>0</v>
      </c>
      <c r="Q75" s="268">
        <f t="shared" si="31"/>
        <v>0</v>
      </c>
      <c r="R75" s="268">
        <f t="shared" si="31"/>
        <v>0</v>
      </c>
      <c r="S75" s="269">
        <f aca="true" t="shared" si="32" ref="S75:S81">+SUM(C75:R75)</f>
        <v>39</v>
      </c>
      <c r="T75" s="361"/>
    </row>
    <row r="76" spans="1:20" ht="13.5" thickBot="1">
      <c r="A76" s="251" t="s">
        <v>110</v>
      </c>
      <c r="B76" s="261"/>
      <c r="C76" s="268">
        <f aca="true" t="shared" si="33" ref="C76:R76">+ROUND(C10/$B10,0)</f>
        <v>-59</v>
      </c>
      <c r="D76" s="268">
        <f t="shared" si="33"/>
        <v>-13</v>
      </c>
      <c r="E76" s="268">
        <f t="shared" si="33"/>
        <v>69</v>
      </c>
      <c r="F76" s="268">
        <f t="shared" si="33"/>
        <v>71</v>
      </c>
      <c r="G76" s="268">
        <f t="shared" si="33"/>
        <v>77</v>
      </c>
      <c r="H76" s="268">
        <f t="shared" si="33"/>
        <v>47</v>
      </c>
      <c r="I76" s="268">
        <f t="shared" si="33"/>
        <v>22</v>
      </c>
      <c r="J76" s="268">
        <f t="shared" si="33"/>
        <v>0</v>
      </c>
      <c r="K76" s="268">
        <f t="shared" si="33"/>
        <v>0</v>
      </c>
      <c r="L76" s="268">
        <f t="shared" si="33"/>
        <v>0</v>
      </c>
      <c r="M76" s="268">
        <f t="shared" si="33"/>
        <v>0</v>
      </c>
      <c r="N76" s="268">
        <f t="shared" si="33"/>
        <v>0</v>
      </c>
      <c r="O76" s="268">
        <f t="shared" si="33"/>
        <v>0</v>
      </c>
      <c r="P76" s="268">
        <f t="shared" si="33"/>
        <v>0</v>
      </c>
      <c r="Q76" s="268">
        <f t="shared" si="33"/>
        <v>0</v>
      </c>
      <c r="R76" s="268">
        <f t="shared" si="33"/>
        <v>0</v>
      </c>
      <c r="S76" s="269">
        <f t="shared" si="32"/>
        <v>214</v>
      </c>
      <c r="T76" s="361"/>
    </row>
    <row r="77" spans="1:20" ht="13.5" thickBot="1">
      <c r="A77" s="251" t="s">
        <v>111</v>
      </c>
      <c r="B77" s="261"/>
      <c r="C77" s="268">
        <f aca="true" t="shared" si="34" ref="C77:R77">+ROUND(C11/$B11,0)</f>
        <v>-5</v>
      </c>
      <c r="D77" s="268">
        <f t="shared" si="34"/>
        <v>0</v>
      </c>
      <c r="E77" s="268">
        <f t="shared" si="34"/>
        <v>5</v>
      </c>
      <c r="F77" s="268">
        <f t="shared" si="34"/>
        <v>5</v>
      </c>
      <c r="G77" s="268">
        <f t="shared" si="34"/>
        <v>6</v>
      </c>
      <c r="H77" s="268">
        <f t="shared" si="34"/>
        <v>6</v>
      </c>
      <c r="I77" s="268">
        <f t="shared" si="34"/>
        <v>0</v>
      </c>
      <c r="J77" s="268">
        <f t="shared" si="34"/>
        <v>0</v>
      </c>
      <c r="K77" s="268">
        <f t="shared" si="34"/>
        <v>0</v>
      </c>
      <c r="L77" s="268">
        <f t="shared" si="34"/>
        <v>0</v>
      </c>
      <c r="M77" s="268">
        <f t="shared" si="34"/>
        <v>0</v>
      </c>
      <c r="N77" s="268">
        <f t="shared" si="34"/>
        <v>0</v>
      </c>
      <c r="O77" s="268">
        <f t="shared" si="34"/>
        <v>0</v>
      </c>
      <c r="P77" s="268">
        <f t="shared" si="34"/>
        <v>0</v>
      </c>
      <c r="Q77" s="268">
        <f t="shared" si="34"/>
        <v>0</v>
      </c>
      <c r="R77" s="268">
        <f t="shared" si="34"/>
        <v>0</v>
      </c>
      <c r="S77" s="269">
        <f t="shared" si="32"/>
        <v>17</v>
      </c>
      <c r="T77" s="361"/>
    </row>
    <row r="78" spans="1:20" ht="13.5" thickBot="1">
      <c r="A78" s="251" t="s">
        <v>112</v>
      </c>
      <c r="B78" s="261"/>
      <c r="C78" s="268">
        <f aca="true" t="shared" si="35" ref="C78:R78">+ROUND(C12/$B12,0)</f>
        <v>-5</v>
      </c>
      <c r="D78" s="268">
        <f t="shared" si="35"/>
        <v>0</v>
      </c>
      <c r="E78" s="268">
        <f t="shared" si="35"/>
        <v>5</v>
      </c>
      <c r="F78" s="268">
        <f t="shared" si="35"/>
        <v>5</v>
      </c>
      <c r="G78" s="268">
        <f t="shared" si="35"/>
        <v>5</v>
      </c>
      <c r="H78" s="268">
        <f t="shared" si="35"/>
        <v>5</v>
      </c>
      <c r="I78" s="268">
        <f t="shared" si="35"/>
        <v>5</v>
      </c>
      <c r="J78" s="268">
        <f t="shared" si="35"/>
        <v>0</v>
      </c>
      <c r="K78" s="268">
        <f t="shared" si="35"/>
        <v>0</v>
      </c>
      <c r="L78" s="268">
        <f t="shared" si="35"/>
        <v>0</v>
      </c>
      <c r="M78" s="268">
        <f t="shared" si="35"/>
        <v>0</v>
      </c>
      <c r="N78" s="268">
        <f t="shared" si="35"/>
        <v>0</v>
      </c>
      <c r="O78" s="268">
        <f t="shared" si="35"/>
        <v>0</v>
      </c>
      <c r="P78" s="268">
        <f t="shared" si="35"/>
        <v>0</v>
      </c>
      <c r="Q78" s="268">
        <f t="shared" si="35"/>
        <v>0</v>
      </c>
      <c r="R78" s="268">
        <f t="shared" si="35"/>
        <v>0</v>
      </c>
      <c r="S78" s="269">
        <f t="shared" si="32"/>
        <v>20</v>
      </c>
      <c r="T78" s="361"/>
    </row>
    <row r="79" spans="1:20" ht="13.5" thickBot="1">
      <c r="A79" s="251" t="s">
        <v>113</v>
      </c>
      <c r="B79" s="261"/>
      <c r="C79" s="268">
        <f aca="true" t="shared" si="36" ref="C79:R79">+ROUND(C13/$B13,0)</f>
        <v>0</v>
      </c>
      <c r="D79" s="268">
        <f t="shared" si="36"/>
        <v>0</v>
      </c>
      <c r="E79" s="268">
        <f t="shared" si="36"/>
        <v>0</v>
      </c>
      <c r="F79" s="268">
        <f t="shared" si="36"/>
        <v>0</v>
      </c>
      <c r="G79" s="268">
        <f t="shared" si="36"/>
        <v>0</v>
      </c>
      <c r="H79" s="268">
        <f t="shared" si="36"/>
        <v>0</v>
      </c>
      <c r="I79" s="268">
        <f t="shared" si="36"/>
        <v>0</v>
      </c>
      <c r="J79" s="268">
        <f t="shared" si="36"/>
        <v>0</v>
      </c>
      <c r="K79" s="268">
        <f t="shared" si="36"/>
        <v>0</v>
      </c>
      <c r="L79" s="268">
        <f t="shared" si="36"/>
        <v>0</v>
      </c>
      <c r="M79" s="268">
        <f t="shared" si="36"/>
        <v>0</v>
      </c>
      <c r="N79" s="268">
        <f t="shared" si="36"/>
        <v>0</v>
      </c>
      <c r="O79" s="268">
        <f t="shared" si="36"/>
        <v>0</v>
      </c>
      <c r="P79" s="268">
        <f t="shared" si="36"/>
        <v>0</v>
      </c>
      <c r="Q79" s="268">
        <f t="shared" si="36"/>
        <v>0</v>
      </c>
      <c r="R79" s="268">
        <f t="shared" si="36"/>
        <v>0</v>
      </c>
      <c r="S79" s="269">
        <f t="shared" si="32"/>
        <v>0</v>
      </c>
      <c r="T79" s="361"/>
    </row>
    <row r="80" spans="1:20" ht="13.5" thickBot="1">
      <c r="A80" s="251" t="s">
        <v>114</v>
      </c>
      <c r="B80" s="261"/>
      <c r="C80" s="268">
        <f aca="true" t="shared" si="37" ref="C80:R80">+ROUND(C14/$B14,0)</f>
        <v>-1</v>
      </c>
      <c r="D80" s="268">
        <f t="shared" si="37"/>
        <v>0</v>
      </c>
      <c r="E80" s="268">
        <f t="shared" si="37"/>
        <v>1</v>
      </c>
      <c r="F80" s="268">
        <f t="shared" si="37"/>
        <v>1</v>
      </c>
      <c r="G80" s="268">
        <f t="shared" si="37"/>
        <v>1</v>
      </c>
      <c r="H80" s="268">
        <f t="shared" si="37"/>
        <v>1</v>
      </c>
      <c r="I80" s="268">
        <f t="shared" si="37"/>
        <v>0</v>
      </c>
      <c r="J80" s="268">
        <f t="shared" si="37"/>
        <v>0</v>
      </c>
      <c r="K80" s="268">
        <f t="shared" si="37"/>
        <v>0</v>
      </c>
      <c r="L80" s="268">
        <f t="shared" si="37"/>
        <v>0</v>
      </c>
      <c r="M80" s="268">
        <f t="shared" si="37"/>
        <v>0</v>
      </c>
      <c r="N80" s="268">
        <f t="shared" si="37"/>
        <v>0</v>
      </c>
      <c r="O80" s="268">
        <f t="shared" si="37"/>
        <v>0</v>
      </c>
      <c r="P80" s="268">
        <f t="shared" si="37"/>
        <v>0</v>
      </c>
      <c r="Q80" s="268">
        <f t="shared" si="37"/>
        <v>0</v>
      </c>
      <c r="R80" s="268">
        <f t="shared" si="37"/>
        <v>0</v>
      </c>
      <c r="S80" s="269">
        <f t="shared" si="32"/>
        <v>3</v>
      </c>
      <c r="T80" s="361"/>
    </row>
    <row r="81" spans="1:20" ht="12.75">
      <c r="A81" s="251" t="s">
        <v>115</v>
      </c>
      <c r="B81" s="261"/>
      <c r="C81" s="268">
        <f aca="true" t="shared" si="38" ref="C81:R81">+ROUND(C15/$B15,0)</f>
        <v>-295</v>
      </c>
      <c r="D81" s="268">
        <f t="shared" si="38"/>
        <v>7</v>
      </c>
      <c r="E81" s="268">
        <f t="shared" si="38"/>
        <v>310</v>
      </c>
      <c r="F81" s="268">
        <f t="shared" si="38"/>
        <v>91</v>
      </c>
      <c r="G81" s="268">
        <f t="shared" si="38"/>
        <v>161</v>
      </c>
      <c r="H81" s="268">
        <f t="shared" si="38"/>
        <v>104</v>
      </c>
      <c r="I81" s="268">
        <f t="shared" si="38"/>
        <v>53</v>
      </c>
      <c r="J81" s="268">
        <f t="shared" si="38"/>
        <v>1</v>
      </c>
      <c r="K81" s="268">
        <f t="shared" si="38"/>
        <v>0</v>
      </c>
      <c r="L81" s="268">
        <f t="shared" si="38"/>
        <v>0</v>
      </c>
      <c r="M81" s="268">
        <f t="shared" si="38"/>
        <v>0</v>
      </c>
      <c r="N81" s="268">
        <f t="shared" si="38"/>
        <v>0</v>
      </c>
      <c r="O81" s="268">
        <f t="shared" si="38"/>
        <v>0</v>
      </c>
      <c r="P81" s="268">
        <f t="shared" si="38"/>
        <v>0</v>
      </c>
      <c r="Q81" s="268">
        <f t="shared" si="38"/>
        <v>0</v>
      </c>
      <c r="R81" s="268">
        <f t="shared" si="38"/>
        <v>0</v>
      </c>
      <c r="S81" s="269">
        <f t="shared" si="32"/>
        <v>432</v>
      </c>
      <c r="T81" s="361"/>
    </row>
    <row r="82" spans="1:20" ht="12.75">
      <c r="A82" s="251"/>
      <c r="B82" s="261"/>
      <c r="C82" s="269">
        <f aca="true" t="shared" si="39" ref="C82:S82">+SUM(C73:C81)</f>
        <v>-5025</v>
      </c>
      <c r="D82" s="269">
        <f t="shared" si="39"/>
        <v>-901</v>
      </c>
      <c r="E82" s="269">
        <f t="shared" si="39"/>
        <v>5885</v>
      </c>
      <c r="F82" s="269">
        <f t="shared" si="39"/>
        <v>6022</v>
      </c>
      <c r="G82" s="269">
        <f t="shared" si="39"/>
        <v>7160</v>
      </c>
      <c r="H82" s="269">
        <f t="shared" si="39"/>
        <v>3943</v>
      </c>
      <c r="I82" s="269">
        <f t="shared" si="39"/>
        <v>1846</v>
      </c>
      <c r="J82" s="269">
        <f t="shared" si="39"/>
        <v>2</v>
      </c>
      <c r="K82" s="269">
        <f t="shared" si="39"/>
        <v>0</v>
      </c>
      <c r="L82" s="269">
        <f t="shared" si="39"/>
        <v>0</v>
      </c>
      <c r="M82" s="269">
        <f t="shared" si="39"/>
        <v>0</v>
      </c>
      <c r="N82" s="269">
        <f t="shared" si="39"/>
        <v>0</v>
      </c>
      <c r="O82" s="269">
        <f t="shared" si="39"/>
        <v>0</v>
      </c>
      <c r="P82" s="269">
        <f t="shared" si="39"/>
        <v>0</v>
      </c>
      <c r="Q82" s="269">
        <f t="shared" si="39"/>
        <v>0</v>
      </c>
      <c r="R82" s="269">
        <f t="shared" si="39"/>
        <v>0</v>
      </c>
      <c r="S82" s="269">
        <f t="shared" si="39"/>
        <v>18932</v>
      </c>
      <c r="T82" s="362"/>
    </row>
    <row r="84" ht="12.75">
      <c r="C84" s="255"/>
    </row>
    <row r="85" spans="1:19" ht="13.5" thickBot="1">
      <c r="A85" s="253" t="s">
        <v>129</v>
      </c>
      <c r="C85" t="s">
        <v>117</v>
      </c>
      <c r="D85" t="s">
        <v>118</v>
      </c>
      <c r="E85" t="s">
        <v>119</v>
      </c>
      <c r="F85" t="s">
        <v>37</v>
      </c>
      <c r="G85" t="s">
        <v>38</v>
      </c>
      <c r="H85" t="s">
        <v>39</v>
      </c>
      <c r="I85" t="s">
        <v>40</v>
      </c>
      <c r="J85" t="s">
        <v>41</v>
      </c>
      <c r="K85" t="s">
        <v>42</v>
      </c>
      <c r="L85" t="s">
        <v>43</v>
      </c>
      <c r="M85" t="s">
        <v>44</v>
      </c>
      <c r="N85" t="s">
        <v>45</v>
      </c>
      <c r="O85" t="s">
        <v>46</v>
      </c>
      <c r="P85" t="s">
        <v>47</v>
      </c>
      <c r="Q85" t="s">
        <v>120</v>
      </c>
      <c r="R85" t="s">
        <v>121</v>
      </c>
      <c r="S85" t="s">
        <v>18</v>
      </c>
    </row>
    <row r="86" spans="1:20" ht="13.5" thickBot="1">
      <c r="A86" s="250" t="s">
        <v>107</v>
      </c>
      <c r="B86" t="s">
        <v>116</v>
      </c>
      <c r="C86" s="268">
        <f>+ROUND(((C20/$B20)+(C33/$B33)),0)</f>
        <v>-3678254</v>
      </c>
      <c r="D86" s="268">
        <f aca="true" t="shared" si="40" ref="D86:R86">+ROUND(((D20/$B20)+(D33/$B33)),0)</f>
        <v>-907231</v>
      </c>
      <c r="E86" s="268">
        <f t="shared" si="40"/>
        <v>4430315</v>
      </c>
      <c r="F86" s="268">
        <f t="shared" si="40"/>
        <v>5053338</v>
      </c>
      <c r="G86" s="268">
        <f t="shared" si="40"/>
        <v>4745438</v>
      </c>
      <c r="H86" s="268">
        <f t="shared" si="40"/>
        <v>2579980</v>
      </c>
      <c r="I86" s="268">
        <f t="shared" si="40"/>
        <v>4702170</v>
      </c>
      <c r="J86" s="268">
        <f t="shared" si="40"/>
        <v>3699129</v>
      </c>
      <c r="K86" s="268">
        <f t="shared" si="40"/>
        <v>3840755</v>
      </c>
      <c r="L86" s="268">
        <f t="shared" si="40"/>
        <v>4249715</v>
      </c>
      <c r="M86" s="268">
        <f t="shared" si="40"/>
        <v>3999280</v>
      </c>
      <c r="N86" s="268">
        <f t="shared" si="40"/>
        <v>3734970</v>
      </c>
      <c r="O86" s="268">
        <f t="shared" si="40"/>
        <v>3680310</v>
      </c>
      <c r="P86" s="268">
        <f t="shared" si="40"/>
        <v>4103065</v>
      </c>
      <c r="Q86" s="268">
        <f t="shared" si="40"/>
        <v>3493720</v>
      </c>
      <c r="R86" s="268">
        <f t="shared" si="40"/>
        <v>749610</v>
      </c>
      <c r="S86" s="268">
        <f>+SUM(C86:R86)</f>
        <v>48476310</v>
      </c>
      <c r="T86" s="261"/>
    </row>
    <row r="87" spans="1:20" ht="13.5" thickBot="1">
      <c r="A87" s="251" t="s">
        <v>108</v>
      </c>
      <c r="B87" t="s">
        <v>116</v>
      </c>
      <c r="C87" s="268">
        <f aca="true" t="shared" si="41" ref="C87:R94">+ROUND(((C21/$B21)+(C34/$B34)),0)</f>
        <v>-1891125</v>
      </c>
      <c r="D87" s="268">
        <f t="shared" si="41"/>
        <v>-360500</v>
      </c>
      <c r="E87" s="268">
        <f t="shared" si="41"/>
        <v>2295500</v>
      </c>
      <c r="F87" s="268">
        <f t="shared" si="41"/>
        <v>2486788</v>
      </c>
      <c r="G87" s="268">
        <f t="shared" si="41"/>
        <v>2444713</v>
      </c>
      <c r="H87" s="268">
        <f t="shared" si="41"/>
        <v>1616166</v>
      </c>
      <c r="I87" s="268">
        <f t="shared" si="41"/>
        <v>2734277</v>
      </c>
      <c r="J87" s="268">
        <f t="shared" si="41"/>
        <v>2128992</v>
      </c>
      <c r="K87" s="268">
        <f t="shared" si="41"/>
        <v>2231098</v>
      </c>
      <c r="L87" s="268">
        <f t="shared" si="41"/>
        <v>2320000</v>
      </c>
      <c r="M87" s="268">
        <f t="shared" si="41"/>
        <v>2293615</v>
      </c>
      <c r="N87" s="268">
        <f t="shared" si="41"/>
        <v>2140262</v>
      </c>
      <c r="O87" s="268">
        <f t="shared" si="41"/>
        <v>1996770</v>
      </c>
      <c r="P87" s="268">
        <f t="shared" si="41"/>
        <v>2207951</v>
      </c>
      <c r="Q87" s="268">
        <f t="shared" si="41"/>
        <v>1755246</v>
      </c>
      <c r="R87" s="268">
        <f t="shared" si="41"/>
        <v>369164</v>
      </c>
      <c r="S87" s="269">
        <f>+SUM(C87:R87)</f>
        <v>26768917</v>
      </c>
      <c r="T87" s="261"/>
    </row>
    <row r="88" spans="1:20" ht="13.5" thickBot="1">
      <c r="A88" s="251" t="s">
        <v>109</v>
      </c>
      <c r="B88" t="s">
        <v>116</v>
      </c>
      <c r="C88" s="268">
        <f t="shared" si="41"/>
        <v>-1513</v>
      </c>
      <c r="D88" s="268">
        <f t="shared" si="41"/>
        <v>-1363</v>
      </c>
      <c r="E88" s="268">
        <f t="shared" si="41"/>
        <v>1700</v>
      </c>
      <c r="F88" s="268">
        <f t="shared" si="41"/>
        <v>3375</v>
      </c>
      <c r="G88" s="268">
        <f t="shared" si="41"/>
        <v>4538</v>
      </c>
      <c r="H88" s="268">
        <f t="shared" si="41"/>
        <v>1838</v>
      </c>
      <c r="I88" s="268">
        <f t="shared" si="41"/>
        <v>2072</v>
      </c>
      <c r="J88" s="268">
        <f t="shared" si="41"/>
        <v>2402</v>
      </c>
      <c r="K88" s="268">
        <f t="shared" si="41"/>
        <v>1607</v>
      </c>
      <c r="L88" s="268">
        <f t="shared" si="41"/>
        <v>1525</v>
      </c>
      <c r="M88" s="268">
        <f t="shared" si="41"/>
        <v>1484</v>
      </c>
      <c r="N88" s="268">
        <f t="shared" si="41"/>
        <v>1582</v>
      </c>
      <c r="O88" s="268">
        <f t="shared" si="41"/>
        <v>2402</v>
      </c>
      <c r="P88" s="268">
        <f t="shared" si="41"/>
        <v>2221</v>
      </c>
      <c r="Q88" s="268">
        <f t="shared" si="41"/>
        <v>1852</v>
      </c>
      <c r="R88" s="268">
        <f t="shared" si="41"/>
        <v>508</v>
      </c>
      <c r="S88" s="269">
        <f aca="true" t="shared" si="42" ref="S88:S94">+SUM(C88:R88)</f>
        <v>26230</v>
      </c>
      <c r="T88" s="261"/>
    </row>
    <row r="89" spans="1:20" ht="13.5" thickBot="1">
      <c r="A89" s="251" t="s">
        <v>110</v>
      </c>
      <c r="B89" t="s">
        <v>20</v>
      </c>
      <c r="C89" s="268">
        <f t="shared" si="41"/>
        <v>-8734</v>
      </c>
      <c r="D89" s="268">
        <f t="shared" si="41"/>
        <v>-1958</v>
      </c>
      <c r="E89" s="268">
        <f t="shared" si="41"/>
        <v>9900</v>
      </c>
      <c r="F89" s="268">
        <f t="shared" si="41"/>
        <v>10502</v>
      </c>
      <c r="G89" s="268">
        <f t="shared" si="41"/>
        <v>11075</v>
      </c>
      <c r="H89" s="268">
        <f t="shared" si="41"/>
        <v>7211</v>
      </c>
      <c r="I89" s="268">
        <f t="shared" si="41"/>
        <v>12625</v>
      </c>
      <c r="J89" s="268">
        <f t="shared" si="41"/>
        <v>17542</v>
      </c>
      <c r="K89" s="268">
        <f t="shared" si="41"/>
        <v>10692</v>
      </c>
      <c r="L89" s="268">
        <f t="shared" si="41"/>
        <v>9989</v>
      </c>
      <c r="M89" s="268">
        <f t="shared" si="41"/>
        <v>9091</v>
      </c>
      <c r="N89" s="268">
        <f t="shared" si="41"/>
        <v>11425</v>
      </c>
      <c r="O89" s="268">
        <f t="shared" si="41"/>
        <v>10651</v>
      </c>
      <c r="P89" s="268">
        <f t="shared" si="41"/>
        <v>13767</v>
      </c>
      <c r="Q89" s="268">
        <f t="shared" si="41"/>
        <v>9257</v>
      </c>
      <c r="R89" s="268">
        <f t="shared" si="41"/>
        <v>2106</v>
      </c>
      <c r="S89" s="269">
        <f t="shared" si="42"/>
        <v>135141</v>
      </c>
      <c r="T89" s="261"/>
    </row>
    <row r="90" spans="1:20" ht="13.5" thickBot="1">
      <c r="A90" s="251" t="s">
        <v>111</v>
      </c>
      <c r="B90" t="s">
        <v>20</v>
      </c>
      <c r="C90" s="268">
        <f t="shared" si="41"/>
        <v>-2479</v>
      </c>
      <c r="D90" s="268">
        <f t="shared" si="41"/>
        <v>0</v>
      </c>
      <c r="E90" s="268">
        <f t="shared" si="41"/>
        <v>2479</v>
      </c>
      <c r="F90" s="268">
        <f t="shared" si="41"/>
        <v>2588</v>
      </c>
      <c r="G90" s="268">
        <f t="shared" si="41"/>
        <v>3090</v>
      </c>
      <c r="H90" s="268">
        <f t="shared" si="41"/>
        <v>3126</v>
      </c>
      <c r="I90" s="268">
        <f t="shared" si="41"/>
        <v>2163</v>
      </c>
      <c r="J90" s="268">
        <f t="shared" si="41"/>
        <v>2347</v>
      </c>
      <c r="K90" s="268">
        <f t="shared" si="41"/>
        <v>2397</v>
      </c>
      <c r="L90" s="268">
        <f t="shared" si="41"/>
        <v>2446</v>
      </c>
      <c r="M90" s="268">
        <f t="shared" si="41"/>
        <v>2540</v>
      </c>
      <c r="N90" s="268">
        <f t="shared" si="41"/>
        <v>8891</v>
      </c>
      <c r="O90" s="268">
        <f t="shared" si="41"/>
        <v>3243</v>
      </c>
      <c r="P90" s="268">
        <f t="shared" si="41"/>
        <v>2973</v>
      </c>
      <c r="Q90" s="268">
        <f t="shared" si="41"/>
        <v>2924</v>
      </c>
      <c r="R90" s="268">
        <f t="shared" si="41"/>
        <v>0</v>
      </c>
      <c r="S90" s="269">
        <f t="shared" si="42"/>
        <v>38728</v>
      </c>
      <c r="T90" s="261"/>
    </row>
    <row r="91" spans="1:20" ht="13.5" thickBot="1">
      <c r="A91" s="251" t="s">
        <v>112</v>
      </c>
      <c r="B91" t="s">
        <v>20</v>
      </c>
      <c r="C91" s="268">
        <f t="shared" si="41"/>
        <v>-15008</v>
      </c>
      <c r="D91" s="268">
        <f t="shared" si="41"/>
        <v>0</v>
      </c>
      <c r="E91" s="268">
        <f t="shared" si="41"/>
        <v>15008</v>
      </c>
      <c r="F91" s="268">
        <f t="shared" si="41"/>
        <v>15385</v>
      </c>
      <c r="G91" s="268">
        <f t="shared" si="41"/>
        <v>15362</v>
      </c>
      <c r="H91" s="268">
        <f t="shared" si="41"/>
        <v>14823</v>
      </c>
      <c r="I91" s="268">
        <f t="shared" si="41"/>
        <v>14915</v>
      </c>
      <c r="J91" s="268">
        <f t="shared" si="41"/>
        <v>10015</v>
      </c>
      <c r="K91" s="268">
        <f t="shared" si="41"/>
        <v>-16474</v>
      </c>
      <c r="L91" s="268">
        <f t="shared" si="41"/>
        <v>36143</v>
      </c>
      <c r="M91" s="268">
        <f t="shared" si="41"/>
        <v>10000</v>
      </c>
      <c r="N91" s="268">
        <f t="shared" si="41"/>
        <v>40438</v>
      </c>
      <c r="O91" s="268">
        <f t="shared" si="41"/>
        <v>14671</v>
      </c>
      <c r="P91" s="268">
        <f t="shared" si="41"/>
        <v>14791</v>
      </c>
      <c r="Q91" s="268">
        <f t="shared" si="41"/>
        <v>14649</v>
      </c>
      <c r="R91" s="268">
        <f t="shared" si="41"/>
        <v>0</v>
      </c>
      <c r="S91" s="269">
        <f t="shared" si="42"/>
        <v>184718</v>
      </c>
      <c r="T91" s="261"/>
    </row>
    <row r="92" spans="1:20" ht="13.5" thickBot="1">
      <c r="A92" s="251" t="s">
        <v>113</v>
      </c>
      <c r="B92" t="s">
        <v>20</v>
      </c>
      <c r="C92" s="268">
        <f t="shared" si="41"/>
        <v>0</v>
      </c>
      <c r="D92" s="268">
        <f t="shared" si="41"/>
        <v>0</v>
      </c>
      <c r="E92" s="268">
        <f t="shared" si="41"/>
        <v>0</v>
      </c>
      <c r="F92" s="268">
        <f t="shared" si="41"/>
        <v>0</v>
      </c>
      <c r="G92" s="268">
        <f t="shared" si="41"/>
        <v>0</v>
      </c>
      <c r="H92" s="268">
        <f t="shared" si="41"/>
        <v>3959</v>
      </c>
      <c r="I92" s="268">
        <f t="shared" si="41"/>
        <v>0</v>
      </c>
      <c r="J92" s="268">
        <f t="shared" si="41"/>
        <v>0</v>
      </c>
      <c r="K92" s="268">
        <f t="shared" si="41"/>
        <v>0</v>
      </c>
      <c r="L92" s="268">
        <f t="shared" si="41"/>
        <v>0</v>
      </c>
      <c r="M92" s="268">
        <f t="shared" si="41"/>
        <v>0</v>
      </c>
      <c r="N92" s="268">
        <f t="shared" si="41"/>
        <v>0</v>
      </c>
      <c r="O92" s="268">
        <f t="shared" si="41"/>
        <v>0</v>
      </c>
      <c r="P92" s="268">
        <f t="shared" si="41"/>
        <v>0</v>
      </c>
      <c r="Q92" s="268">
        <f t="shared" si="41"/>
        <v>0</v>
      </c>
      <c r="R92" s="268">
        <f t="shared" si="41"/>
        <v>0</v>
      </c>
      <c r="S92" s="269">
        <f t="shared" si="42"/>
        <v>3959</v>
      </c>
      <c r="T92" s="261"/>
    </row>
    <row r="93" spans="1:20" ht="13.5" thickBot="1">
      <c r="A93" s="251" t="s">
        <v>114</v>
      </c>
      <c r="B93" t="s">
        <v>20</v>
      </c>
      <c r="C93" s="268">
        <f t="shared" si="41"/>
        <v>-309</v>
      </c>
      <c r="D93" s="268">
        <f t="shared" si="41"/>
        <v>0</v>
      </c>
      <c r="E93" s="268">
        <f t="shared" si="41"/>
        <v>309</v>
      </c>
      <c r="F93" s="268">
        <f t="shared" si="41"/>
        <v>309</v>
      </c>
      <c r="G93" s="268">
        <f t="shared" si="41"/>
        <v>309</v>
      </c>
      <c r="H93" s="268">
        <f t="shared" si="41"/>
        <v>28</v>
      </c>
      <c r="I93" s="268">
        <f t="shared" si="41"/>
        <v>309</v>
      </c>
      <c r="J93" s="268">
        <f t="shared" si="41"/>
        <v>309</v>
      </c>
      <c r="K93" s="268">
        <f t="shared" si="41"/>
        <v>309</v>
      </c>
      <c r="L93" s="268">
        <f t="shared" si="41"/>
        <v>309</v>
      </c>
      <c r="M93" s="268">
        <f t="shared" si="41"/>
        <v>309</v>
      </c>
      <c r="N93" s="268">
        <f t="shared" si="41"/>
        <v>309</v>
      </c>
      <c r="O93" s="268">
        <f t="shared" si="41"/>
        <v>309</v>
      </c>
      <c r="P93" s="268">
        <f t="shared" si="41"/>
        <v>309</v>
      </c>
      <c r="Q93" s="268">
        <f t="shared" si="41"/>
        <v>315</v>
      </c>
      <c r="R93" s="268">
        <f t="shared" si="41"/>
        <v>0</v>
      </c>
      <c r="S93" s="269">
        <f t="shared" si="42"/>
        <v>3433</v>
      </c>
      <c r="T93" s="261"/>
    </row>
    <row r="94" spans="1:20" ht="12.75">
      <c r="A94" s="251" t="s">
        <v>115</v>
      </c>
      <c r="B94" t="s">
        <v>20</v>
      </c>
      <c r="C94" s="268">
        <f t="shared" si="41"/>
        <v>-73</v>
      </c>
      <c r="D94" s="268">
        <f t="shared" si="41"/>
        <v>-5</v>
      </c>
      <c r="E94" s="268">
        <f t="shared" si="41"/>
        <v>77</v>
      </c>
      <c r="F94" s="268">
        <f t="shared" si="41"/>
        <v>23</v>
      </c>
      <c r="G94" s="268">
        <f t="shared" si="41"/>
        <v>29</v>
      </c>
      <c r="H94" s="268">
        <f t="shared" si="41"/>
        <v>0</v>
      </c>
      <c r="I94" s="268">
        <f t="shared" si="41"/>
        <v>33</v>
      </c>
      <c r="J94" s="268">
        <f t="shared" si="41"/>
        <v>25</v>
      </c>
      <c r="K94" s="268">
        <f t="shared" si="41"/>
        <v>25</v>
      </c>
      <c r="L94" s="268">
        <f t="shared" si="41"/>
        <v>25</v>
      </c>
      <c r="M94" s="268">
        <f t="shared" si="41"/>
        <v>25</v>
      </c>
      <c r="N94" s="268">
        <f t="shared" si="41"/>
        <v>24</v>
      </c>
      <c r="O94" s="268">
        <f t="shared" si="41"/>
        <v>26</v>
      </c>
      <c r="P94" s="268">
        <f t="shared" si="41"/>
        <v>27</v>
      </c>
      <c r="Q94" s="268">
        <f t="shared" si="41"/>
        <v>71</v>
      </c>
      <c r="R94" s="268">
        <f t="shared" si="41"/>
        <v>6</v>
      </c>
      <c r="S94" s="269">
        <f t="shared" si="42"/>
        <v>338</v>
      </c>
      <c r="T94" s="261"/>
    </row>
    <row r="95" spans="1:20" ht="12.75">
      <c r="A95" s="251"/>
      <c r="C95" s="269"/>
      <c r="D95" s="269"/>
      <c r="E95" s="269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1"/>
    </row>
  </sheetData>
  <sheetProtection/>
  <printOptions/>
  <pageMargins left="0.3" right="0.3" top="0.3" bottom="0.3" header="0.2" footer="0.2"/>
  <pageSetup horizontalDpi="600" verticalDpi="600" orientation="landscape" paperSize="5" scale="67" r:id="rId3"/>
  <headerFooter>
    <oddHeader>&amp;RTillsonburg Hydro Inc.
</oddHeader>
    <oddFooter>&amp;L&amp;A</oddFooter>
  </headerFooter>
  <rowBreaks count="1" manualBreakCount="1">
    <brk id="57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69"/>
  <sheetViews>
    <sheetView zoomScalePageLayoutView="0" workbookViewId="0" topLeftCell="A1">
      <selection activeCell="D80" sqref="D79:D80"/>
    </sheetView>
  </sheetViews>
  <sheetFormatPr defaultColWidth="9.140625" defaultRowHeight="12.75"/>
  <cols>
    <col min="1" max="1" width="23.57421875" style="0" bestFit="1" customWidth="1"/>
    <col min="2" max="2" width="10.421875" style="0" customWidth="1"/>
    <col min="3" max="20" width="12.140625" style="0" customWidth="1"/>
  </cols>
  <sheetData>
    <row r="5" ht="12.75">
      <c r="A5" s="252">
        <v>2003</v>
      </c>
    </row>
    <row r="6" spans="1:19" ht="13.5" thickBot="1">
      <c r="A6" s="253" t="s">
        <v>122</v>
      </c>
      <c r="B6" s="253" t="s">
        <v>28</v>
      </c>
      <c r="C6" t="s">
        <v>117</v>
      </c>
      <c r="D6" t="s">
        <v>118</v>
      </c>
      <c r="E6" t="s">
        <v>119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t="s">
        <v>43</v>
      </c>
      <c r="M6" t="s">
        <v>44</v>
      </c>
      <c r="N6" t="s">
        <v>45</v>
      </c>
      <c r="O6" t="s">
        <v>46</v>
      </c>
      <c r="P6" t="s">
        <v>47</v>
      </c>
      <c r="Q6" t="s">
        <v>120</v>
      </c>
      <c r="R6" t="s">
        <v>121</v>
      </c>
      <c r="S6" t="s">
        <v>18</v>
      </c>
    </row>
    <row r="7" spans="1:19" ht="12.75">
      <c r="A7" s="250" t="s">
        <v>107</v>
      </c>
      <c r="B7" s="263">
        <v>1.07</v>
      </c>
      <c r="C7" s="263">
        <v>-6409.077439999999</v>
      </c>
      <c r="D7" s="263">
        <v>-1089.0105371428572</v>
      </c>
      <c r="E7" s="263">
        <v>7134.70744</v>
      </c>
      <c r="F7" s="263">
        <v>6205.4805371428565</v>
      </c>
      <c r="G7" s="263">
        <v>5443.656925714285</v>
      </c>
      <c r="H7" s="263">
        <v>5407.593542857143</v>
      </c>
      <c r="I7" s="263">
        <v>6489.735954285714</v>
      </c>
      <c r="J7" s="263">
        <v>5394.286354285714</v>
      </c>
      <c r="K7" s="263">
        <v>5741.460685714285</v>
      </c>
      <c r="L7" s="263">
        <v>5701.49</v>
      </c>
      <c r="M7" s="263">
        <v>5739.798537142857</v>
      </c>
      <c r="N7" s="263">
        <v>5784.45</v>
      </c>
      <c r="O7" s="263">
        <v>5410.0199999999995</v>
      </c>
      <c r="P7" s="263">
        <v>5781.57</v>
      </c>
      <c r="Q7" s="263">
        <v>4424.09</v>
      </c>
      <c r="R7" s="263">
        <v>877.3599999999999</v>
      </c>
      <c r="S7" s="263">
        <f>+SUM(C7:R7)</f>
        <v>68037.612</v>
      </c>
    </row>
    <row r="8" spans="1:19" ht="12.75">
      <c r="A8" s="251" t="s">
        <v>108</v>
      </c>
      <c r="B8" s="264">
        <v>2.29</v>
      </c>
      <c r="C8" s="264">
        <v>-1640.0611353944564</v>
      </c>
      <c r="D8" s="264">
        <v>-167.7119829424307</v>
      </c>
      <c r="E8" s="264">
        <v>1807.7011353944565</v>
      </c>
      <c r="F8" s="264">
        <v>1551.2919829424309</v>
      </c>
      <c r="G8" s="264">
        <v>1488.2339872068233</v>
      </c>
      <c r="H8" s="264">
        <v>1408.13</v>
      </c>
      <c r="I8" s="264">
        <v>1789.96</v>
      </c>
      <c r="J8" s="264">
        <v>1420.061433901919</v>
      </c>
      <c r="K8" s="264">
        <v>1572.6986993603414</v>
      </c>
      <c r="L8" s="264">
        <v>1577.75</v>
      </c>
      <c r="M8" s="264">
        <v>1565.85</v>
      </c>
      <c r="N8" s="264">
        <v>1583.4900000000002</v>
      </c>
      <c r="O8" s="264">
        <v>1537.06</v>
      </c>
      <c r="P8" s="264">
        <v>1573.85</v>
      </c>
      <c r="Q8" s="264">
        <v>1178.3400000000001</v>
      </c>
      <c r="R8" s="264">
        <v>167.54000000000002</v>
      </c>
      <c r="S8" s="264">
        <f>+SUM(C8:R8)</f>
        <v>18414.184120469086</v>
      </c>
    </row>
    <row r="9" spans="1:19" ht="12.75">
      <c r="A9" s="251" t="s">
        <v>109</v>
      </c>
      <c r="B9" s="264">
        <v>1.07</v>
      </c>
      <c r="C9" s="264">
        <v>-11.888617142857143</v>
      </c>
      <c r="D9" s="264">
        <v>-2.108205714285714</v>
      </c>
      <c r="E9" s="264">
        <v>13.918617142857142</v>
      </c>
      <c r="F9" s="264">
        <v>13.908205714285714</v>
      </c>
      <c r="G9" s="264">
        <v>13.91</v>
      </c>
      <c r="H9" s="264">
        <v>13.91</v>
      </c>
      <c r="I9" s="264">
        <v>16.05</v>
      </c>
      <c r="J9" s="264">
        <v>11.77</v>
      </c>
      <c r="K9" s="264">
        <v>13.91</v>
      </c>
      <c r="L9" s="264">
        <v>13.91</v>
      </c>
      <c r="M9" s="264">
        <v>13.91</v>
      </c>
      <c r="N9" s="264">
        <v>13.91</v>
      </c>
      <c r="O9" s="264">
        <v>13.91</v>
      </c>
      <c r="P9" s="264">
        <v>13.91</v>
      </c>
      <c r="Q9" s="264">
        <v>10.34</v>
      </c>
      <c r="R9" s="264">
        <v>2.07</v>
      </c>
      <c r="S9" s="264">
        <f aca="true" t="shared" si="0" ref="S9:S15">+SUM(C9:R9)</f>
        <v>165.33999999999997</v>
      </c>
    </row>
    <row r="10" spans="1:19" ht="12.75">
      <c r="A10" s="251" t="s">
        <v>110</v>
      </c>
      <c r="B10" s="264">
        <v>9.22</v>
      </c>
      <c r="C10" s="264">
        <v>-875.5540977542934</v>
      </c>
      <c r="D10" s="264">
        <v>-289.12312285336856</v>
      </c>
      <c r="E10" s="264">
        <v>965.6340977542934</v>
      </c>
      <c r="F10" s="264">
        <v>993.0831228533686</v>
      </c>
      <c r="G10" s="264">
        <v>823.0400000000001</v>
      </c>
      <c r="H10" s="264">
        <v>679.21</v>
      </c>
      <c r="I10" s="264">
        <v>769.26</v>
      </c>
      <c r="J10" s="264">
        <v>607.91</v>
      </c>
      <c r="K10" s="264">
        <v>665.37</v>
      </c>
      <c r="L10" s="264">
        <v>673.06</v>
      </c>
      <c r="M10" s="264">
        <v>655.2300000000001</v>
      </c>
      <c r="N10" s="264">
        <v>673.3700000000001</v>
      </c>
      <c r="O10" s="264">
        <v>608.5200000000001</v>
      </c>
      <c r="P10" s="264">
        <v>677.9800000000001</v>
      </c>
      <c r="Q10" s="264">
        <v>547.4700000000001</v>
      </c>
      <c r="R10" s="264">
        <v>117.41000000000001</v>
      </c>
      <c r="S10" s="264">
        <f t="shared" si="0"/>
        <v>8291.87</v>
      </c>
    </row>
    <row r="11" spans="1:19" ht="12.75">
      <c r="A11" s="251" t="s">
        <v>111</v>
      </c>
      <c r="B11" s="264">
        <v>9.22</v>
      </c>
      <c r="C11" s="264">
        <v>-36.88</v>
      </c>
      <c r="D11" s="264">
        <v>0</v>
      </c>
      <c r="E11" s="264">
        <v>36.88</v>
      </c>
      <c r="F11" s="264">
        <v>36.88</v>
      </c>
      <c r="G11" s="264">
        <v>36.88</v>
      </c>
      <c r="H11" s="264">
        <v>36.88</v>
      </c>
      <c r="I11" s="264">
        <v>36.88</v>
      </c>
      <c r="J11" s="264">
        <v>44.26</v>
      </c>
      <c r="K11" s="264">
        <v>46.1</v>
      </c>
      <c r="L11" s="264">
        <v>46.1</v>
      </c>
      <c r="M11" s="264">
        <v>46.1</v>
      </c>
      <c r="N11" s="264">
        <v>46.1</v>
      </c>
      <c r="O11" s="264">
        <v>46.1</v>
      </c>
      <c r="P11" s="264">
        <v>46.1</v>
      </c>
      <c r="Q11" s="264">
        <v>46.1</v>
      </c>
      <c r="R11" s="264">
        <v>0</v>
      </c>
      <c r="S11" s="264">
        <f t="shared" si="0"/>
        <v>514.4800000000001</v>
      </c>
    </row>
    <row r="12" spans="1:19" ht="12.75">
      <c r="A12" s="251" t="s">
        <v>112</v>
      </c>
      <c r="B12" s="264">
        <v>77.99</v>
      </c>
      <c r="C12" s="264">
        <v>-311.96</v>
      </c>
      <c r="D12" s="264">
        <f>-77.99</f>
        <v>-77.99</v>
      </c>
      <c r="E12" s="264">
        <v>311.96</v>
      </c>
      <c r="F12" s="264">
        <f>467.94-77.99</f>
        <v>389.95</v>
      </c>
      <c r="G12" s="264">
        <v>389.95</v>
      </c>
      <c r="H12" s="264">
        <v>389.95</v>
      </c>
      <c r="I12" s="264">
        <v>389.95</v>
      </c>
      <c r="J12" s="264">
        <v>389.95</v>
      </c>
      <c r="K12" s="264">
        <v>389.95</v>
      </c>
      <c r="L12" s="264">
        <v>389.95</v>
      </c>
      <c r="M12" s="264">
        <v>389.95</v>
      </c>
      <c r="N12" s="264">
        <v>389.95</v>
      </c>
      <c r="O12" s="264">
        <v>389.95</v>
      </c>
      <c r="P12" s="264">
        <v>389.95</v>
      </c>
      <c r="Q12" s="264">
        <v>389.94999999999993</v>
      </c>
      <c r="R12" s="264">
        <v>0</v>
      </c>
      <c r="S12" s="264">
        <f t="shared" si="0"/>
        <v>4601.409999999999</v>
      </c>
    </row>
    <row r="13" spans="1:19" ht="12.75">
      <c r="A13" s="251" t="s">
        <v>113</v>
      </c>
      <c r="B13" s="264">
        <v>77.99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v>0</v>
      </c>
      <c r="Q13" s="264">
        <v>0</v>
      </c>
      <c r="R13" s="264">
        <v>0</v>
      </c>
      <c r="S13" s="264">
        <f t="shared" si="0"/>
        <v>0</v>
      </c>
    </row>
    <row r="14" spans="1:19" ht="12.75">
      <c r="A14" s="251" t="s">
        <v>114</v>
      </c>
      <c r="B14" s="264">
        <v>124.77</v>
      </c>
      <c r="C14" s="264">
        <v>-124.27</v>
      </c>
      <c r="D14" s="264">
        <v>0</v>
      </c>
      <c r="E14" s="264">
        <v>124.27</v>
      </c>
      <c r="F14" s="264">
        <v>124.27</v>
      </c>
      <c r="G14" s="264">
        <v>124.27</v>
      </c>
      <c r="H14" s="264">
        <v>124.27</v>
      </c>
      <c r="I14" s="264">
        <v>124.27</v>
      </c>
      <c r="J14" s="264">
        <v>124.27</v>
      </c>
      <c r="K14" s="264">
        <v>124.27</v>
      </c>
      <c r="L14" s="264">
        <v>124.27</v>
      </c>
      <c r="M14" s="264">
        <v>124.27</v>
      </c>
      <c r="N14" s="264">
        <v>124.27</v>
      </c>
      <c r="O14" s="264">
        <v>124.27</v>
      </c>
      <c r="P14" s="264">
        <v>124.27</v>
      </c>
      <c r="Q14" s="264">
        <v>128.41</v>
      </c>
      <c r="R14" s="264">
        <v>0</v>
      </c>
      <c r="S14" s="264">
        <f t="shared" si="0"/>
        <v>1495.38</v>
      </c>
    </row>
    <row r="15" spans="1:19" ht="12.75">
      <c r="A15" s="251" t="s">
        <v>115</v>
      </c>
      <c r="B15" s="264">
        <v>0.11</v>
      </c>
      <c r="C15" s="264">
        <v>-34.213626373626376</v>
      </c>
      <c r="D15" s="264">
        <v>-5.307802197802198</v>
      </c>
      <c r="E15" s="264">
        <v>35.63362637362638</v>
      </c>
      <c r="F15" s="264">
        <v>15.937802197802197</v>
      </c>
      <c r="G15" s="264">
        <v>15.29</v>
      </c>
      <c r="H15" s="264">
        <v>16.28</v>
      </c>
      <c r="I15" s="264">
        <v>16.36</v>
      </c>
      <c r="J15" s="264">
        <v>15.636043956043956</v>
      </c>
      <c r="K15" s="264">
        <v>15.849999999999998</v>
      </c>
      <c r="L15" s="264">
        <v>15.989999999999998</v>
      </c>
      <c r="M15" s="264">
        <v>15.91</v>
      </c>
      <c r="N15" s="264">
        <v>15.989999999999998</v>
      </c>
      <c r="O15" s="264">
        <v>15.620000000000001</v>
      </c>
      <c r="P15" s="264">
        <v>18.25</v>
      </c>
      <c r="Q15" s="264">
        <v>32.43</v>
      </c>
      <c r="R15" s="264">
        <v>-0.76</v>
      </c>
      <c r="S15" s="264">
        <f t="shared" si="0"/>
        <v>204.89604395604397</v>
      </c>
    </row>
    <row r="16" spans="1:19" ht="12.75">
      <c r="A16" s="251"/>
      <c r="B16" s="264"/>
      <c r="C16" s="264">
        <f aca="true" t="shared" si="1" ref="C16:S16">+SUM(C7:C15)</f>
        <v>-9443.904916665233</v>
      </c>
      <c r="D16" s="264">
        <f t="shared" si="1"/>
        <v>-1631.2516508507445</v>
      </c>
      <c r="E16" s="264">
        <f t="shared" si="1"/>
        <v>10430.704916665232</v>
      </c>
      <c r="F16" s="264">
        <f t="shared" si="1"/>
        <v>9330.801650850744</v>
      </c>
      <c r="G16" s="264">
        <f t="shared" si="1"/>
        <v>8335.23091292111</v>
      </c>
      <c r="H16" s="264">
        <f t="shared" si="1"/>
        <v>8076.223542857143</v>
      </c>
      <c r="I16" s="264">
        <f t="shared" si="1"/>
        <v>9632.465954285715</v>
      </c>
      <c r="J16" s="264">
        <f t="shared" si="1"/>
        <v>8008.143832143678</v>
      </c>
      <c r="K16" s="264">
        <f t="shared" si="1"/>
        <v>8569.609385074627</v>
      </c>
      <c r="L16" s="264">
        <f t="shared" si="1"/>
        <v>8542.52</v>
      </c>
      <c r="M16" s="264">
        <f t="shared" si="1"/>
        <v>8551.018537142858</v>
      </c>
      <c r="N16" s="264">
        <f t="shared" si="1"/>
        <v>8631.53</v>
      </c>
      <c r="O16" s="264">
        <f t="shared" si="1"/>
        <v>8145.450000000001</v>
      </c>
      <c r="P16" s="264">
        <f t="shared" si="1"/>
        <v>8625.880000000001</v>
      </c>
      <c r="Q16" s="264">
        <f t="shared" si="1"/>
        <v>6757.130000000001</v>
      </c>
      <c r="R16" s="264">
        <f t="shared" si="1"/>
        <v>1163.62</v>
      </c>
      <c r="S16" s="264">
        <f t="shared" si="1"/>
        <v>101725.17216442512</v>
      </c>
    </row>
    <row r="18" spans="2:3" ht="12.75">
      <c r="B18" s="255"/>
      <c r="C18" s="255"/>
    </row>
    <row r="19" spans="1:19" ht="13.5" thickBot="1">
      <c r="A19" s="253" t="s">
        <v>123</v>
      </c>
      <c r="B19" s="253" t="s">
        <v>28</v>
      </c>
      <c r="C19" t="s">
        <v>117</v>
      </c>
      <c r="D19" t="s">
        <v>118</v>
      </c>
      <c r="E19" t="s">
        <v>119</v>
      </c>
      <c r="F19" t="s">
        <v>37</v>
      </c>
      <c r="G19" t="s">
        <v>38</v>
      </c>
      <c r="H19" t="s">
        <v>39</v>
      </c>
      <c r="I19" t="s">
        <v>40</v>
      </c>
      <c r="J19" t="s">
        <v>41</v>
      </c>
      <c r="K19" t="s">
        <v>42</v>
      </c>
      <c r="L19" t="s">
        <v>43</v>
      </c>
      <c r="M19" t="s">
        <v>44</v>
      </c>
      <c r="N19" t="s">
        <v>45</v>
      </c>
      <c r="O19" t="s">
        <v>46</v>
      </c>
      <c r="P19" t="s">
        <v>47</v>
      </c>
      <c r="Q19" t="s">
        <v>120</v>
      </c>
      <c r="R19" t="s">
        <v>121</v>
      </c>
      <c r="S19" t="s">
        <v>18</v>
      </c>
    </row>
    <row r="20" spans="1:19" ht="13.5" thickBot="1">
      <c r="A20" s="250" t="s">
        <v>107</v>
      </c>
      <c r="B20" s="265">
        <v>0.0013</v>
      </c>
      <c r="C20" s="263">
        <v>-6694.927387387388</v>
      </c>
      <c r="D20" s="263">
        <v>-1293.3664864864863</v>
      </c>
      <c r="E20" s="263">
        <v>7624.637387387388</v>
      </c>
      <c r="F20" s="263">
        <v>6829.7264864864865</v>
      </c>
      <c r="G20" s="263">
        <v>5662.961711711712</v>
      </c>
      <c r="H20" s="263">
        <v>4865.816756756757</v>
      </c>
      <c r="I20" s="263">
        <v>5325.935765765765</v>
      </c>
      <c r="J20" s="263">
        <v>4121.5594594594595</v>
      </c>
      <c r="K20" s="263">
        <v>5536.097657657658</v>
      </c>
      <c r="L20" s="263">
        <v>5959.75</v>
      </c>
      <c r="M20" s="263">
        <v>5845.881081081081</v>
      </c>
      <c r="N20" s="263">
        <v>4764.62</v>
      </c>
      <c r="O20" s="263">
        <v>4474.54</v>
      </c>
      <c r="P20" s="263">
        <v>5184.110000000001</v>
      </c>
      <c r="Q20" s="263">
        <v>4781.7300000000005</v>
      </c>
      <c r="R20" s="263">
        <v>1179.3999999999999</v>
      </c>
      <c r="S20" s="263">
        <f>+SUM(C20:R20)</f>
        <v>64168.47243243244</v>
      </c>
    </row>
    <row r="21" spans="1:19" ht="13.5" thickBot="1">
      <c r="A21" s="251" t="s">
        <v>108</v>
      </c>
      <c r="B21" s="265">
        <v>0.0008</v>
      </c>
      <c r="C21" s="264">
        <v>-1841.2579710144923</v>
      </c>
      <c r="D21" s="264">
        <v>-256.30492753623184</v>
      </c>
      <c r="E21" s="264">
        <v>2021.3579710144925</v>
      </c>
      <c r="F21" s="264">
        <v>1702.8149275362316</v>
      </c>
      <c r="G21" s="264">
        <v>1615.4288405797101</v>
      </c>
      <c r="H21" s="264">
        <v>1468.0500000000002</v>
      </c>
      <c r="I21" s="264">
        <v>1836.98</v>
      </c>
      <c r="J21" s="264">
        <v>1301.6873913043478</v>
      </c>
      <c r="K21" s="264">
        <v>1967.9220289855075</v>
      </c>
      <c r="L21" s="264">
        <v>1871.6699999999998</v>
      </c>
      <c r="M21" s="264">
        <v>1829.12</v>
      </c>
      <c r="N21" s="264">
        <v>1665.7899999999997</v>
      </c>
      <c r="O21" s="264">
        <v>1578.3799999999999</v>
      </c>
      <c r="P21" s="264">
        <v>1728.7199999999998</v>
      </c>
      <c r="Q21" s="264">
        <v>1512.8999999999999</v>
      </c>
      <c r="R21" s="264">
        <v>288.4</v>
      </c>
      <c r="S21" s="264">
        <f>+SUM(C21:R21)</f>
        <v>20291.658260869568</v>
      </c>
    </row>
    <row r="22" spans="1:19" ht="13.5" thickBot="1">
      <c r="A22" s="251" t="s">
        <v>109</v>
      </c>
      <c r="B22" s="265">
        <v>0.0008</v>
      </c>
      <c r="C22" s="264">
        <v>-2.127536231884058</v>
      </c>
      <c r="D22" s="264">
        <v>-0.7942028985507245</v>
      </c>
      <c r="E22" s="264">
        <v>2.537536231884058</v>
      </c>
      <c r="F22" s="264">
        <v>3.1442028985507244</v>
      </c>
      <c r="G22" s="264">
        <v>2.9</v>
      </c>
      <c r="H22" s="264">
        <v>2.2</v>
      </c>
      <c r="I22" s="264">
        <v>2.25</v>
      </c>
      <c r="J22" s="264">
        <v>0.64</v>
      </c>
      <c r="K22" s="264">
        <v>1.13</v>
      </c>
      <c r="L22" s="264">
        <v>1.12</v>
      </c>
      <c r="M22" s="264">
        <v>1.08</v>
      </c>
      <c r="N22" s="264">
        <v>1.28</v>
      </c>
      <c r="O22" s="264">
        <v>1.5</v>
      </c>
      <c r="P22" s="264">
        <v>1.81</v>
      </c>
      <c r="Q22" s="264">
        <v>1.21</v>
      </c>
      <c r="R22" s="264">
        <v>1.09</v>
      </c>
      <c r="S22" s="264">
        <f aca="true" t="shared" si="2" ref="S22:S28">+SUM(C22:R22)</f>
        <v>20.97</v>
      </c>
    </row>
    <row r="23" spans="1:19" ht="13.5" thickBot="1">
      <c r="A23" s="251" t="s">
        <v>110</v>
      </c>
      <c r="B23" s="265">
        <v>0.0624</v>
      </c>
      <c r="C23" s="264">
        <v>-744.2773416731824</v>
      </c>
      <c r="D23" s="264">
        <v>-225.71333854573888</v>
      </c>
      <c r="E23" s="264">
        <v>812.1873416731823</v>
      </c>
      <c r="F23" s="264">
        <v>782.0233385457389</v>
      </c>
      <c r="G23" s="264">
        <v>689.74</v>
      </c>
      <c r="H23" s="264">
        <v>632</v>
      </c>
      <c r="I23" s="264">
        <v>698.04</v>
      </c>
      <c r="J23" s="264">
        <v>549.52</v>
      </c>
      <c r="K23" s="264">
        <v>598.41</v>
      </c>
      <c r="L23" s="264">
        <v>642.08</v>
      </c>
      <c r="M23" s="264">
        <v>668.17</v>
      </c>
      <c r="N23" s="264">
        <v>657.67</v>
      </c>
      <c r="O23" s="264">
        <v>549.15</v>
      </c>
      <c r="P23" s="264">
        <v>634.9</v>
      </c>
      <c r="Q23" s="264">
        <v>544.99</v>
      </c>
      <c r="R23" s="264">
        <v>122.19999999999999</v>
      </c>
      <c r="S23" s="264">
        <f t="shared" si="2"/>
        <v>7611.089999999999</v>
      </c>
    </row>
    <row r="24" spans="1:19" ht="13.5" thickBot="1">
      <c r="A24" s="251" t="s">
        <v>111</v>
      </c>
      <c r="B24" s="265">
        <v>0.0624</v>
      </c>
      <c r="C24" s="264">
        <v>-141.684347146208</v>
      </c>
      <c r="D24" s="264">
        <v>0</v>
      </c>
      <c r="E24" s="264">
        <v>141.684347146208</v>
      </c>
      <c r="F24" s="264">
        <v>139.13</v>
      </c>
      <c r="G24" s="264">
        <v>139.69</v>
      </c>
      <c r="H24" s="264">
        <v>142.03</v>
      </c>
      <c r="I24" s="264">
        <v>140.57</v>
      </c>
      <c r="J24" s="264">
        <v>168.33</v>
      </c>
      <c r="K24" s="264">
        <v>202.69</v>
      </c>
      <c r="L24" s="264">
        <v>192.45</v>
      </c>
      <c r="M24" s="264">
        <v>194.47</v>
      </c>
      <c r="N24" s="264">
        <v>190.77</v>
      </c>
      <c r="O24" s="264">
        <v>172.29</v>
      </c>
      <c r="P24" s="264">
        <v>165.43</v>
      </c>
      <c r="Q24" s="264">
        <v>154.72</v>
      </c>
      <c r="R24" s="264">
        <v>0</v>
      </c>
      <c r="S24" s="264">
        <f t="shared" si="2"/>
        <v>2002.5700000000002</v>
      </c>
    </row>
    <row r="25" spans="1:19" ht="13.5" thickBot="1">
      <c r="A25" s="251" t="s">
        <v>112</v>
      </c>
      <c r="B25" s="265">
        <v>0.0292</v>
      </c>
      <c r="C25" s="264">
        <v>-328.29195152528206</v>
      </c>
      <c r="D25" s="264">
        <v>-102.02</v>
      </c>
      <c r="E25" s="264">
        <v>328.29195152528206</v>
      </c>
      <c r="F25" s="264">
        <v>428.53</v>
      </c>
      <c r="G25" s="264">
        <v>432.78</v>
      </c>
      <c r="H25" s="264">
        <v>435.1</v>
      </c>
      <c r="I25" s="264">
        <v>436.86</v>
      </c>
      <c r="J25" s="264">
        <v>462.87</v>
      </c>
      <c r="K25" s="264">
        <v>435.17</v>
      </c>
      <c r="L25" s="264">
        <v>414.93</v>
      </c>
      <c r="M25" s="264">
        <v>443.13</v>
      </c>
      <c r="N25" s="264">
        <v>446.11</v>
      </c>
      <c r="O25" s="264">
        <v>440.09</v>
      </c>
      <c r="P25" s="264">
        <v>394.6</v>
      </c>
      <c r="Q25" s="264">
        <v>438.24</v>
      </c>
      <c r="R25" s="264">
        <v>0</v>
      </c>
      <c r="S25" s="264">
        <f t="shared" si="2"/>
        <v>5106.39</v>
      </c>
    </row>
    <row r="26" spans="1:19" ht="13.5" thickBot="1">
      <c r="A26" s="251" t="s">
        <v>113</v>
      </c>
      <c r="B26" s="265">
        <v>0.0292</v>
      </c>
      <c r="C26" s="264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f t="shared" si="2"/>
        <v>0</v>
      </c>
    </row>
    <row r="27" spans="1:19" ht="13.5" thickBot="1">
      <c r="A27" s="251" t="s">
        <v>114</v>
      </c>
      <c r="B27" s="265">
        <v>0.3745</v>
      </c>
      <c r="C27" s="264">
        <v>-115.60763448208534</v>
      </c>
      <c r="D27" s="264">
        <v>0</v>
      </c>
      <c r="E27" s="264">
        <v>115.60763448208534</v>
      </c>
      <c r="F27" s="264">
        <v>115.61</v>
      </c>
      <c r="G27" s="264">
        <v>115.61</v>
      </c>
      <c r="H27" s="264">
        <v>115.61</v>
      </c>
      <c r="I27" s="264">
        <v>115.61</v>
      </c>
      <c r="J27" s="264">
        <v>115.61</v>
      </c>
      <c r="K27" s="264">
        <v>115.61</v>
      </c>
      <c r="L27" s="264">
        <v>115.61</v>
      </c>
      <c r="M27" s="264">
        <v>115.61</v>
      </c>
      <c r="N27" s="264">
        <v>115.61</v>
      </c>
      <c r="O27" s="264">
        <v>115.61</v>
      </c>
      <c r="P27" s="264">
        <v>115.61</v>
      </c>
      <c r="Q27" s="264">
        <v>115.61</v>
      </c>
      <c r="R27" s="264">
        <v>0</v>
      </c>
      <c r="S27" s="264">
        <f t="shared" si="2"/>
        <v>1387.3199999999997</v>
      </c>
    </row>
    <row r="28" spans="1:19" ht="12.75">
      <c r="A28" s="251" t="s">
        <v>115</v>
      </c>
      <c r="B28" s="265">
        <v>0.6246</v>
      </c>
      <c r="C28" s="264">
        <v>-66.19892296885975</v>
      </c>
      <c r="D28" s="264">
        <v>-4.9771060641535945</v>
      </c>
      <c r="E28" s="264">
        <v>68.88892296885975</v>
      </c>
      <c r="F28" s="264">
        <v>15.027106064153596</v>
      </c>
      <c r="G28" s="264">
        <v>14.27</v>
      </c>
      <c r="H28" s="264">
        <v>15.7</v>
      </c>
      <c r="I28" s="264">
        <v>15.39</v>
      </c>
      <c r="J28" s="264">
        <v>12.947915008194801</v>
      </c>
      <c r="K28" s="264">
        <v>15.81</v>
      </c>
      <c r="L28" s="264">
        <v>15.81</v>
      </c>
      <c r="M28" s="264">
        <v>15.81</v>
      </c>
      <c r="N28" s="264">
        <v>15.81</v>
      </c>
      <c r="O28" s="264">
        <v>15.42</v>
      </c>
      <c r="P28" s="264">
        <v>32.29</v>
      </c>
      <c r="Q28" s="264">
        <v>45.73</v>
      </c>
      <c r="R28" s="264">
        <v>3.08</v>
      </c>
      <c r="S28" s="264">
        <f t="shared" si="2"/>
        <v>230.80791500819478</v>
      </c>
    </row>
    <row r="29" spans="1:19" ht="12.75">
      <c r="A29" s="251"/>
      <c r="B29" s="266"/>
      <c r="C29" s="264">
        <f aca="true" t="shared" si="3" ref="C29:S29">+SUM(C20:C28)</f>
        <v>-9934.373092429383</v>
      </c>
      <c r="D29" s="264">
        <f t="shared" si="3"/>
        <v>-1883.1760615311614</v>
      </c>
      <c r="E29" s="264">
        <f t="shared" si="3"/>
        <v>11115.193092429383</v>
      </c>
      <c r="F29" s="264">
        <f t="shared" si="3"/>
        <v>10016.006061531163</v>
      </c>
      <c r="G29" s="264">
        <f t="shared" si="3"/>
        <v>8673.380552291423</v>
      </c>
      <c r="H29" s="264">
        <f t="shared" si="3"/>
        <v>7676.506756756757</v>
      </c>
      <c r="I29" s="264">
        <f t="shared" si="3"/>
        <v>8571.635765765765</v>
      </c>
      <c r="J29" s="264">
        <f t="shared" si="3"/>
        <v>6733.164765772002</v>
      </c>
      <c r="K29" s="264">
        <f t="shared" si="3"/>
        <v>8872.839686643165</v>
      </c>
      <c r="L29" s="264">
        <f t="shared" si="3"/>
        <v>9213.420000000002</v>
      </c>
      <c r="M29" s="264">
        <f t="shared" si="3"/>
        <v>9113.271081081079</v>
      </c>
      <c r="N29" s="264">
        <f t="shared" si="3"/>
        <v>7857.66</v>
      </c>
      <c r="O29" s="264">
        <f t="shared" si="3"/>
        <v>7346.98</v>
      </c>
      <c r="P29" s="264">
        <f t="shared" si="3"/>
        <v>8257.470000000001</v>
      </c>
      <c r="Q29" s="264">
        <f t="shared" si="3"/>
        <v>7595.129999999999</v>
      </c>
      <c r="R29" s="264">
        <f t="shared" si="3"/>
        <v>1594.1699999999996</v>
      </c>
      <c r="S29" s="264">
        <f t="shared" si="3"/>
        <v>100819.27860831021</v>
      </c>
    </row>
    <row r="30" spans="1:19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</row>
    <row r="32" spans="1:19" ht="13.5" thickBot="1">
      <c r="A32" s="253" t="s">
        <v>127</v>
      </c>
      <c r="C32" t="s">
        <v>117</v>
      </c>
      <c r="D32" t="s">
        <v>118</v>
      </c>
      <c r="E32" t="s">
        <v>119</v>
      </c>
      <c r="F32" t="s">
        <v>37</v>
      </c>
      <c r="G32" t="s">
        <v>38</v>
      </c>
      <c r="H32" t="s">
        <v>39</v>
      </c>
      <c r="I32" t="s">
        <v>40</v>
      </c>
      <c r="J32" t="s">
        <v>41</v>
      </c>
      <c r="K32" t="s">
        <v>42</v>
      </c>
      <c r="L32" t="s">
        <v>43</v>
      </c>
      <c r="M32" t="s">
        <v>44</v>
      </c>
      <c r="N32" t="s">
        <v>45</v>
      </c>
      <c r="O32" t="s">
        <v>46</v>
      </c>
      <c r="P32" t="s">
        <v>47</v>
      </c>
      <c r="Q32" t="s">
        <v>120</v>
      </c>
      <c r="R32" t="s">
        <v>121</v>
      </c>
      <c r="S32" t="s">
        <v>18</v>
      </c>
    </row>
    <row r="33" spans="1:19" ht="12.75">
      <c r="A33" s="250" t="s">
        <v>107</v>
      </c>
      <c r="B33" s="267"/>
      <c r="C33" s="263">
        <f>+C20+C7</f>
        <v>-13104.004827387387</v>
      </c>
      <c r="D33" s="263">
        <f aca="true" t="shared" si="4" ref="D33:R33">+D20+D7</f>
        <v>-2382.3770236293435</v>
      </c>
      <c r="E33" s="263">
        <f t="shared" si="4"/>
        <v>14759.344827387387</v>
      </c>
      <c r="F33" s="263">
        <f t="shared" si="4"/>
        <v>13035.207023629344</v>
      </c>
      <c r="G33" s="263">
        <f t="shared" si="4"/>
        <v>11106.618637425996</v>
      </c>
      <c r="H33" s="263">
        <f t="shared" si="4"/>
        <v>10273.4102996139</v>
      </c>
      <c r="I33" s="263">
        <f t="shared" si="4"/>
        <v>11815.67172005148</v>
      </c>
      <c r="J33" s="263">
        <f t="shared" si="4"/>
        <v>9515.845813745174</v>
      </c>
      <c r="K33" s="263">
        <f t="shared" si="4"/>
        <v>11277.558343371944</v>
      </c>
      <c r="L33" s="263">
        <f t="shared" si="4"/>
        <v>11661.24</v>
      </c>
      <c r="M33" s="263">
        <f t="shared" si="4"/>
        <v>11585.679618223938</v>
      </c>
      <c r="N33" s="263">
        <f t="shared" si="4"/>
        <v>10549.07</v>
      </c>
      <c r="O33" s="263">
        <f t="shared" si="4"/>
        <v>9884.56</v>
      </c>
      <c r="P33" s="263">
        <f t="shared" si="4"/>
        <v>10965.68</v>
      </c>
      <c r="Q33" s="263">
        <f t="shared" si="4"/>
        <v>9205.82</v>
      </c>
      <c r="R33" s="263">
        <f t="shared" si="4"/>
        <v>2056.7599999999998</v>
      </c>
      <c r="S33" s="263">
        <f>+SUM(C33:R33)</f>
        <v>132206.08443243246</v>
      </c>
    </row>
    <row r="34" spans="1:19" ht="12.75">
      <c r="A34" s="251" t="s">
        <v>108</v>
      </c>
      <c r="B34" s="267"/>
      <c r="C34" s="264">
        <f aca="true" t="shared" si="5" ref="C34:R34">+C21+C8</f>
        <v>-3481.3191064089488</v>
      </c>
      <c r="D34" s="264">
        <f t="shared" si="5"/>
        <v>-424.01691047866257</v>
      </c>
      <c r="E34" s="264">
        <f t="shared" si="5"/>
        <v>3829.059106408949</v>
      </c>
      <c r="F34" s="264">
        <f t="shared" si="5"/>
        <v>3254.1069104786625</v>
      </c>
      <c r="G34" s="264">
        <f t="shared" si="5"/>
        <v>3103.6628277865334</v>
      </c>
      <c r="H34" s="264">
        <f t="shared" si="5"/>
        <v>2876.1800000000003</v>
      </c>
      <c r="I34" s="264">
        <f t="shared" si="5"/>
        <v>3626.94</v>
      </c>
      <c r="J34" s="264">
        <f t="shared" si="5"/>
        <v>2721.7488252062667</v>
      </c>
      <c r="K34" s="264">
        <f t="shared" si="5"/>
        <v>3540.620728345849</v>
      </c>
      <c r="L34" s="264">
        <f t="shared" si="5"/>
        <v>3449.42</v>
      </c>
      <c r="M34" s="264">
        <f t="shared" si="5"/>
        <v>3394.97</v>
      </c>
      <c r="N34" s="264">
        <f t="shared" si="5"/>
        <v>3249.2799999999997</v>
      </c>
      <c r="O34" s="264">
        <f t="shared" si="5"/>
        <v>3115.4399999999996</v>
      </c>
      <c r="P34" s="264">
        <f t="shared" si="5"/>
        <v>3302.5699999999997</v>
      </c>
      <c r="Q34" s="264">
        <f t="shared" si="5"/>
        <v>2691.24</v>
      </c>
      <c r="R34" s="264">
        <f t="shared" si="5"/>
        <v>455.94</v>
      </c>
      <c r="S34" s="264">
        <f>+SUM(C34:R34)</f>
        <v>38705.842381338654</v>
      </c>
    </row>
    <row r="35" spans="1:19" ht="12.75">
      <c r="A35" s="251" t="s">
        <v>109</v>
      </c>
      <c r="B35" s="267"/>
      <c r="C35" s="264">
        <f aca="true" t="shared" si="6" ref="C35:R35">+C22+C9</f>
        <v>-14.0161533747412</v>
      </c>
      <c r="D35" s="264">
        <f t="shared" si="6"/>
        <v>-2.9024086128364384</v>
      </c>
      <c r="E35" s="264">
        <f t="shared" si="6"/>
        <v>16.4561533747412</v>
      </c>
      <c r="F35" s="264">
        <f t="shared" si="6"/>
        <v>17.052408612836437</v>
      </c>
      <c r="G35" s="264">
        <f t="shared" si="6"/>
        <v>16.81</v>
      </c>
      <c r="H35" s="264">
        <f t="shared" si="6"/>
        <v>16.11</v>
      </c>
      <c r="I35" s="264">
        <f t="shared" si="6"/>
        <v>18.3</v>
      </c>
      <c r="J35" s="264">
        <f t="shared" si="6"/>
        <v>12.41</v>
      </c>
      <c r="K35" s="264">
        <f t="shared" si="6"/>
        <v>15.04</v>
      </c>
      <c r="L35" s="264">
        <f t="shared" si="6"/>
        <v>15.030000000000001</v>
      </c>
      <c r="M35" s="264">
        <f t="shared" si="6"/>
        <v>14.99</v>
      </c>
      <c r="N35" s="264">
        <f t="shared" si="6"/>
        <v>15.19</v>
      </c>
      <c r="O35" s="264">
        <f t="shared" si="6"/>
        <v>15.41</v>
      </c>
      <c r="P35" s="264">
        <f t="shared" si="6"/>
        <v>15.72</v>
      </c>
      <c r="Q35" s="264">
        <f t="shared" si="6"/>
        <v>11.55</v>
      </c>
      <c r="R35" s="264">
        <f t="shared" si="6"/>
        <v>3.16</v>
      </c>
      <c r="S35" s="264">
        <f aca="true" t="shared" si="7" ref="S35:S41">+SUM(C35:R35)</f>
        <v>186.31</v>
      </c>
    </row>
    <row r="36" spans="1:19" ht="12.75">
      <c r="A36" s="251" t="s">
        <v>110</v>
      </c>
      <c r="B36" s="267"/>
      <c r="C36" s="264">
        <f aca="true" t="shared" si="8" ref="C36:R36">+C23+C10</f>
        <v>-1619.8314394274757</v>
      </c>
      <c r="D36" s="264">
        <f t="shared" si="8"/>
        <v>-514.8364613991074</v>
      </c>
      <c r="E36" s="264">
        <f t="shared" si="8"/>
        <v>1777.8214394274758</v>
      </c>
      <c r="F36" s="264">
        <f t="shared" si="8"/>
        <v>1775.1064613991075</v>
      </c>
      <c r="G36" s="264">
        <f t="shared" si="8"/>
        <v>1512.7800000000002</v>
      </c>
      <c r="H36" s="264">
        <f t="shared" si="8"/>
        <v>1311.21</v>
      </c>
      <c r="I36" s="264">
        <f t="shared" si="8"/>
        <v>1467.3</v>
      </c>
      <c r="J36" s="264">
        <f t="shared" si="8"/>
        <v>1157.4299999999998</v>
      </c>
      <c r="K36" s="264">
        <f t="shared" si="8"/>
        <v>1263.78</v>
      </c>
      <c r="L36" s="264">
        <f t="shared" si="8"/>
        <v>1315.1399999999999</v>
      </c>
      <c r="M36" s="264">
        <f t="shared" si="8"/>
        <v>1323.4</v>
      </c>
      <c r="N36" s="264">
        <f t="shared" si="8"/>
        <v>1331.04</v>
      </c>
      <c r="O36" s="264">
        <f t="shared" si="8"/>
        <v>1157.67</v>
      </c>
      <c r="P36" s="264">
        <f t="shared" si="8"/>
        <v>1312.88</v>
      </c>
      <c r="Q36" s="264">
        <f t="shared" si="8"/>
        <v>1092.46</v>
      </c>
      <c r="R36" s="264">
        <f t="shared" si="8"/>
        <v>239.61</v>
      </c>
      <c r="S36" s="264">
        <f t="shared" si="7"/>
        <v>15902.96</v>
      </c>
    </row>
    <row r="37" spans="1:19" ht="12.75">
      <c r="A37" s="251" t="s">
        <v>111</v>
      </c>
      <c r="B37" s="267"/>
      <c r="C37" s="264">
        <f aca="true" t="shared" si="9" ref="C37:R37">+C24+C11</f>
        <v>-178.564347146208</v>
      </c>
      <c r="D37" s="264">
        <f t="shared" si="9"/>
        <v>0</v>
      </c>
      <c r="E37" s="264">
        <f t="shared" si="9"/>
        <v>178.564347146208</v>
      </c>
      <c r="F37" s="264">
        <f t="shared" si="9"/>
        <v>176.01</v>
      </c>
      <c r="G37" s="264">
        <f t="shared" si="9"/>
        <v>176.57</v>
      </c>
      <c r="H37" s="264">
        <f t="shared" si="9"/>
        <v>178.91</v>
      </c>
      <c r="I37" s="264">
        <f t="shared" si="9"/>
        <v>177.45</v>
      </c>
      <c r="J37" s="264">
        <f t="shared" si="9"/>
        <v>212.59</v>
      </c>
      <c r="K37" s="264">
        <f t="shared" si="9"/>
        <v>248.79</v>
      </c>
      <c r="L37" s="264">
        <f t="shared" si="9"/>
        <v>238.54999999999998</v>
      </c>
      <c r="M37" s="264">
        <f t="shared" si="9"/>
        <v>240.57</v>
      </c>
      <c r="N37" s="264">
        <f t="shared" si="9"/>
        <v>236.87</v>
      </c>
      <c r="O37" s="264">
        <f t="shared" si="9"/>
        <v>218.39</v>
      </c>
      <c r="P37" s="264">
        <f t="shared" si="9"/>
        <v>211.53</v>
      </c>
      <c r="Q37" s="264">
        <f t="shared" si="9"/>
        <v>200.82</v>
      </c>
      <c r="R37" s="264">
        <f t="shared" si="9"/>
        <v>0</v>
      </c>
      <c r="S37" s="264">
        <f t="shared" si="7"/>
        <v>2517.05</v>
      </c>
    </row>
    <row r="38" spans="1:19" ht="12.75">
      <c r="A38" s="251" t="s">
        <v>112</v>
      </c>
      <c r="B38" s="267"/>
      <c r="C38" s="264">
        <f aca="true" t="shared" si="10" ref="C38:R38">+C25+C12</f>
        <v>-640.251951525282</v>
      </c>
      <c r="D38" s="264">
        <f t="shared" si="10"/>
        <v>-180.01</v>
      </c>
      <c r="E38" s="264">
        <f t="shared" si="10"/>
        <v>640.251951525282</v>
      </c>
      <c r="F38" s="264">
        <f t="shared" si="10"/>
        <v>818.48</v>
      </c>
      <c r="G38" s="264">
        <f t="shared" si="10"/>
        <v>822.73</v>
      </c>
      <c r="H38" s="264">
        <f t="shared" si="10"/>
        <v>825.05</v>
      </c>
      <c r="I38" s="264">
        <f t="shared" si="10"/>
        <v>826.81</v>
      </c>
      <c r="J38" s="264">
        <f t="shared" si="10"/>
        <v>852.8199999999999</v>
      </c>
      <c r="K38" s="264">
        <f t="shared" si="10"/>
        <v>825.12</v>
      </c>
      <c r="L38" s="264">
        <f t="shared" si="10"/>
        <v>804.88</v>
      </c>
      <c r="M38" s="264">
        <f t="shared" si="10"/>
        <v>833.0799999999999</v>
      </c>
      <c r="N38" s="264">
        <f t="shared" si="10"/>
        <v>836.06</v>
      </c>
      <c r="O38" s="264">
        <f t="shared" si="10"/>
        <v>830.04</v>
      </c>
      <c r="P38" s="264">
        <f t="shared" si="10"/>
        <v>784.55</v>
      </c>
      <c r="Q38" s="264">
        <f t="shared" si="10"/>
        <v>828.1899999999999</v>
      </c>
      <c r="R38" s="264">
        <f t="shared" si="10"/>
        <v>0</v>
      </c>
      <c r="S38" s="264">
        <f t="shared" si="7"/>
        <v>9707.800000000001</v>
      </c>
    </row>
    <row r="39" spans="1:19" ht="12.75">
      <c r="A39" s="251" t="s">
        <v>113</v>
      </c>
      <c r="B39" s="267"/>
      <c r="C39" s="264">
        <f aca="true" t="shared" si="11" ref="C39:R39">+C26+C13</f>
        <v>0</v>
      </c>
      <c r="D39" s="264">
        <f t="shared" si="11"/>
        <v>0</v>
      </c>
      <c r="E39" s="264">
        <f t="shared" si="11"/>
        <v>0</v>
      </c>
      <c r="F39" s="264">
        <f t="shared" si="11"/>
        <v>0</v>
      </c>
      <c r="G39" s="264">
        <f t="shared" si="11"/>
        <v>0</v>
      </c>
      <c r="H39" s="264">
        <f t="shared" si="11"/>
        <v>0</v>
      </c>
      <c r="I39" s="264">
        <f t="shared" si="11"/>
        <v>0</v>
      </c>
      <c r="J39" s="264">
        <f t="shared" si="11"/>
        <v>0</v>
      </c>
      <c r="K39" s="264">
        <f t="shared" si="11"/>
        <v>0</v>
      </c>
      <c r="L39" s="264">
        <f t="shared" si="11"/>
        <v>0</v>
      </c>
      <c r="M39" s="264">
        <f t="shared" si="11"/>
        <v>0</v>
      </c>
      <c r="N39" s="264">
        <f t="shared" si="11"/>
        <v>0</v>
      </c>
      <c r="O39" s="264">
        <f t="shared" si="11"/>
        <v>0</v>
      </c>
      <c r="P39" s="264">
        <f t="shared" si="11"/>
        <v>0</v>
      </c>
      <c r="Q39" s="264">
        <f t="shared" si="11"/>
        <v>0</v>
      </c>
      <c r="R39" s="264">
        <f t="shared" si="11"/>
        <v>0</v>
      </c>
      <c r="S39" s="264">
        <f t="shared" si="7"/>
        <v>0</v>
      </c>
    </row>
    <row r="40" spans="1:19" ht="12.75">
      <c r="A40" s="251" t="s">
        <v>114</v>
      </c>
      <c r="B40" s="267"/>
      <c r="C40" s="264">
        <f aca="true" t="shared" si="12" ref="C40:R40">+C27+C14</f>
        <v>-239.87763448208534</v>
      </c>
      <c r="D40" s="264">
        <f t="shared" si="12"/>
        <v>0</v>
      </c>
      <c r="E40" s="264">
        <f t="shared" si="12"/>
        <v>239.87763448208534</v>
      </c>
      <c r="F40" s="264">
        <f t="shared" si="12"/>
        <v>239.88</v>
      </c>
      <c r="G40" s="264">
        <f t="shared" si="12"/>
        <v>239.88</v>
      </c>
      <c r="H40" s="264">
        <f t="shared" si="12"/>
        <v>239.88</v>
      </c>
      <c r="I40" s="264">
        <f t="shared" si="12"/>
        <v>239.88</v>
      </c>
      <c r="J40" s="264">
        <f t="shared" si="12"/>
        <v>239.88</v>
      </c>
      <c r="K40" s="264">
        <f t="shared" si="12"/>
        <v>239.88</v>
      </c>
      <c r="L40" s="264">
        <f t="shared" si="12"/>
        <v>239.88</v>
      </c>
      <c r="M40" s="264">
        <f t="shared" si="12"/>
        <v>239.88</v>
      </c>
      <c r="N40" s="264">
        <f t="shared" si="12"/>
        <v>239.88</v>
      </c>
      <c r="O40" s="264">
        <f t="shared" si="12"/>
        <v>239.88</v>
      </c>
      <c r="P40" s="264">
        <f t="shared" si="12"/>
        <v>239.88</v>
      </c>
      <c r="Q40" s="264">
        <f t="shared" si="12"/>
        <v>244.01999999999998</v>
      </c>
      <c r="R40" s="264">
        <f t="shared" si="12"/>
        <v>0</v>
      </c>
      <c r="S40" s="264">
        <f t="shared" si="7"/>
        <v>2882.7000000000007</v>
      </c>
    </row>
    <row r="41" spans="1:19" ht="12.75">
      <c r="A41" s="251" t="s">
        <v>115</v>
      </c>
      <c r="B41" s="267"/>
      <c r="C41" s="264">
        <f aca="true" t="shared" si="13" ref="C41:R41">+C28+C15</f>
        <v>-100.41254934248613</v>
      </c>
      <c r="D41" s="264">
        <f t="shared" si="13"/>
        <v>-10.284908261955792</v>
      </c>
      <c r="E41" s="264">
        <f t="shared" si="13"/>
        <v>104.52254934248612</v>
      </c>
      <c r="F41" s="264">
        <f t="shared" si="13"/>
        <v>30.96490826195579</v>
      </c>
      <c r="G41" s="264">
        <f t="shared" si="13"/>
        <v>29.56</v>
      </c>
      <c r="H41" s="264">
        <f t="shared" si="13"/>
        <v>31.98</v>
      </c>
      <c r="I41" s="264">
        <f t="shared" si="13"/>
        <v>31.75</v>
      </c>
      <c r="J41" s="264">
        <f t="shared" si="13"/>
        <v>28.583958964238757</v>
      </c>
      <c r="K41" s="264">
        <f t="shared" si="13"/>
        <v>31.659999999999997</v>
      </c>
      <c r="L41" s="264">
        <f t="shared" si="13"/>
        <v>31.799999999999997</v>
      </c>
      <c r="M41" s="264">
        <f t="shared" si="13"/>
        <v>31.72</v>
      </c>
      <c r="N41" s="264">
        <f t="shared" si="13"/>
        <v>31.799999999999997</v>
      </c>
      <c r="O41" s="264">
        <f t="shared" si="13"/>
        <v>31.04</v>
      </c>
      <c r="P41" s="264">
        <f t="shared" si="13"/>
        <v>50.54</v>
      </c>
      <c r="Q41" s="264">
        <f t="shared" si="13"/>
        <v>78.16</v>
      </c>
      <c r="R41" s="264">
        <f t="shared" si="13"/>
        <v>2.3200000000000003</v>
      </c>
      <c r="S41" s="264">
        <f t="shared" si="7"/>
        <v>435.7039589642388</v>
      </c>
    </row>
    <row r="42" spans="1:19" ht="12.75">
      <c r="A42" s="251"/>
      <c r="B42" s="267"/>
      <c r="C42" s="264">
        <f aca="true" t="shared" si="14" ref="C42:S42">+SUM(C33:C41)</f>
        <v>-19378.27800909461</v>
      </c>
      <c r="D42" s="264">
        <f t="shared" si="14"/>
        <v>-3514.4277123819056</v>
      </c>
      <c r="E42" s="264">
        <f t="shared" si="14"/>
        <v>21545.898009094613</v>
      </c>
      <c r="F42" s="264">
        <f t="shared" si="14"/>
        <v>19346.807712381902</v>
      </c>
      <c r="G42" s="264">
        <f t="shared" si="14"/>
        <v>17008.611465212532</v>
      </c>
      <c r="H42" s="264">
        <f t="shared" si="14"/>
        <v>15752.730299613899</v>
      </c>
      <c r="I42" s="264">
        <f t="shared" si="14"/>
        <v>18204.101720051483</v>
      </c>
      <c r="J42" s="264">
        <f t="shared" si="14"/>
        <v>14741.308597915679</v>
      </c>
      <c r="K42" s="264">
        <f t="shared" si="14"/>
        <v>17442.449071717798</v>
      </c>
      <c r="L42" s="264">
        <f t="shared" si="14"/>
        <v>17755.940000000002</v>
      </c>
      <c r="M42" s="264">
        <f t="shared" si="14"/>
        <v>17664.28961822394</v>
      </c>
      <c r="N42" s="264">
        <f t="shared" si="14"/>
        <v>16489.19</v>
      </c>
      <c r="O42" s="264">
        <f t="shared" si="14"/>
        <v>15492.429999999998</v>
      </c>
      <c r="P42" s="264">
        <f t="shared" si="14"/>
        <v>16883.350000000002</v>
      </c>
      <c r="Q42" s="264">
        <f t="shared" si="14"/>
        <v>14352.26</v>
      </c>
      <c r="R42" s="264">
        <f t="shared" si="14"/>
        <v>2757.79</v>
      </c>
      <c r="S42" s="264">
        <f t="shared" si="14"/>
        <v>202544.45077273532</v>
      </c>
    </row>
    <row r="45" ht="12.75">
      <c r="A45" s="252"/>
    </row>
    <row r="46" spans="1:20" ht="13.5" thickBot="1">
      <c r="A46" s="253" t="s">
        <v>128</v>
      </c>
      <c r="C46" t="s">
        <v>117</v>
      </c>
      <c r="D46" t="s">
        <v>118</v>
      </c>
      <c r="E46" t="s">
        <v>119</v>
      </c>
      <c r="F46" t="s">
        <v>37</v>
      </c>
      <c r="G46" t="s">
        <v>38</v>
      </c>
      <c r="H46" t="s">
        <v>39</v>
      </c>
      <c r="I46" t="s">
        <v>40</v>
      </c>
      <c r="J46" t="s">
        <v>41</v>
      </c>
      <c r="K46" t="s">
        <v>42</v>
      </c>
      <c r="L46" t="s">
        <v>43</v>
      </c>
      <c r="M46" t="s">
        <v>44</v>
      </c>
      <c r="N46" t="s">
        <v>45</v>
      </c>
      <c r="O46" t="s">
        <v>46</v>
      </c>
      <c r="P46" t="s">
        <v>47</v>
      </c>
      <c r="Q46" t="s">
        <v>120</v>
      </c>
      <c r="R46" t="s">
        <v>121</v>
      </c>
      <c r="S46" t="s">
        <v>18</v>
      </c>
      <c r="T46" s="261"/>
    </row>
    <row r="47" spans="1:20" ht="13.5" thickBot="1">
      <c r="A47" s="250" t="s">
        <v>107</v>
      </c>
      <c r="C47" s="268">
        <f aca="true" t="shared" si="15" ref="C47:R47">+ROUND(C7/$B7,0)</f>
        <v>-5990</v>
      </c>
      <c r="D47" s="268">
        <f t="shared" si="15"/>
        <v>-1018</v>
      </c>
      <c r="E47" s="268">
        <f t="shared" si="15"/>
        <v>6668</v>
      </c>
      <c r="F47" s="268">
        <f t="shared" si="15"/>
        <v>5800</v>
      </c>
      <c r="G47" s="268">
        <f t="shared" si="15"/>
        <v>5088</v>
      </c>
      <c r="H47" s="268">
        <f t="shared" si="15"/>
        <v>5054</v>
      </c>
      <c r="I47" s="268">
        <f t="shared" si="15"/>
        <v>6065</v>
      </c>
      <c r="J47" s="268">
        <f t="shared" si="15"/>
        <v>5041</v>
      </c>
      <c r="K47" s="268">
        <f t="shared" si="15"/>
        <v>5366</v>
      </c>
      <c r="L47" s="268">
        <f t="shared" si="15"/>
        <v>5328</v>
      </c>
      <c r="M47" s="268">
        <f t="shared" si="15"/>
        <v>5364</v>
      </c>
      <c r="N47" s="268">
        <f t="shared" si="15"/>
        <v>5406</v>
      </c>
      <c r="O47" s="268">
        <f t="shared" si="15"/>
        <v>5056</v>
      </c>
      <c r="P47" s="268">
        <f t="shared" si="15"/>
        <v>5403</v>
      </c>
      <c r="Q47" s="268">
        <f t="shared" si="15"/>
        <v>4135</v>
      </c>
      <c r="R47" s="268">
        <f t="shared" si="15"/>
        <v>820</v>
      </c>
      <c r="S47" s="268">
        <f>+SUM(C47:R47)</f>
        <v>63586</v>
      </c>
      <c r="T47" s="261"/>
    </row>
    <row r="48" spans="1:20" ht="13.5" thickBot="1">
      <c r="A48" s="251" t="s">
        <v>108</v>
      </c>
      <c r="C48" s="268">
        <f aca="true" t="shared" si="16" ref="C48:R48">+ROUND(C8/$B8,0)</f>
        <v>-716</v>
      </c>
      <c r="D48" s="268">
        <f t="shared" si="16"/>
        <v>-73</v>
      </c>
      <c r="E48" s="268">
        <f t="shared" si="16"/>
        <v>789</v>
      </c>
      <c r="F48" s="268">
        <f t="shared" si="16"/>
        <v>677</v>
      </c>
      <c r="G48" s="268">
        <f t="shared" si="16"/>
        <v>650</v>
      </c>
      <c r="H48" s="268">
        <f t="shared" si="16"/>
        <v>615</v>
      </c>
      <c r="I48" s="268">
        <f t="shared" si="16"/>
        <v>782</v>
      </c>
      <c r="J48" s="268">
        <f t="shared" si="16"/>
        <v>620</v>
      </c>
      <c r="K48" s="268">
        <f t="shared" si="16"/>
        <v>687</v>
      </c>
      <c r="L48" s="268">
        <f t="shared" si="16"/>
        <v>689</v>
      </c>
      <c r="M48" s="268">
        <f t="shared" si="16"/>
        <v>684</v>
      </c>
      <c r="N48" s="268">
        <f t="shared" si="16"/>
        <v>691</v>
      </c>
      <c r="O48" s="268">
        <f t="shared" si="16"/>
        <v>671</v>
      </c>
      <c r="P48" s="268">
        <f t="shared" si="16"/>
        <v>687</v>
      </c>
      <c r="Q48" s="268">
        <f t="shared" si="16"/>
        <v>515</v>
      </c>
      <c r="R48" s="268">
        <f t="shared" si="16"/>
        <v>73</v>
      </c>
      <c r="S48" s="269">
        <f>+SUM(C48:R48)</f>
        <v>8041</v>
      </c>
      <c r="T48" s="261"/>
    </row>
    <row r="49" spans="1:20" ht="13.5" thickBot="1">
      <c r="A49" s="251" t="s">
        <v>109</v>
      </c>
      <c r="C49" s="268">
        <f aca="true" t="shared" si="17" ref="C49:R49">+ROUND(C9/$B9,0)</f>
        <v>-11</v>
      </c>
      <c r="D49" s="268">
        <f t="shared" si="17"/>
        <v>-2</v>
      </c>
      <c r="E49" s="268">
        <f t="shared" si="17"/>
        <v>13</v>
      </c>
      <c r="F49" s="268">
        <f t="shared" si="17"/>
        <v>13</v>
      </c>
      <c r="G49" s="268">
        <f t="shared" si="17"/>
        <v>13</v>
      </c>
      <c r="H49" s="268">
        <f t="shared" si="17"/>
        <v>13</v>
      </c>
      <c r="I49" s="268">
        <f t="shared" si="17"/>
        <v>15</v>
      </c>
      <c r="J49" s="268">
        <f t="shared" si="17"/>
        <v>11</v>
      </c>
      <c r="K49" s="268">
        <f t="shared" si="17"/>
        <v>13</v>
      </c>
      <c r="L49" s="268">
        <f t="shared" si="17"/>
        <v>13</v>
      </c>
      <c r="M49" s="268">
        <f t="shared" si="17"/>
        <v>13</v>
      </c>
      <c r="N49" s="268">
        <f t="shared" si="17"/>
        <v>13</v>
      </c>
      <c r="O49" s="268">
        <f t="shared" si="17"/>
        <v>13</v>
      </c>
      <c r="P49" s="268">
        <f t="shared" si="17"/>
        <v>13</v>
      </c>
      <c r="Q49" s="268">
        <f t="shared" si="17"/>
        <v>10</v>
      </c>
      <c r="R49" s="268">
        <f t="shared" si="17"/>
        <v>2</v>
      </c>
      <c r="S49" s="269">
        <f aca="true" t="shared" si="18" ref="S49:S55">+SUM(C49:R49)</f>
        <v>155</v>
      </c>
      <c r="T49" s="261"/>
    </row>
    <row r="50" spans="1:20" ht="13.5" thickBot="1">
      <c r="A50" s="251" t="s">
        <v>110</v>
      </c>
      <c r="C50" s="268">
        <f aca="true" t="shared" si="19" ref="C50:R50">+ROUND(C10/$B10,0)</f>
        <v>-95</v>
      </c>
      <c r="D50" s="268">
        <f t="shared" si="19"/>
        <v>-31</v>
      </c>
      <c r="E50" s="268">
        <f t="shared" si="19"/>
        <v>105</v>
      </c>
      <c r="F50" s="268">
        <f t="shared" si="19"/>
        <v>108</v>
      </c>
      <c r="G50" s="268">
        <f t="shared" si="19"/>
        <v>89</v>
      </c>
      <c r="H50" s="268">
        <f t="shared" si="19"/>
        <v>74</v>
      </c>
      <c r="I50" s="268">
        <f t="shared" si="19"/>
        <v>83</v>
      </c>
      <c r="J50" s="268">
        <f t="shared" si="19"/>
        <v>66</v>
      </c>
      <c r="K50" s="268">
        <f t="shared" si="19"/>
        <v>72</v>
      </c>
      <c r="L50" s="268">
        <f t="shared" si="19"/>
        <v>73</v>
      </c>
      <c r="M50" s="268">
        <f t="shared" si="19"/>
        <v>71</v>
      </c>
      <c r="N50" s="268">
        <f t="shared" si="19"/>
        <v>73</v>
      </c>
      <c r="O50" s="268">
        <f t="shared" si="19"/>
        <v>66</v>
      </c>
      <c r="P50" s="268">
        <f t="shared" si="19"/>
        <v>74</v>
      </c>
      <c r="Q50" s="268">
        <f t="shared" si="19"/>
        <v>59</v>
      </c>
      <c r="R50" s="268">
        <f t="shared" si="19"/>
        <v>13</v>
      </c>
      <c r="S50" s="269">
        <f t="shared" si="18"/>
        <v>900</v>
      </c>
      <c r="T50" s="261"/>
    </row>
    <row r="51" spans="1:20" ht="13.5" thickBot="1">
      <c r="A51" s="251" t="s">
        <v>111</v>
      </c>
      <c r="C51" s="268">
        <f aca="true" t="shared" si="20" ref="C51:R51">+ROUND(C11/$B11,0)</f>
        <v>-4</v>
      </c>
      <c r="D51" s="268">
        <f t="shared" si="20"/>
        <v>0</v>
      </c>
      <c r="E51" s="268">
        <f t="shared" si="20"/>
        <v>4</v>
      </c>
      <c r="F51" s="268">
        <f t="shared" si="20"/>
        <v>4</v>
      </c>
      <c r="G51" s="268">
        <f t="shared" si="20"/>
        <v>4</v>
      </c>
      <c r="H51" s="268">
        <f t="shared" si="20"/>
        <v>4</v>
      </c>
      <c r="I51" s="268">
        <f t="shared" si="20"/>
        <v>4</v>
      </c>
      <c r="J51" s="268">
        <f t="shared" si="20"/>
        <v>5</v>
      </c>
      <c r="K51" s="268">
        <f t="shared" si="20"/>
        <v>5</v>
      </c>
      <c r="L51" s="268">
        <f t="shared" si="20"/>
        <v>5</v>
      </c>
      <c r="M51" s="268">
        <f t="shared" si="20"/>
        <v>5</v>
      </c>
      <c r="N51" s="268">
        <f t="shared" si="20"/>
        <v>5</v>
      </c>
      <c r="O51" s="268">
        <f t="shared" si="20"/>
        <v>5</v>
      </c>
      <c r="P51" s="268">
        <f t="shared" si="20"/>
        <v>5</v>
      </c>
      <c r="Q51" s="268">
        <f t="shared" si="20"/>
        <v>5</v>
      </c>
      <c r="R51" s="268">
        <f t="shared" si="20"/>
        <v>0</v>
      </c>
      <c r="S51" s="269">
        <f t="shared" si="18"/>
        <v>56</v>
      </c>
      <c r="T51" s="261"/>
    </row>
    <row r="52" spans="1:20" ht="13.5" thickBot="1">
      <c r="A52" s="251" t="s">
        <v>112</v>
      </c>
      <c r="C52" s="268">
        <f aca="true" t="shared" si="21" ref="C52:R52">+ROUND(C12/$B12,0)</f>
        <v>-4</v>
      </c>
      <c r="D52" s="268">
        <f t="shared" si="21"/>
        <v>-1</v>
      </c>
      <c r="E52" s="268">
        <f t="shared" si="21"/>
        <v>4</v>
      </c>
      <c r="F52" s="268">
        <f t="shared" si="21"/>
        <v>5</v>
      </c>
      <c r="G52" s="268">
        <f t="shared" si="21"/>
        <v>5</v>
      </c>
      <c r="H52" s="268">
        <f t="shared" si="21"/>
        <v>5</v>
      </c>
      <c r="I52" s="268">
        <f t="shared" si="21"/>
        <v>5</v>
      </c>
      <c r="J52" s="268">
        <f t="shared" si="21"/>
        <v>5</v>
      </c>
      <c r="K52" s="268">
        <f t="shared" si="21"/>
        <v>5</v>
      </c>
      <c r="L52" s="268">
        <f t="shared" si="21"/>
        <v>5</v>
      </c>
      <c r="M52" s="268">
        <f t="shared" si="21"/>
        <v>5</v>
      </c>
      <c r="N52" s="268">
        <f t="shared" si="21"/>
        <v>5</v>
      </c>
      <c r="O52" s="268">
        <f t="shared" si="21"/>
        <v>5</v>
      </c>
      <c r="P52" s="268">
        <f t="shared" si="21"/>
        <v>5</v>
      </c>
      <c r="Q52" s="268">
        <f t="shared" si="21"/>
        <v>5</v>
      </c>
      <c r="R52" s="268">
        <f t="shared" si="21"/>
        <v>0</v>
      </c>
      <c r="S52" s="269">
        <f t="shared" si="18"/>
        <v>59</v>
      </c>
      <c r="T52" s="261"/>
    </row>
    <row r="53" spans="1:20" ht="13.5" thickBot="1">
      <c r="A53" s="251" t="s">
        <v>113</v>
      </c>
      <c r="C53" s="268">
        <f aca="true" t="shared" si="22" ref="C53:R53">+ROUND(C13/$B13,0)</f>
        <v>0</v>
      </c>
      <c r="D53" s="268">
        <f t="shared" si="22"/>
        <v>0</v>
      </c>
      <c r="E53" s="268">
        <f t="shared" si="22"/>
        <v>0</v>
      </c>
      <c r="F53" s="268">
        <f t="shared" si="22"/>
        <v>0</v>
      </c>
      <c r="G53" s="268">
        <f t="shared" si="22"/>
        <v>0</v>
      </c>
      <c r="H53" s="268">
        <f t="shared" si="22"/>
        <v>0</v>
      </c>
      <c r="I53" s="268">
        <f t="shared" si="22"/>
        <v>0</v>
      </c>
      <c r="J53" s="268">
        <f t="shared" si="22"/>
        <v>0</v>
      </c>
      <c r="K53" s="268">
        <f t="shared" si="22"/>
        <v>0</v>
      </c>
      <c r="L53" s="268">
        <f t="shared" si="22"/>
        <v>0</v>
      </c>
      <c r="M53" s="268">
        <f t="shared" si="22"/>
        <v>0</v>
      </c>
      <c r="N53" s="268">
        <f t="shared" si="22"/>
        <v>0</v>
      </c>
      <c r="O53" s="268">
        <f t="shared" si="22"/>
        <v>0</v>
      </c>
      <c r="P53" s="268">
        <f t="shared" si="22"/>
        <v>0</v>
      </c>
      <c r="Q53" s="268">
        <f t="shared" si="22"/>
        <v>0</v>
      </c>
      <c r="R53" s="268">
        <f t="shared" si="22"/>
        <v>0</v>
      </c>
      <c r="S53" s="269">
        <f t="shared" si="18"/>
        <v>0</v>
      </c>
      <c r="T53" s="261"/>
    </row>
    <row r="54" spans="1:20" ht="13.5" thickBot="1">
      <c r="A54" s="251" t="s">
        <v>114</v>
      </c>
      <c r="C54" s="268">
        <f aca="true" t="shared" si="23" ref="C54:R54">+ROUND(C14/$B14,0)</f>
        <v>-1</v>
      </c>
      <c r="D54" s="268">
        <f t="shared" si="23"/>
        <v>0</v>
      </c>
      <c r="E54" s="268">
        <f t="shared" si="23"/>
        <v>1</v>
      </c>
      <c r="F54" s="268">
        <f t="shared" si="23"/>
        <v>1</v>
      </c>
      <c r="G54" s="268">
        <f t="shared" si="23"/>
        <v>1</v>
      </c>
      <c r="H54" s="268">
        <f t="shared" si="23"/>
        <v>1</v>
      </c>
      <c r="I54" s="268">
        <f t="shared" si="23"/>
        <v>1</v>
      </c>
      <c r="J54" s="268">
        <f t="shared" si="23"/>
        <v>1</v>
      </c>
      <c r="K54" s="268">
        <f t="shared" si="23"/>
        <v>1</v>
      </c>
      <c r="L54" s="268">
        <f t="shared" si="23"/>
        <v>1</v>
      </c>
      <c r="M54" s="268">
        <f t="shared" si="23"/>
        <v>1</v>
      </c>
      <c r="N54" s="268">
        <f t="shared" si="23"/>
        <v>1</v>
      </c>
      <c r="O54" s="268">
        <f t="shared" si="23"/>
        <v>1</v>
      </c>
      <c r="P54" s="268">
        <f t="shared" si="23"/>
        <v>1</v>
      </c>
      <c r="Q54" s="268">
        <f t="shared" si="23"/>
        <v>1</v>
      </c>
      <c r="R54" s="268">
        <f t="shared" si="23"/>
        <v>0</v>
      </c>
      <c r="S54" s="269">
        <f t="shared" si="18"/>
        <v>12</v>
      </c>
      <c r="T54" s="261"/>
    </row>
    <row r="55" spans="1:20" ht="12.75">
      <c r="A55" s="251" t="s">
        <v>115</v>
      </c>
      <c r="C55" s="268">
        <f aca="true" t="shared" si="24" ref="C55:R55">+ROUND(C15/$B15,0)</f>
        <v>-311</v>
      </c>
      <c r="D55" s="268">
        <f t="shared" si="24"/>
        <v>-48</v>
      </c>
      <c r="E55" s="268">
        <f t="shared" si="24"/>
        <v>324</v>
      </c>
      <c r="F55" s="268">
        <f t="shared" si="24"/>
        <v>145</v>
      </c>
      <c r="G55" s="268">
        <f t="shared" si="24"/>
        <v>139</v>
      </c>
      <c r="H55" s="268">
        <f t="shared" si="24"/>
        <v>148</v>
      </c>
      <c r="I55" s="268">
        <f t="shared" si="24"/>
        <v>149</v>
      </c>
      <c r="J55" s="268">
        <f t="shared" si="24"/>
        <v>142</v>
      </c>
      <c r="K55" s="268">
        <f t="shared" si="24"/>
        <v>144</v>
      </c>
      <c r="L55" s="268">
        <f t="shared" si="24"/>
        <v>145</v>
      </c>
      <c r="M55" s="268">
        <f t="shared" si="24"/>
        <v>145</v>
      </c>
      <c r="N55" s="268">
        <f t="shared" si="24"/>
        <v>145</v>
      </c>
      <c r="O55" s="268">
        <f t="shared" si="24"/>
        <v>142</v>
      </c>
      <c r="P55" s="268">
        <f t="shared" si="24"/>
        <v>166</v>
      </c>
      <c r="Q55" s="268">
        <f t="shared" si="24"/>
        <v>295</v>
      </c>
      <c r="R55" s="268">
        <f t="shared" si="24"/>
        <v>-7</v>
      </c>
      <c r="S55" s="269">
        <f t="shared" si="18"/>
        <v>1863</v>
      </c>
      <c r="T55" s="261"/>
    </row>
    <row r="56" spans="1:20" ht="12.75">
      <c r="A56" s="251"/>
      <c r="B56" s="251"/>
      <c r="C56" s="269">
        <f aca="true" t="shared" si="25" ref="C56:S56">+SUM(C47:C55)</f>
        <v>-7132</v>
      </c>
      <c r="D56" s="269">
        <f t="shared" si="25"/>
        <v>-1173</v>
      </c>
      <c r="E56" s="269">
        <f t="shared" si="25"/>
        <v>7908</v>
      </c>
      <c r="F56" s="269">
        <f t="shared" si="25"/>
        <v>6753</v>
      </c>
      <c r="G56" s="269">
        <f t="shared" si="25"/>
        <v>5989</v>
      </c>
      <c r="H56" s="269">
        <f t="shared" si="25"/>
        <v>5914</v>
      </c>
      <c r="I56" s="269">
        <f t="shared" si="25"/>
        <v>7104</v>
      </c>
      <c r="J56" s="269">
        <f t="shared" si="25"/>
        <v>5891</v>
      </c>
      <c r="K56" s="269">
        <f t="shared" si="25"/>
        <v>6293</v>
      </c>
      <c r="L56" s="269">
        <f t="shared" si="25"/>
        <v>6259</v>
      </c>
      <c r="M56" s="269">
        <f t="shared" si="25"/>
        <v>6288</v>
      </c>
      <c r="N56" s="269">
        <f t="shared" si="25"/>
        <v>6339</v>
      </c>
      <c r="O56" s="269">
        <f t="shared" si="25"/>
        <v>5959</v>
      </c>
      <c r="P56" s="269">
        <f t="shared" si="25"/>
        <v>6354</v>
      </c>
      <c r="Q56" s="269">
        <f t="shared" si="25"/>
        <v>5025</v>
      </c>
      <c r="R56" s="269">
        <f t="shared" si="25"/>
        <v>901</v>
      </c>
      <c r="S56" s="269">
        <f t="shared" si="25"/>
        <v>74672</v>
      </c>
      <c r="T56" s="261"/>
    </row>
    <row r="58" spans="2:3" ht="12.75">
      <c r="B58" s="255"/>
      <c r="C58" s="255"/>
    </row>
    <row r="59" spans="1:19" ht="13.5" thickBot="1">
      <c r="A59" s="253" t="s">
        <v>129</v>
      </c>
      <c r="C59" t="s">
        <v>117</v>
      </c>
      <c r="D59" t="s">
        <v>118</v>
      </c>
      <c r="E59" t="s">
        <v>119</v>
      </c>
      <c r="F59" t="s">
        <v>37</v>
      </c>
      <c r="G59" t="s">
        <v>38</v>
      </c>
      <c r="H59" t="s">
        <v>39</v>
      </c>
      <c r="I59" t="s">
        <v>40</v>
      </c>
      <c r="J59" t="s">
        <v>41</v>
      </c>
      <c r="K59" t="s">
        <v>42</v>
      </c>
      <c r="L59" t="s">
        <v>43</v>
      </c>
      <c r="M59" t="s">
        <v>44</v>
      </c>
      <c r="N59" t="s">
        <v>45</v>
      </c>
      <c r="O59" t="s">
        <v>46</v>
      </c>
      <c r="P59" t="s">
        <v>47</v>
      </c>
      <c r="Q59" t="s">
        <v>120</v>
      </c>
      <c r="R59" t="s">
        <v>121</v>
      </c>
      <c r="S59" t="s">
        <v>18</v>
      </c>
    </row>
    <row r="60" spans="1:20" ht="13.5" thickBot="1">
      <c r="A60" s="250" t="s">
        <v>107</v>
      </c>
      <c r="B60" t="s">
        <v>116</v>
      </c>
      <c r="C60" s="268">
        <f aca="true" t="shared" si="26" ref="C60:R60">+ROUND(C20/$B20,0)</f>
        <v>-5149944</v>
      </c>
      <c r="D60" s="268">
        <f t="shared" si="26"/>
        <v>-994897</v>
      </c>
      <c r="E60" s="268">
        <f t="shared" si="26"/>
        <v>5865106</v>
      </c>
      <c r="F60" s="268">
        <f t="shared" si="26"/>
        <v>5253636</v>
      </c>
      <c r="G60" s="268">
        <f t="shared" si="26"/>
        <v>4356124</v>
      </c>
      <c r="H60" s="268">
        <f t="shared" si="26"/>
        <v>3742936</v>
      </c>
      <c r="I60" s="268">
        <f t="shared" si="26"/>
        <v>4096874</v>
      </c>
      <c r="J60" s="268">
        <f t="shared" si="26"/>
        <v>3170430</v>
      </c>
      <c r="K60" s="268">
        <f t="shared" si="26"/>
        <v>4258537</v>
      </c>
      <c r="L60" s="268">
        <f t="shared" si="26"/>
        <v>4584423</v>
      </c>
      <c r="M60" s="268">
        <f t="shared" si="26"/>
        <v>4496832</v>
      </c>
      <c r="N60" s="268">
        <f t="shared" si="26"/>
        <v>3665092</v>
      </c>
      <c r="O60" s="268">
        <f t="shared" si="26"/>
        <v>3441954</v>
      </c>
      <c r="P60" s="268">
        <f t="shared" si="26"/>
        <v>3987777</v>
      </c>
      <c r="Q60" s="268">
        <f t="shared" si="26"/>
        <v>3678254</v>
      </c>
      <c r="R60" s="268">
        <f t="shared" si="26"/>
        <v>907231</v>
      </c>
      <c r="S60" s="268">
        <f>+SUM(C60:R60)</f>
        <v>49360365</v>
      </c>
      <c r="T60" s="261"/>
    </row>
    <row r="61" spans="1:20" ht="13.5" thickBot="1">
      <c r="A61" s="251" t="s">
        <v>108</v>
      </c>
      <c r="B61" t="s">
        <v>116</v>
      </c>
      <c r="C61" s="268">
        <f aca="true" t="shared" si="27" ref="C61:R61">+ROUND(C21/$B21,0)</f>
        <v>-2301572</v>
      </c>
      <c r="D61" s="268">
        <f t="shared" si="27"/>
        <v>-320381</v>
      </c>
      <c r="E61" s="268">
        <f t="shared" si="27"/>
        <v>2526697</v>
      </c>
      <c r="F61" s="268">
        <f t="shared" si="27"/>
        <v>2128519</v>
      </c>
      <c r="G61" s="268">
        <f t="shared" si="27"/>
        <v>2019286</v>
      </c>
      <c r="H61" s="268">
        <f t="shared" si="27"/>
        <v>1835063</v>
      </c>
      <c r="I61" s="268">
        <f t="shared" si="27"/>
        <v>2296225</v>
      </c>
      <c r="J61" s="268">
        <f t="shared" si="27"/>
        <v>1627109</v>
      </c>
      <c r="K61" s="268">
        <f t="shared" si="27"/>
        <v>2459903</v>
      </c>
      <c r="L61" s="268">
        <f t="shared" si="27"/>
        <v>2339588</v>
      </c>
      <c r="M61" s="268">
        <f t="shared" si="27"/>
        <v>2286400</v>
      </c>
      <c r="N61" s="268">
        <f t="shared" si="27"/>
        <v>2082238</v>
      </c>
      <c r="O61" s="268">
        <f t="shared" si="27"/>
        <v>1972975</v>
      </c>
      <c r="P61" s="268">
        <f t="shared" si="27"/>
        <v>2160900</v>
      </c>
      <c r="Q61" s="268">
        <f t="shared" si="27"/>
        <v>1891125</v>
      </c>
      <c r="R61" s="268">
        <f t="shared" si="27"/>
        <v>360500</v>
      </c>
      <c r="S61" s="269">
        <f>+SUM(C61:R61)</f>
        <v>25364575</v>
      </c>
      <c r="T61" s="261"/>
    </row>
    <row r="62" spans="1:20" ht="13.5" thickBot="1">
      <c r="A62" s="251" t="s">
        <v>109</v>
      </c>
      <c r="B62" t="s">
        <v>116</v>
      </c>
      <c r="C62" s="268">
        <f aca="true" t="shared" si="28" ref="C62:R62">+ROUND(C22/$B22,0)</f>
        <v>-2659</v>
      </c>
      <c r="D62" s="268">
        <f t="shared" si="28"/>
        <v>-993</v>
      </c>
      <c r="E62" s="268">
        <f t="shared" si="28"/>
        <v>3172</v>
      </c>
      <c r="F62" s="268">
        <f t="shared" si="28"/>
        <v>3930</v>
      </c>
      <c r="G62" s="268">
        <f t="shared" si="28"/>
        <v>3625</v>
      </c>
      <c r="H62" s="268">
        <f t="shared" si="28"/>
        <v>2750</v>
      </c>
      <c r="I62" s="268">
        <f t="shared" si="28"/>
        <v>2813</v>
      </c>
      <c r="J62" s="268">
        <f t="shared" si="28"/>
        <v>800</v>
      </c>
      <c r="K62" s="268">
        <f t="shared" si="28"/>
        <v>1413</v>
      </c>
      <c r="L62" s="268">
        <f t="shared" si="28"/>
        <v>1400</v>
      </c>
      <c r="M62" s="268">
        <f t="shared" si="28"/>
        <v>1350</v>
      </c>
      <c r="N62" s="268">
        <f t="shared" si="28"/>
        <v>1600</v>
      </c>
      <c r="O62" s="268">
        <f t="shared" si="28"/>
        <v>1875</v>
      </c>
      <c r="P62" s="268">
        <f t="shared" si="28"/>
        <v>2263</v>
      </c>
      <c r="Q62" s="268">
        <f t="shared" si="28"/>
        <v>1513</v>
      </c>
      <c r="R62" s="268">
        <f t="shared" si="28"/>
        <v>1363</v>
      </c>
      <c r="S62" s="269">
        <f aca="true" t="shared" si="29" ref="S62:S68">+SUM(C62:R62)</f>
        <v>26215</v>
      </c>
      <c r="T62" s="261"/>
    </row>
    <row r="63" spans="1:20" ht="13.5" thickBot="1">
      <c r="A63" s="251" t="s">
        <v>110</v>
      </c>
      <c r="B63" t="s">
        <v>20</v>
      </c>
      <c r="C63" s="268">
        <f aca="true" t="shared" si="30" ref="C63:R63">+ROUND(C23/$B23,0)</f>
        <v>-11928</v>
      </c>
      <c r="D63" s="268">
        <f t="shared" si="30"/>
        <v>-3617</v>
      </c>
      <c r="E63" s="268">
        <f t="shared" si="30"/>
        <v>13016</v>
      </c>
      <c r="F63" s="268">
        <f t="shared" si="30"/>
        <v>12532</v>
      </c>
      <c r="G63" s="268">
        <f t="shared" si="30"/>
        <v>11054</v>
      </c>
      <c r="H63" s="268">
        <f t="shared" si="30"/>
        <v>10128</v>
      </c>
      <c r="I63" s="268">
        <f t="shared" si="30"/>
        <v>11187</v>
      </c>
      <c r="J63" s="268">
        <f t="shared" si="30"/>
        <v>8806</v>
      </c>
      <c r="K63" s="268">
        <f t="shared" si="30"/>
        <v>9590</v>
      </c>
      <c r="L63" s="268">
        <f t="shared" si="30"/>
        <v>10290</v>
      </c>
      <c r="M63" s="268">
        <f t="shared" si="30"/>
        <v>10708</v>
      </c>
      <c r="N63" s="268">
        <f t="shared" si="30"/>
        <v>10540</v>
      </c>
      <c r="O63" s="268">
        <f t="shared" si="30"/>
        <v>8800</v>
      </c>
      <c r="P63" s="268">
        <f t="shared" si="30"/>
        <v>10175</v>
      </c>
      <c r="Q63" s="268">
        <f t="shared" si="30"/>
        <v>8734</v>
      </c>
      <c r="R63" s="268">
        <f t="shared" si="30"/>
        <v>1958</v>
      </c>
      <c r="S63" s="269">
        <f t="shared" si="29"/>
        <v>121973</v>
      </c>
      <c r="T63" s="261"/>
    </row>
    <row r="64" spans="1:20" ht="13.5" thickBot="1">
      <c r="A64" s="251" t="s">
        <v>111</v>
      </c>
      <c r="B64" t="s">
        <v>20</v>
      </c>
      <c r="C64" s="268">
        <f aca="true" t="shared" si="31" ref="C64:R64">+ROUND(C24/$B24,0)</f>
        <v>-2271</v>
      </c>
      <c r="D64" s="268">
        <f t="shared" si="31"/>
        <v>0</v>
      </c>
      <c r="E64" s="268">
        <f t="shared" si="31"/>
        <v>2271</v>
      </c>
      <c r="F64" s="268">
        <f t="shared" si="31"/>
        <v>2230</v>
      </c>
      <c r="G64" s="268">
        <f t="shared" si="31"/>
        <v>2239</v>
      </c>
      <c r="H64" s="268">
        <f t="shared" si="31"/>
        <v>2276</v>
      </c>
      <c r="I64" s="268">
        <f t="shared" si="31"/>
        <v>2253</v>
      </c>
      <c r="J64" s="268">
        <f t="shared" si="31"/>
        <v>2698</v>
      </c>
      <c r="K64" s="268">
        <f t="shared" si="31"/>
        <v>3248</v>
      </c>
      <c r="L64" s="268">
        <f t="shared" si="31"/>
        <v>3084</v>
      </c>
      <c r="M64" s="268">
        <f t="shared" si="31"/>
        <v>3117</v>
      </c>
      <c r="N64" s="268">
        <f t="shared" si="31"/>
        <v>3057</v>
      </c>
      <c r="O64" s="268">
        <f t="shared" si="31"/>
        <v>2761</v>
      </c>
      <c r="P64" s="268">
        <f t="shared" si="31"/>
        <v>2651</v>
      </c>
      <c r="Q64" s="268">
        <f t="shared" si="31"/>
        <v>2479</v>
      </c>
      <c r="R64" s="268">
        <f t="shared" si="31"/>
        <v>0</v>
      </c>
      <c r="S64" s="269">
        <f t="shared" si="29"/>
        <v>32093</v>
      </c>
      <c r="T64" s="261"/>
    </row>
    <row r="65" spans="1:20" ht="13.5" thickBot="1">
      <c r="A65" s="251" t="s">
        <v>112</v>
      </c>
      <c r="B65" t="s">
        <v>20</v>
      </c>
      <c r="C65" s="268">
        <f aca="true" t="shared" si="32" ref="C65:R65">+ROUND(C25/$B25,0)</f>
        <v>-11243</v>
      </c>
      <c r="D65" s="268">
        <f t="shared" si="32"/>
        <v>-3494</v>
      </c>
      <c r="E65" s="268">
        <f t="shared" si="32"/>
        <v>11243</v>
      </c>
      <c r="F65" s="268">
        <f t="shared" si="32"/>
        <v>14676</v>
      </c>
      <c r="G65" s="268">
        <f t="shared" si="32"/>
        <v>14821</v>
      </c>
      <c r="H65" s="268">
        <f t="shared" si="32"/>
        <v>14901</v>
      </c>
      <c r="I65" s="268">
        <f t="shared" si="32"/>
        <v>14961</v>
      </c>
      <c r="J65" s="268">
        <f t="shared" si="32"/>
        <v>15852</v>
      </c>
      <c r="K65" s="268">
        <f t="shared" si="32"/>
        <v>14903</v>
      </c>
      <c r="L65" s="268">
        <f t="shared" si="32"/>
        <v>14210</v>
      </c>
      <c r="M65" s="268">
        <f t="shared" si="32"/>
        <v>15176</v>
      </c>
      <c r="N65" s="268">
        <f t="shared" si="32"/>
        <v>15278</v>
      </c>
      <c r="O65" s="268">
        <f t="shared" si="32"/>
        <v>15072</v>
      </c>
      <c r="P65" s="268">
        <f t="shared" si="32"/>
        <v>13514</v>
      </c>
      <c r="Q65" s="268">
        <f t="shared" si="32"/>
        <v>15008</v>
      </c>
      <c r="R65" s="268">
        <f t="shared" si="32"/>
        <v>0</v>
      </c>
      <c r="S65" s="269">
        <f t="shared" si="29"/>
        <v>174878</v>
      </c>
      <c r="T65" s="261"/>
    </row>
    <row r="66" spans="1:20" ht="13.5" thickBot="1">
      <c r="A66" s="251" t="s">
        <v>113</v>
      </c>
      <c r="B66" t="s">
        <v>20</v>
      </c>
      <c r="C66" s="268">
        <f aca="true" t="shared" si="33" ref="C66:R66">+ROUND(C26/$B26,0)</f>
        <v>0</v>
      </c>
      <c r="D66" s="268">
        <f t="shared" si="33"/>
        <v>0</v>
      </c>
      <c r="E66" s="268">
        <f t="shared" si="33"/>
        <v>0</v>
      </c>
      <c r="F66" s="268">
        <f t="shared" si="33"/>
        <v>0</v>
      </c>
      <c r="G66" s="268">
        <f t="shared" si="33"/>
        <v>0</v>
      </c>
      <c r="H66" s="268">
        <f t="shared" si="33"/>
        <v>0</v>
      </c>
      <c r="I66" s="268">
        <f t="shared" si="33"/>
        <v>0</v>
      </c>
      <c r="J66" s="268">
        <f t="shared" si="33"/>
        <v>0</v>
      </c>
      <c r="K66" s="268">
        <f t="shared" si="33"/>
        <v>0</v>
      </c>
      <c r="L66" s="268">
        <f t="shared" si="33"/>
        <v>0</v>
      </c>
      <c r="M66" s="268">
        <f t="shared" si="33"/>
        <v>0</v>
      </c>
      <c r="N66" s="268">
        <f t="shared" si="33"/>
        <v>0</v>
      </c>
      <c r="O66" s="268">
        <f t="shared" si="33"/>
        <v>0</v>
      </c>
      <c r="P66" s="268">
        <f t="shared" si="33"/>
        <v>0</v>
      </c>
      <c r="Q66" s="268">
        <f t="shared" si="33"/>
        <v>0</v>
      </c>
      <c r="R66" s="268">
        <f t="shared" si="33"/>
        <v>0</v>
      </c>
      <c r="S66" s="269">
        <f t="shared" si="29"/>
        <v>0</v>
      </c>
      <c r="T66" s="261"/>
    </row>
    <row r="67" spans="1:20" ht="13.5" thickBot="1">
      <c r="A67" s="251" t="s">
        <v>114</v>
      </c>
      <c r="B67" t="s">
        <v>20</v>
      </c>
      <c r="C67" s="268">
        <f aca="true" t="shared" si="34" ref="C67:R67">+ROUND(C27/$B27,0)</f>
        <v>-309</v>
      </c>
      <c r="D67" s="268">
        <f t="shared" si="34"/>
        <v>0</v>
      </c>
      <c r="E67" s="268">
        <f t="shared" si="34"/>
        <v>309</v>
      </c>
      <c r="F67" s="268">
        <f t="shared" si="34"/>
        <v>309</v>
      </c>
      <c r="G67" s="268">
        <f t="shared" si="34"/>
        <v>309</v>
      </c>
      <c r="H67" s="268">
        <f t="shared" si="34"/>
        <v>309</v>
      </c>
      <c r="I67" s="268">
        <f t="shared" si="34"/>
        <v>309</v>
      </c>
      <c r="J67" s="268">
        <f t="shared" si="34"/>
        <v>309</v>
      </c>
      <c r="K67" s="268">
        <f t="shared" si="34"/>
        <v>309</v>
      </c>
      <c r="L67" s="268">
        <f t="shared" si="34"/>
        <v>309</v>
      </c>
      <c r="M67" s="268">
        <f t="shared" si="34"/>
        <v>309</v>
      </c>
      <c r="N67" s="268">
        <f t="shared" si="34"/>
        <v>309</v>
      </c>
      <c r="O67" s="268">
        <f t="shared" si="34"/>
        <v>309</v>
      </c>
      <c r="P67" s="268">
        <f t="shared" si="34"/>
        <v>309</v>
      </c>
      <c r="Q67" s="268">
        <f t="shared" si="34"/>
        <v>309</v>
      </c>
      <c r="R67" s="268">
        <f t="shared" si="34"/>
        <v>0</v>
      </c>
      <c r="S67" s="269">
        <f t="shared" si="29"/>
        <v>3708</v>
      </c>
      <c r="T67" s="261"/>
    </row>
    <row r="68" spans="1:20" ht="12.75">
      <c r="A68" s="251" t="s">
        <v>115</v>
      </c>
      <c r="B68" t="s">
        <v>20</v>
      </c>
      <c r="C68" s="268">
        <f aca="true" t="shared" si="35" ref="C68:R68">+ROUND(C28/$B28,0)</f>
        <v>-106</v>
      </c>
      <c r="D68" s="268">
        <f t="shared" si="35"/>
        <v>-8</v>
      </c>
      <c r="E68" s="268">
        <f t="shared" si="35"/>
        <v>110</v>
      </c>
      <c r="F68" s="268">
        <f t="shared" si="35"/>
        <v>24</v>
      </c>
      <c r="G68" s="268">
        <f t="shared" si="35"/>
        <v>23</v>
      </c>
      <c r="H68" s="268">
        <f t="shared" si="35"/>
        <v>25</v>
      </c>
      <c r="I68" s="268">
        <f t="shared" si="35"/>
        <v>25</v>
      </c>
      <c r="J68" s="268">
        <f t="shared" si="35"/>
        <v>21</v>
      </c>
      <c r="K68" s="268">
        <f t="shared" si="35"/>
        <v>25</v>
      </c>
      <c r="L68" s="268">
        <f t="shared" si="35"/>
        <v>25</v>
      </c>
      <c r="M68" s="268">
        <f t="shared" si="35"/>
        <v>25</v>
      </c>
      <c r="N68" s="268">
        <f t="shared" si="35"/>
        <v>25</v>
      </c>
      <c r="O68" s="268">
        <f t="shared" si="35"/>
        <v>25</v>
      </c>
      <c r="P68" s="268">
        <f t="shared" si="35"/>
        <v>52</v>
      </c>
      <c r="Q68" s="268">
        <f t="shared" si="35"/>
        <v>73</v>
      </c>
      <c r="R68" s="268">
        <f t="shared" si="35"/>
        <v>5</v>
      </c>
      <c r="S68" s="269">
        <f t="shared" si="29"/>
        <v>369</v>
      </c>
      <c r="T68" s="261"/>
    </row>
    <row r="69" spans="1:20" ht="12.75">
      <c r="A69" s="251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1"/>
    </row>
  </sheetData>
  <sheetProtection/>
  <printOptions/>
  <pageMargins left="0.3" right="0.3" top="0.3" bottom="0.3" header="0.2" footer="0.2"/>
  <pageSetup fitToHeight="1" fitToWidth="1" horizontalDpi="600" verticalDpi="600" orientation="landscape" paperSize="5" scale="64" r:id="rId1"/>
  <headerFooter>
    <oddHeader>&amp;RTillsonburg Hydro Inc.
</oddHeader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9"/>
  <sheetViews>
    <sheetView zoomScalePageLayoutView="0" workbookViewId="0" topLeftCell="A1">
      <selection activeCell="D80" sqref="D79:D80"/>
    </sheetView>
  </sheetViews>
  <sheetFormatPr defaultColWidth="9.140625" defaultRowHeight="12.75"/>
  <cols>
    <col min="1" max="1" width="23.57421875" style="0" bestFit="1" customWidth="1"/>
    <col min="2" max="2" width="10.421875" style="0" customWidth="1"/>
    <col min="3" max="17" width="12.140625" style="0" customWidth="1"/>
  </cols>
  <sheetData>
    <row r="5" ht="12.75">
      <c r="A5" s="252">
        <v>2002</v>
      </c>
    </row>
    <row r="6" spans="1:16" ht="13.5" thickBot="1">
      <c r="A6" s="253" t="s">
        <v>122</v>
      </c>
      <c r="B6" s="253" t="s">
        <v>28</v>
      </c>
      <c r="C6" t="s">
        <v>38</v>
      </c>
      <c r="D6" t="s">
        <v>39</v>
      </c>
      <c r="E6" t="s">
        <v>125</v>
      </c>
      <c r="F6" t="s">
        <v>40</v>
      </c>
      <c r="G6" t="s">
        <v>41</v>
      </c>
      <c r="H6" t="s">
        <v>42</v>
      </c>
      <c r="I6" t="s">
        <v>43</v>
      </c>
      <c r="J6" t="s">
        <v>44</v>
      </c>
      <c r="K6" t="s">
        <v>45</v>
      </c>
      <c r="L6" t="s">
        <v>46</v>
      </c>
      <c r="M6" t="s">
        <v>47</v>
      </c>
      <c r="N6" t="s">
        <v>120</v>
      </c>
      <c r="O6" t="s">
        <v>121</v>
      </c>
      <c r="P6" t="s">
        <v>18</v>
      </c>
    </row>
    <row r="7" spans="1:16" ht="12.75">
      <c r="A7" s="250" t="s">
        <v>107</v>
      </c>
      <c r="B7" s="263">
        <v>1.07</v>
      </c>
      <c r="C7" s="263">
        <v>1647.9528571428573</v>
      </c>
      <c r="D7" s="263">
        <v>5526.520651428571</v>
      </c>
      <c r="E7" s="263">
        <v>3479.1227314285716</v>
      </c>
      <c r="F7" s="263">
        <v>2157.3034285714284</v>
      </c>
      <c r="G7" s="263">
        <v>2075.44904</v>
      </c>
      <c r="H7" s="263">
        <v>8198.293531428571</v>
      </c>
      <c r="I7" s="263">
        <v>5293.588377142858</v>
      </c>
      <c r="J7" s="263">
        <v>4687.9842742857145</v>
      </c>
      <c r="K7" s="263">
        <v>5233.392011428572</v>
      </c>
      <c r="L7" s="263">
        <v>5598.6741142857145</v>
      </c>
      <c r="M7" s="263">
        <v>5833.962834285714</v>
      </c>
      <c r="N7" s="263">
        <v>6409.07744</v>
      </c>
      <c r="O7" s="263">
        <v>1089.0105371428572</v>
      </c>
      <c r="P7" s="263">
        <f aca="true" t="shared" si="0" ref="P7:P15">+SUM(C7:O7)</f>
        <v>57230.331828571434</v>
      </c>
    </row>
    <row r="8" spans="1:16" ht="12.75">
      <c r="A8" s="251" t="s">
        <v>108</v>
      </c>
      <c r="B8" s="264">
        <v>2.29</v>
      </c>
      <c r="C8" s="264">
        <v>1144.699712153518</v>
      </c>
      <c r="D8" s="264">
        <v>1520.6674200426442</v>
      </c>
      <c r="E8" s="264">
        <v>799.8056929637529</v>
      </c>
      <c r="F8" s="264">
        <v>711.4026599147122</v>
      </c>
      <c r="G8" s="264">
        <v>325.6194456289978</v>
      </c>
      <c r="H8" s="264">
        <v>2360.1172121535183</v>
      </c>
      <c r="I8" s="264">
        <v>1300.1828997867806</v>
      </c>
      <c r="J8" s="264">
        <v>1462.9926226012797</v>
      </c>
      <c r="K8" s="264">
        <v>1507.697670575693</v>
      </c>
      <c r="L8" s="264">
        <v>1443.3152238805972</v>
      </c>
      <c r="M8" s="264">
        <v>1477.9435394456293</v>
      </c>
      <c r="N8" s="264">
        <v>1640.0611353944566</v>
      </c>
      <c r="O8" s="264">
        <v>167.71198294243072</v>
      </c>
      <c r="P8" s="264">
        <f t="shared" si="0"/>
        <v>15862.21721748401</v>
      </c>
    </row>
    <row r="9" spans="1:16" ht="12.75">
      <c r="A9" s="251" t="s">
        <v>109</v>
      </c>
      <c r="B9" s="264">
        <v>1.07</v>
      </c>
      <c r="C9" s="264">
        <v>10.45176</v>
      </c>
      <c r="D9" s="264">
        <v>12.84</v>
      </c>
      <c r="E9" s="264">
        <v>6.547177142857143</v>
      </c>
      <c r="F9" s="264">
        <v>7.362822857142858</v>
      </c>
      <c r="G9" s="264">
        <v>3.21</v>
      </c>
      <c r="H9" s="264">
        <v>20.330000000000002</v>
      </c>
      <c r="I9" s="264">
        <v>11.77</v>
      </c>
      <c r="J9" s="264">
        <v>14.98</v>
      </c>
      <c r="K9" s="264">
        <v>14.98</v>
      </c>
      <c r="L9" s="264">
        <v>13.91</v>
      </c>
      <c r="M9" s="264">
        <v>13.91</v>
      </c>
      <c r="N9" s="264">
        <v>11.888617142857143</v>
      </c>
      <c r="O9" s="264">
        <v>2.108205714285714</v>
      </c>
      <c r="P9" s="264">
        <f t="shared" si="0"/>
        <v>144.28858285714284</v>
      </c>
    </row>
    <row r="10" spans="1:16" ht="12.75">
      <c r="A10" s="251" t="s">
        <v>110</v>
      </c>
      <c r="B10" s="264">
        <v>9.22</v>
      </c>
      <c r="C10" s="264">
        <v>595.2965468956407</v>
      </c>
      <c r="D10" s="264">
        <v>857.46</v>
      </c>
      <c r="E10" s="264">
        <v>378.11256538969616</v>
      </c>
      <c r="F10" s="264">
        <v>460.9074346103038</v>
      </c>
      <c r="G10" s="264">
        <v>138.3</v>
      </c>
      <c r="H10" s="264">
        <v>1134.06</v>
      </c>
      <c r="I10" s="264">
        <v>765.26</v>
      </c>
      <c r="J10" s="264">
        <v>764.6449273447821</v>
      </c>
      <c r="K10" s="264">
        <v>803.368927344782</v>
      </c>
      <c r="L10" s="264">
        <v>883.2747820343461</v>
      </c>
      <c r="M10" s="264">
        <v>745.591072655218</v>
      </c>
      <c r="N10" s="264">
        <v>875.5540977542933</v>
      </c>
      <c r="O10" s="264">
        <v>289.1231228533686</v>
      </c>
      <c r="P10" s="264">
        <f t="shared" si="0"/>
        <v>8690.95347688243</v>
      </c>
    </row>
    <row r="11" spans="1:16" ht="12.75">
      <c r="A11" s="251" t="s">
        <v>111</v>
      </c>
      <c r="B11" s="264">
        <v>9.22</v>
      </c>
      <c r="C11" s="264">
        <v>0</v>
      </c>
      <c r="D11" s="264">
        <v>0</v>
      </c>
      <c r="E11" s="264">
        <v>0</v>
      </c>
      <c r="F11" s="264">
        <v>0</v>
      </c>
      <c r="G11" s="264">
        <v>27.66</v>
      </c>
      <c r="H11" s="264">
        <v>36.88</v>
      </c>
      <c r="I11" s="264">
        <v>27.66</v>
      </c>
      <c r="J11" s="264">
        <v>36.88</v>
      </c>
      <c r="K11" s="264">
        <v>36.88</v>
      </c>
      <c r="L11" s="264">
        <v>36.88</v>
      </c>
      <c r="M11" s="264">
        <v>46.1</v>
      </c>
      <c r="N11" s="264">
        <v>36.88</v>
      </c>
      <c r="O11" s="264">
        <v>0</v>
      </c>
      <c r="P11" s="264">
        <f t="shared" si="0"/>
        <v>285.82</v>
      </c>
    </row>
    <row r="12" spans="1:16" ht="12.75">
      <c r="A12" s="251" t="s">
        <v>112</v>
      </c>
      <c r="B12" s="264">
        <v>77.99</v>
      </c>
      <c r="C12" s="264">
        <v>467.93999999999994</v>
      </c>
      <c r="D12" s="264">
        <v>467.93999999999994</v>
      </c>
      <c r="E12" s="264">
        <v>0</v>
      </c>
      <c r="F12" s="264">
        <v>0</v>
      </c>
      <c r="G12" s="264">
        <v>389.95</v>
      </c>
      <c r="H12" s="264">
        <v>389.95</v>
      </c>
      <c r="I12" s="264">
        <v>389.95</v>
      </c>
      <c r="J12" s="264">
        <v>389.95</v>
      </c>
      <c r="K12" s="264">
        <v>389.95</v>
      </c>
      <c r="L12" s="264">
        <v>389.95</v>
      </c>
      <c r="M12" s="264">
        <v>389.95</v>
      </c>
      <c r="N12" s="264">
        <v>311.96</v>
      </c>
      <c r="O12" s="264">
        <v>77.99</v>
      </c>
      <c r="P12" s="264">
        <f t="shared" si="0"/>
        <v>4055.479999999999</v>
      </c>
    </row>
    <row r="13" spans="1:16" ht="12.75">
      <c r="A13" s="251" t="s">
        <v>113</v>
      </c>
      <c r="B13" s="264">
        <v>77.99</v>
      </c>
      <c r="C13" s="264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264">
        <v>0</v>
      </c>
      <c r="J13" s="264">
        <v>0</v>
      </c>
      <c r="K13" s="264">
        <v>0</v>
      </c>
      <c r="L13" s="264">
        <v>0</v>
      </c>
      <c r="M13" s="264">
        <v>0</v>
      </c>
      <c r="N13" s="264">
        <v>0</v>
      </c>
      <c r="O13" s="264">
        <v>0</v>
      </c>
      <c r="P13" s="264">
        <f t="shared" si="0"/>
        <v>0</v>
      </c>
    </row>
    <row r="14" spans="1:16" ht="12.75">
      <c r="A14" s="251" t="s">
        <v>114</v>
      </c>
      <c r="B14" s="264">
        <v>124.77</v>
      </c>
      <c r="C14" s="264">
        <v>82.84747915971991</v>
      </c>
      <c r="D14" s="264">
        <v>124.27</v>
      </c>
      <c r="E14" s="264">
        <v>0</v>
      </c>
      <c r="F14" s="264">
        <v>0</v>
      </c>
      <c r="G14" s="264">
        <v>124.27</v>
      </c>
      <c r="H14" s="264">
        <v>124.27</v>
      </c>
      <c r="I14" s="264">
        <v>124.27</v>
      </c>
      <c r="J14" s="264">
        <v>124.27</v>
      </c>
      <c r="K14" s="264">
        <v>124.27</v>
      </c>
      <c r="L14" s="264">
        <v>124.27</v>
      </c>
      <c r="M14" s="264">
        <v>124.27</v>
      </c>
      <c r="N14" s="264">
        <v>124.27</v>
      </c>
      <c r="O14" s="264">
        <v>0</v>
      </c>
      <c r="P14" s="264">
        <f t="shared" si="0"/>
        <v>1201.2774791597199</v>
      </c>
    </row>
    <row r="15" spans="1:16" ht="12.75">
      <c r="A15" s="251" t="s">
        <v>115</v>
      </c>
      <c r="B15" s="264">
        <v>0.11</v>
      </c>
      <c r="C15" s="264">
        <v>10.966153846153846</v>
      </c>
      <c r="D15" s="264">
        <v>15.467692307692307</v>
      </c>
      <c r="E15" s="264">
        <v>4.9983516483516475</v>
      </c>
      <c r="F15" s="264">
        <v>8.861648351648352</v>
      </c>
      <c r="G15" s="264">
        <v>1.76</v>
      </c>
      <c r="H15" s="264">
        <v>20.02</v>
      </c>
      <c r="I15" s="264">
        <v>14.41</v>
      </c>
      <c r="J15" s="264">
        <v>14.3</v>
      </c>
      <c r="K15" s="264">
        <v>14.629999999999999</v>
      </c>
      <c r="L15" s="264">
        <v>14.08</v>
      </c>
      <c r="M15" s="264">
        <v>16.880769230769232</v>
      </c>
      <c r="N15" s="264">
        <v>34.213626373626376</v>
      </c>
      <c r="O15" s="264">
        <v>5.307802197802197</v>
      </c>
      <c r="P15" s="264">
        <f t="shared" si="0"/>
        <v>175.89604395604394</v>
      </c>
    </row>
    <row r="16" spans="1:16" ht="12.75">
      <c r="A16" s="251"/>
      <c r="B16" s="264"/>
      <c r="C16" s="264">
        <f>+SUM(C7:C15)</f>
        <v>3960.1545091978896</v>
      </c>
      <c r="D16" s="264">
        <f>+SUM(D7:D15)</f>
        <v>8525.165763778909</v>
      </c>
      <c r="E16" s="264">
        <f aca="true" t="shared" si="1" ref="E16:P16">+SUM(E7:E15)</f>
        <v>4668.58651857323</v>
      </c>
      <c r="F16" s="264">
        <f t="shared" si="1"/>
        <v>3345.837994305236</v>
      </c>
      <c r="G16" s="264">
        <f t="shared" si="1"/>
        <v>3086.2184856289978</v>
      </c>
      <c r="H16" s="264">
        <f t="shared" si="1"/>
        <v>12283.92074358209</v>
      </c>
      <c r="I16" s="264">
        <f t="shared" si="1"/>
        <v>7927.091276929639</v>
      </c>
      <c r="J16" s="264">
        <f t="shared" si="1"/>
        <v>7496.0018242317765</v>
      </c>
      <c r="K16" s="264">
        <f t="shared" si="1"/>
        <v>8125.168609349047</v>
      </c>
      <c r="L16" s="264">
        <f t="shared" si="1"/>
        <v>8504.354120200658</v>
      </c>
      <c r="M16" s="264">
        <f t="shared" si="1"/>
        <v>8648.608215617332</v>
      </c>
      <c r="N16" s="264">
        <f t="shared" si="1"/>
        <v>9443.904916665233</v>
      </c>
      <c r="O16" s="264">
        <f t="shared" si="1"/>
        <v>1631.2516508507445</v>
      </c>
      <c r="P16" s="264">
        <f t="shared" si="1"/>
        <v>87646.26462891078</v>
      </c>
    </row>
    <row r="18" ht="12.75">
      <c r="B18" s="255"/>
    </row>
    <row r="19" spans="1:16" ht="13.5" thickBot="1">
      <c r="A19" s="253" t="s">
        <v>123</v>
      </c>
      <c r="B19" s="253" t="s">
        <v>28</v>
      </c>
      <c r="C19" t="s">
        <v>38</v>
      </c>
      <c r="D19" t="s">
        <v>39</v>
      </c>
      <c r="E19" t="s">
        <v>125</v>
      </c>
      <c r="F19" t="s">
        <v>40</v>
      </c>
      <c r="G19" t="s">
        <v>41</v>
      </c>
      <c r="H19" t="s">
        <v>42</v>
      </c>
      <c r="I19" t="s">
        <v>43</v>
      </c>
      <c r="J19" t="s">
        <v>44</v>
      </c>
      <c r="K19" t="s">
        <v>45</v>
      </c>
      <c r="L19" t="s">
        <v>46</v>
      </c>
      <c r="M19" t="s">
        <v>47</v>
      </c>
      <c r="N19" t="s">
        <v>120</v>
      </c>
      <c r="O19" t="s">
        <v>121</v>
      </c>
      <c r="P19" t="s">
        <v>18</v>
      </c>
    </row>
    <row r="20" spans="1:16" ht="13.5" thickBot="1">
      <c r="A20" s="250" t="s">
        <v>107</v>
      </c>
      <c r="B20" s="265">
        <v>0.0013</v>
      </c>
      <c r="C20" s="263">
        <v>1388.1025225225226</v>
      </c>
      <c r="D20" s="263">
        <v>6016.99963963964</v>
      </c>
      <c r="E20" s="263">
        <v>3060.1203603603617</v>
      </c>
      <c r="F20" s="263">
        <v>1853.4111711711714</v>
      </c>
      <c r="G20" s="263">
        <v>1492.391801801802</v>
      </c>
      <c r="H20" s="263">
        <v>7318.167297297297</v>
      </c>
      <c r="I20" s="263">
        <v>5963.704324324325</v>
      </c>
      <c r="J20" s="263">
        <v>5357.93945945946</v>
      </c>
      <c r="K20" s="263">
        <v>5189.055405405406</v>
      </c>
      <c r="L20" s="263">
        <v>4848.316036036037</v>
      </c>
      <c r="M20" s="263">
        <v>5132.871981981983</v>
      </c>
      <c r="N20" s="263">
        <v>6694.927387387388</v>
      </c>
      <c r="O20" s="263">
        <v>1293.3664864864866</v>
      </c>
      <c r="P20" s="263">
        <f aca="true" t="shared" si="2" ref="P20:P28">+SUM(C20:O20)</f>
        <v>55609.373873873876</v>
      </c>
    </row>
    <row r="21" spans="1:16" ht="13.5" thickBot="1">
      <c r="A21" s="251" t="s">
        <v>108</v>
      </c>
      <c r="B21" s="265">
        <v>0.0008</v>
      </c>
      <c r="C21" s="264">
        <v>1042.3907246376812</v>
      </c>
      <c r="D21" s="264">
        <v>1151.7947826086956</v>
      </c>
      <c r="E21" s="264">
        <v>745.2440579710141</v>
      </c>
      <c r="F21" s="264">
        <v>694.8904347826086</v>
      </c>
      <c r="G21" s="264">
        <v>226.44985507246375</v>
      </c>
      <c r="H21" s="264">
        <v>2219.717101449275</v>
      </c>
      <c r="I21" s="264">
        <v>1420.517101449275</v>
      </c>
      <c r="J21" s="264">
        <v>1533.6811594202895</v>
      </c>
      <c r="K21" s="264">
        <v>1544.9611594202895</v>
      </c>
      <c r="L21" s="264">
        <v>1437.8504347826083</v>
      </c>
      <c r="M21" s="264">
        <v>1682.8846376811591</v>
      </c>
      <c r="N21" s="264">
        <v>1841.2579710144926</v>
      </c>
      <c r="O21" s="264">
        <v>256.30492753623184</v>
      </c>
      <c r="P21" s="264">
        <f t="shared" si="2"/>
        <v>15797.944347826084</v>
      </c>
    </row>
    <row r="22" spans="1:16" ht="13.5" thickBot="1">
      <c r="A22" s="251" t="s">
        <v>109</v>
      </c>
      <c r="B22" s="265">
        <v>0.0008</v>
      </c>
      <c r="C22" s="264">
        <v>1.826086956521739</v>
      </c>
      <c r="D22" s="264">
        <v>1.7344927536231882</v>
      </c>
      <c r="E22" s="264">
        <v>0.594782608695652</v>
      </c>
      <c r="F22" s="264">
        <v>1.2857971014492753</v>
      </c>
      <c r="G22" s="264">
        <v>0.11710144927536231</v>
      </c>
      <c r="H22" s="264">
        <v>1.2046376811594202</v>
      </c>
      <c r="I22" s="264">
        <v>0.8428985507246376</v>
      </c>
      <c r="J22" s="264">
        <v>1.1628985507246374</v>
      </c>
      <c r="K22" s="264">
        <v>1.3437681159420287</v>
      </c>
      <c r="L22" s="264">
        <v>1.6765217391304348</v>
      </c>
      <c r="M22" s="264">
        <v>1.8191304347826085</v>
      </c>
      <c r="N22" s="264">
        <v>2.127536231884058</v>
      </c>
      <c r="O22" s="264">
        <v>0.7942028985507245</v>
      </c>
      <c r="P22" s="264">
        <f t="shared" si="2"/>
        <v>16.529855072463768</v>
      </c>
    </row>
    <row r="23" spans="1:16" ht="13.5" thickBot="1">
      <c r="A23" s="251" t="s">
        <v>110</v>
      </c>
      <c r="B23" s="265">
        <v>0.0624</v>
      </c>
      <c r="C23" s="264">
        <v>539.5099609069587</v>
      </c>
      <c r="D23" s="264">
        <v>757.3074276778734</v>
      </c>
      <c r="E23" s="264">
        <v>272.0205785770133</v>
      </c>
      <c r="F23" s="264">
        <v>399.1392337763878</v>
      </c>
      <c r="G23" s="264">
        <v>88.03693510555122</v>
      </c>
      <c r="H23" s="264">
        <v>877.5262236121971</v>
      </c>
      <c r="I23" s="264">
        <v>687.6404378420641</v>
      </c>
      <c r="J23" s="264">
        <v>616.062173573104</v>
      </c>
      <c r="K23" s="264">
        <v>640.7135887412041</v>
      </c>
      <c r="L23" s="264">
        <v>670.8414698983581</v>
      </c>
      <c r="M23" s="264">
        <v>653.5802345582488</v>
      </c>
      <c r="N23" s="264">
        <v>744.2773416731824</v>
      </c>
      <c r="O23" s="264">
        <v>225.71333854573888</v>
      </c>
      <c r="P23" s="264">
        <f t="shared" si="2"/>
        <v>7172.368944487882</v>
      </c>
    </row>
    <row r="24" spans="1:16" ht="13.5" thickBot="1">
      <c r="A24" s="251" t="s">
        <v>111</v>
      </c>
      <c r="B24" s="265">
        <v>0.0624</v>
      </c>
      <c r="C24" s="264">
        <v>0</v>
      </c>
      <c r="D24" s="264">
        <v>0</v>
      </c>
      <c r="E24" s="264">
        <v>0</v>
      </c>
      <c r="F24" s="264">
        <v>0</v>
      </c>
      <c r="G24" s="264">
        <v>102.49163408913213</v>
      </c>
      <c r="H24" s="264">
        <v>114.07271305707586</v>
      </c>
      <c r="I24" s="264">
        <v>115.5717279124316</v>
      </c>
      <c r="J24" s="264">
        <v>179.28534792806883</v>
      </c>
      <c r="K24" s="264">
        <v>168.5373260359656</v>
      </c>
      <c r="L24" s="264">
        <v>163.71096168881942</v>
      </c>
      <c r="M24" s="264">
        <v>139.5181548084441</v>
      </c>
      <c r="N24" s="264">
        <v>141.684347146208</v>
      </c>
      <c r="O24" s="264">
        <v>0</v>
      </c>
      <c r="P24" s="264">
        <f t="shared" si="2"/>
        <v>1124.8722126661457</v>
      </c>
    </row>
    <row r="25" spans="1:16" ht="13.5" thickBot="1">
      <c r="A25" s="251" t="s">
        <v>112</v>
      </c>
      <c r="B25" s="265">
        <v>0.0292</v>
      </c>
      <c r="C25" s="264">
        <v>420.70086084412867</v>
      </c>
      <c r="D25" s="264">
        <v>424.3395737567906</v>
      </c>
      <c r="E25" s="264">
        <v>0</v>
      </c>
      <c r="F25" s="264">
        <v>0</v>
      </c>
      <c r="G25" s="264">
        <v>423.71481821980774</v>
      </c>
      <c r="H25" s="264">
        <v>425.58664437944003</v>
      </c>
      <c r="I25" s="264">
        <v>418.37389051399913</v>
      </c>
      <c r="J25" s="264">
        <v>427.00942749686584</v>
      </c>
      <c r="K25" s="264">
        <v>424.28954450480563</v>
      </c>
      <c r="L25" s="264">
        <v>429.47916422900124</v>
      </c>
      <c r="M25" s="264">
        <v>422.96559966569157</v>
      </c>
      <c r="N25" s="264">
        <v>328.29195152528206</v>
      </c>
      <c r="O25" s="264">
        <v>102.02184705390722</v>
      </c>
      <c r="P25" s="264">
        <f t="shared" si="2"/>
        <v>4246.773322189721</v>
      </c>
    </row>
    <row r="26" spans="1:16" ht="13.5" thickBot="1">
      <c r="A26" s="251" t="s">
        <v>113</v>
      </c>
      <c r="B26" s="265">
        <v>0.0292</v>
      </c>
      <c r="C26" s="264">
        <v>0</v>
      </c>
      <c r="D26" s="264">
        <v>0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f t="shared" si="2"/>
        <v>0</v>
      </c>
    </row>
    <row r="27" spans="1:16" ht="13.5" thickBot="1">
      <c r="A27" s="251" t="s">
        <v>114</v>
      </c>
      <c r="B27" s="265">
        <v>0.3745</v>
      </c>
      <c r="C27" s="264">
        <v>76.50992710468938</v>
      </c>
      <c r="D27" s="264">
        <v>114.78378079338738</v>
      </c>
      <c r="E27" s="264">
        <v>0</v>
      </c>
      <c r="F27" s="264">
        <v>0</v>
      </c>
      <c r="G27" s="264">
        <v>115.60763448208534</v>
      </c>
      <c r="H27" s="264">
        <v>115.60763448208534</v>
      </c>
      <c r="I27" s="264">
        <v>115.60763448208534</v>
      </c>
      <c r="J27" s="264">
        <v>115.60763448208534</v>
      </c>
      <c r="K27" s="264">
        <v>115.60763448208534</v>
      </c>
      <c r="L27" s="264">
        <v>115.60763448208534</v>
      </c>
      <c r="M27" s="264">
        <v>115.60763448208534</v>
      </c>
      <c r="N27" s="264">
        <v>115.60763448208534</v>
      </c>
      <c r="O27" s="264">
        <v>0</v>
      </c>
      <c r="P27" s="264">
        <f t="shared" si="2"/>
        <v>1116.1547837547596</v>
      </c>
    </row>
    <row r="28" spans="1:16" ht="12.75">
      <c r="A28" s="251" t="s">
        <v>115</v>
      </c>
      <c r="B28" s="265">
        <v>0.6246</v>
      </c>
      <c r="C28" s="264">
        <v>11.699367829548114</v>
      </c>
      <c r="D28" s="264">
        <v>14.519402950128775</v>
      </c>
      <c r="E28" s="264">
        <v>5.516983142121283</v>
      </c>
      <c r="F28" s="264">
        <v>6.97209201592133</v>
      </c>
      <c r="G28" s="264">
        <v>2.412994614844299</v>
      </c>
      <c r="H28" s="264">
        <v>18.748236946850852</v>
      </c>
      <c r="I28" s="264">
        <v>12.938769608990867</v>
      </c>
      <c r="J28" s="264">
        <v>12.620693046125028</v>
      </c>
      <c r="K28" s="264">
        <v>60.475982205572464</v>
      </c>
      <c r="L28" s="264">
        <v>12.36964411144931</v>
      </c>
      <c r="M28" s="264">
        <v>18.447221962069772</v>
      </c>
      <c r="N28" s="264">
        <v>66.19892296885975</v>
      </c>
      <c r="O28" s="264">
        <v>4.9771060641535945</v>
      </c>
      <c r="P28" s="264">
        <f t="shared" si="2"/>
        <v>247.89741746663543</v>
      </c>
    </row>
    <row r="29" spans="1:16" ht="12.75">
      <c r="A29" s="251"/>
      <c r="B29" s="266"/>
      <c r="C29" s="264">
        <f>+SUM(C20:C28)</f>
        <v>3480.7394508020498</v>
      </c>
      <c r="D29" s="264">
        <f>+SUM(D20:D28)</f>
        <v>8481.479100180139</v>
      </c>
      <c r="E29" s="264">
        <f aca="true" t="shared" si="3" ref="E29:P29">+SUM(E20:E28)</f>
        <v>4083.496762659206</v>
      </c>
      <c r="F29" s="264">
        <f t="shared" si="3"/>
        <v>2955.698728847538</v>
      </c>
      <c r="G29" s="264">
        <f t="shared" si="3"/>
        <v>2451.222774834962</v>
      </c>
      <c r="H29" s="264">
        <f t="shared" si="3"/>
        <v>11090.63048890538</v>
      </c>
      <c r="I29" s="264">
        <f t="shared" si="3"/>
        <v>8735.196784683896</v>
      </c>
      <c r="J29" s="264">
        <f t="shared" si="3"/>
        <v>8243.368793956723</v>
      </c>
      <c r="K29" s="264">
        <f t="shared" si="3"/>
        <v>8144.98440891127</v>
      </c>
      <c r="L29" s="264">
        <f t="shared" si="3"/>
        <v>7679.851866967488</v>
      </c>
      <c r="M29" s="264">
        <f t="shared" si="3"/>
        <v>8167.694595574464</v>
      </c>
      <c r="N29" s="264">
        <f t="shared" si="3"/>
        <v>9934.373092429383</v>
      </c>
      <c r="O29" s="264">
        <f t="shared" si="3"/>
        <v>1883.177908585069</v>
      </c>
      <c r="P29" s="264">
        <f t="shared" si="3"/>
        <v>85331.91475733757</v>
      </c>
    </row>
    <row r="30" spans="1:16" ht="12.75">
      <c r="A30" s="254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</row>
    <row r="32" spans="1:16" ht="13.5" thickBot="1">
      <c r="A32" s="253" t="s">
        <v>127</v>
      </c>
      <c r="C32" t="s">
        <v>38</v>
      </c>
      <c r="D32" t="s">
        <v>39</v>
      </c>
      <c r="E32" t="s">
        <v>125</v>
      </c>
      <c r="F32" t="s">
        <v>40</v>
      </c>
      <c r="G32" t="s">
        <v>41</v>
      </c>
      <c r="H32" t="s">
        <v>42</v>
      </c>
      <c r="I32" t="s">
        <v>43</v>
      </c>
      <c r="J32" t="s">
        <v>44</v>
      </c>
      <c r="K32" t="s">
        <v>45</v>
      </c>
      <c r="L32" t="s">
        <v>46</v>
      </c>
      <c r="M32" t="s">
        <v>47</v>
      </c>
      <c r="N32" t="s">
        <v>120</v>
      </c>
      <c r="O32" t="s">
        <v>121</v>
      </c>
      <c r="P32" t="s">
        <v>18</v>
      </c>
    </row>
    <row r="33" spans="1:16" ht="12.75">
      <c r="A33" s="250" t="s">
        <v>107</v>
      </c>
      <c r="B33" s="267"/>
      <c r="C33" s="263">
        <f aca="true" t="shared" si="4" ref="C33:D41">+C20+C7</f>
        <v>3036.05537966538</v>
      </c>
      <c r="D33" s="263">
        <f t="shared" si="4"/>
        <v>11543.520291068211</v>
      </c>
      <c r="E33" s="263">
        <f aca="true" t="shared" si="5" ref="E33:O33">+E20+E7</f>
        <v>6539.243091788933</v>
      </c>
      <c r="F33" s="263">
        <f t="shared" si="5"/>
        <v>4010.7145997425996</v>
      </c>
      <c r="G33" s="263">
        <f t="shared" si="5"/>
        <v>3567.840841801802</v>
      </c>
      <c r="H33" s="263">
        <f t="shared" si="5"/>
        <v>15516.460828725869</v>
      </c>
      <c r="I33" s="263">
        <f t="shared" si="5"/>
        <v>11257.292701467184</v>
      </c>
      <c r="J33" s="263">
        <f t="shared" si="5"/>
        <v>10045.923733745174</v>
      </c>
      <c r="K33" s="263">
        <f t="shared" si="5"/>
        <v>10422.447416833978</v>
      </c>
      <c r="L33" s="263">
        <f t="shared" si="5"/>
        <v>10446.990150321752</v>
      </c>
      <c r="M33" s="263">
        <f t="shared" si="5"/>
        <v>10966.834816267696</v>
      </c>
      <c r="N33" s="263">
        <f t="shared" si="5"/>
        <v>13104.004827387387</v>
      </c>
      <c r="O33" s="263">
        <f t="shared" si="5"/>
        <v>2382.377023629344</v>
      </c>
      <c r="P33" s="263">
        <f aca="true" t="shared" si="6" ref="P33:P41">+SUM(C33:O33)</f>
        <v>112839.70570244532</v>
      </c>
    </row>
    <row r="34" spans="1:16" ht="12.75">
      <c r="A34" s="251" t="s">
        <v>108</v>
      </c>
      <c r="B34" s="267"/>
      <c r="C34" s="264">
        <f t="shared" si="4"/>
        <v>2187.090436791199</v>
      </c>
      <c r="D34" s="264">
        <f t="shared" si="4"/>
        <v>2672.46220265134</v>
      </c>
      <c r="E34" s="264">
        <f aca="true" t="shared" si="7" ref="E34:O41">+E21+E8</f>
        <v>1545.049750934767</v>
      </c>
      <c r="F34" s="264">
        <f t="shared" si="7"/>
        <v>1406.2930946973208</v>
      </c>
      <c r="G34" s="264">
        <f t="shared" si="7"/>
        <v>552.0693007014615</v>
      </c>
      <c r="H34" s="264">
        <f t="shared" si="7"/>
        <v>4579.834313602793</v>
      </c>
      <c r="I34" s="264">
        <f t="shared" si="7"/>
        <v>2720.700001236056</v>
      </c>
      <c r="J34" s="264">
        <f t="shared" si="7"/>
        <v>2996.6737820215694</v>
      </c>
      <c r="K34" s="264">
        <f t="shared" si="7"/>
        <v>3052.6588299959826</v>
      </c>
      <c r="L34" s="264">
        <f t="shared" si="7"/>
        <v>2881.1656586632052</v>
      </c>
      <c r="M34" s="264">
        <f t="shared" si="7"/>
        <v>3160.8281771267884</v>
      </c>
      <c r="N34" s="264">
        <f t="shared" si="7"/>
        <v>3481.319106408949</v>
      </c>
      <c r="O34" s="264">
        <f t="shared" si="7"/>
        <v>424.01691047866257</v>
      </c>
      <c r="P34" s="264">
        <f t="shared" si="6"/>
        <v>31660.161565310096</v>
      </c>
    </row>
    <row r="35" spans="1:16" ht="12.75">
      <c r="A35" s="251" t="s">
        <v>109</v>
      </c>
      <c r="B35" s="267"/>
      <c r="C35" s="264">
        <f t="shared" si="4"/>
        <v>12.277846956521739</v>
      </c>
      <c r="D35" s="264">
        <f t="shared" si="4"/>
        <v>14.574492753623188</v>
      </c>
      <c r="E35" s="264">
        <f t="shared" si="7"/>
        <v>7.141959751552795</v>
      </c>
      <c r="F35" s="264">
        <f t="shared" si="7"/>
        <v>8.648619958592132</v>
      </c>
      <c r="G35" s="264">
        <f t="shared" si="7"/>
        <v>3.327101449275362</v>
      </c>
      <c r="H35" s="264">
        <f t="shared" si="7"/>
        <v>21.53463768115942</v>
      </c>
      <c r="I35" s="264">
        <f t="shared" si="7"/>
        <v>12.612898550724637</v>
      </c>
      <c r="J35" s="264">
        <f t="shared" si="7"/>
        <v>16.142898550724638</v>
      </c>
      <c r="K35" s="264">
        <f t="shared" si="7"/>
        <v>16.32376811594203</v>
      </c>
      <c r="L35" s="264">
        <f t="shared" si="7"/>
        <v>15.586521739130434</v>
      </c>
      <c r="M35" s="264">
        <f t="shared" si="7"/>
        <v>15.729130434782608</v>
      </c>
      <c r="N35" s="264">
        <f t="shared" si="7"/>
        <v>14.0161533747412</v>
      </c>
      <c r="O35" s="264">
        <f t="shared" si="7"/>
        <v>2.9024086128364384</v>
      </c>
      <c r="P35" s="264">
        <f t="shared" si="6"/>
        <v>160.81843792960663</v>
      </c>
    </row>
    <row r="36" spans="1:16" ht="12.75">
      <c r="A36" s="251" t="s">
        <v>110</v>
      </c>
      <c r="B36" s="267"/>
      <c r="C36" s="264">
        <f t="shared" si="4"/>
        <v>1134.8065078025993</v>
      </c>
      <c r="D36" s="264">
        <f t="shared" si="4"/>
        <v>1614.7674276778735</v>
      </c>
      <c r="E36" s="264">
        <f t="shared" si="7"/>
        <v>650.1331439667094</v>
      </c>
      <c r="F36" s="264">
        <f t="shared" si="7"/>
        <v>860.0466683866916</v>
      </c>
      <c r="G36" s="264">
        <f t="shared" si="7"/>
        <v>226.33693510555122</v>
      </c>
      <c r="H36" s="264">
        <f t="shared" si="7"/>
        <v>2011.586223612197</v>
      </c>
      <c r="I36" s="264">
        <f t="shared" si="7"/>
        <v>1452.900437842064</v>
      </c>
      <c r="J36" s="264">
        <f t="shared" si="7"/>
        <v>1380.7071009178862</v>
      </c>
      <c r="K36" s="264">
        <f t="shared" si="7"/>
        <v>1444.0825160859863</v>
      </c>
      <c r="L36" s="264">
        <f t="shared" si="7"/>
        <v>1554.1162519327042</v>
      </c>
      <c r="M36" s="264">
        <f t="shared" si="7"/>
        <v>1399.1713072134667</v>
      </c>
      <c r="N36" s="264">
        <f t="shared" si="7"/>
        <v>1619.8314394274757</v>
      </c>
      <c r="O36" s="264">
        <f t="shared" si="7"/>
        <v>514.8364613991075</v>
      </c>
      <c r="P36" s="264">
        <f t="shared" si="6"/>
        <v>15863.32242137031</v>
      </c>
    </row>
    <row r="37" spans="1:16" ht="12.75">
      <c r="A37" s="251" t="s">
        <v>111</v>
      </c>
      <c r="B37" s="267"/>
      <c r="C37" s="264">
        <f t="shared" si="4"/>
        <v>0</v>
      </c>
      <c r="D37" s="264">
        <f t="shared" si="4"/>
        <v>0</v>
      </c>
      <c r="E37" s="264">
        <f t="shared" si="7"/>
        <v>0</v>
      </c>
      <c r="F37" s="264">
        <f t="shared" si="7"/>
        <v>0</v>
      </c>
      <c r="G37" s="264">
        <f t="shared" si="7"/>
        <v>130.15163408913213</v>
      </c>
      <c r="H37" s="264">
        <f t="shared" si="7"/>
        <v>150.95271305707587</v>
      </c>
      <c r="I37" s="264">
        <f t="shared" si="7"/>
        <v>143.2317279124316</v>
      </c>
      <c r="J37" s="264">
        <f t="shared" si="7"/>
        <v>216.16534792806883</v>
      </c>
      <c r="K37" s="264">
        <f t="shared" si="7"/>
        <v>205.4173260359656</v>
      </c>
      <c r="L37" s="264">
        <f t="shared" si="7"/>
        <v>200.59096168881942</v>
      </c>
      <c r="M37" s="264">
        <f t="shared" si="7"/>
        <v>185.6181548084441</v>
      </c>
      <c r="N37" s="264">
        <f t="shared" si="7"/>
        <v>178.564347146208</v>
      </c>
      <c r="O37" s="264">
        <f t="shared" si="7"/>
        <v>0</v>
      </c>
      <c r="P37" s="264">
        <f t="shared" si="6"/>
        <v>1410.6922126661457</v>
      </c>
    </row>
    <row r="38" spans="1:16" ht="12.75">
      <c r="A38" s="251" t="s">
        <v>112</v>
      </c>
      <c r="B38" s="267"/>
      <c r="C38" s="264">
        <f t="shared" si="4"/>
        <v>888.6408608441286</v>
      </c>
      <c r="D38" s="264">
        <f t="shared" si="4"/>
        <v>892.2795737567906</v>
      </c>
      <c r="E38" s="264">
        <f t="shared" si="7"/>
        <v>0</v>
      </c>
      <c r="F38" s="264">
        <f t="shared" si="7"/>
        <v>0</v>
      </c>
      <c r="G38" s="264">
        <f t="shared" si="7"/>
        <v>813.6648182198078</v>
      </c>
      <c r="H38" s="264">
        <f t="shared" si="7"/>
        <v>815.5366443794401</v>
      </c>
      <c r="I38" s="264">
        <f t="shared" si="7"/>
        <v>808.3238905139991</v>
      </c>
      <c r="J38" s="264">
        <f t="shared" si="7"/>
        <v>816.9594274968658</v>
      </c>
      <c r="K38" s="264">
        <f t="shared" si="7"/>
        <v>814.2395445048056</v>
      </c>
      <c r="L38" s="264">
        <f t="shared" si="7"/>
        <v>819.4291642290012</v>
      </c>
      <c r="M38" s="264">
        <f t="shared" si="7"/>
        <v>812.9155996656916</v>
      </c>
      <c r="N38" s="264">
        <f t="shared" si="7"/>
        <v>640.251951525282</v>
      </c>
      <c r="O38" s="264">
        <f t="shared" si="7"/>
        <v>180.01184705390722</v>
      </c>
      <c r="P38" s="264">
        <f t="shared" si="6"/>
        <v>8302.25332218972</v>
      </c>
    </row>
    <row r="39" spans="1:16" ht="12.75">
      <c r="A39" s="251" t="s">
        <v>113</v>
      </c>
      <c r="B39" s="267"/>
      <c r="C39" s="264">
        <f t="shared" si="4"/>
        <v>0</v>
      </c>
      <c r="D39" s="264">
        <f t="shared" si="4"/>
        <v>0</v>
      </c>
      <c r="E39" s="264">
        <f t="shared" si="7"/>
        <v>0</v>
      </c>
      <c r="F39" s="264">
        <f t="shared" si="7"/>
        <v>0</v>
      </c>
      <c r="G39" s="264">
        <f t="shared" si="7"/>
        <v>0</v>
      </c>
      <c r="H39" s="264">
        <f t="shared" si="7"/>
        <v>0</v>
      </c>
      <c r="I39" s="264">
        <f t="shared" si="7"/>
        <v>0</v>
      </c>
      <c r="J39" s="264">
        <f t="shared" si="7"/>
        <v>0</v>
      </c>
      <c r="K39" s="264">
        <f t="shared" si="7"/>
        <v>0</v>
      </c>
      <c r="L39" s="264">
        <f t="shared" si="7"/>
        <v>0</v>
      </c>
      <c r="M39" s="264">
        <f t="shared" si="7"/>
        <v>0</v>
      </c>
      <c r="N39" s="264">
        <f t="shared" si="7"/>
        <v>0</v>
      </c>
      <c r="O39" s="264">
        <f t="shared" si="7"/>
        <v>0</v>
      </c>
      <c r="P39" s="264">
        <f t="shared" si="6"/>
        <v>0</v>
      </c>
    </row>
    <row r="40" spans="1:16" ht="12.75">
      <c r="A40" s="251" t="s">
        <v>114</v>
      </c>
      <c r="B40" s="267"/>
      <c r="C40" s="264">
        <f t="shared" si="4"/>
        <v>159.3574062644093</v>
      </c>
      <c r="D40" s="264">
        <f t="shared" si="4"/>
        <v>239.05378079338738</v>
      </c>
      <c r="E40" s="264">
        <f t="shared" si="7"/>
        <v>0</v>
      </c>
      <c r="F40" s="264">
        <f t="shared" si="7"/>
        <v>0</v>
      </c>
      <c r="G40" s="264">
        <f t="shared" si="7"/>
        <v>239.87763448208534</v>
      </c>
      <c r="H40" s="264">
        <f t="shared" si="7"/>
        <v>239.87763448208534</v>
      </c>
      <c r="I40" s="264">
        <f t="shared" si="7"/>
        <v>239.87763448208534</v>
      </c>
      <c r="J40" s="264">
        <f t="shared" si="7"/>
        <v>239.87763448208534</v>
      </c>
      <c r="K40" s="264">
        <f t="shared" si="7"/>
        <v>239.87763448208534</v>
      </c>
      <c r="L40" s="264">
        <f t="shared" si="7"/>
        <v>239.87763448208534</v>
      </c>
      <c r="M40" s="264">
        <f t="shared" si="7"/>
        <v>239.87763448208534</v>
      </c>
      <c r="N40" s="264">
        <f t="shared" si="7"/>
        <v>239.87763448208534</v>
      </c>
      <c r="O40" s="264">
        <f t="shared" si="7"/>
        <v>0</v>
      </c>
      <c r="P40" s="264">
        <f t="shared" si="6"/>
        <v>2317.4322629144795</v>
      </c>
    </row>
    <row r="41" spans="1:16" ht="12.75">
      <c r="A41" s="251" t="s">
        <v>115</v>
      </c>
      <c r="B41" s="267"/>
      <c r="C41" s="264">
        <f t="shared" si="4"/>
        <v>22.66552167570196</v>
      </c>
      <c r="D41" s="264">
        <f t="shared" si="4"/>
        <v>29.987095257821082</v>
      </c>
      <c r="E41" s="264">
        <f t="shared" si="7"/>
        <v>10.51533479047293</v>
      </c>
      <c r="F41" s="264">
        <f t="shared" si="7"/>
        <v>15.833740367569682</v>
      </c>
      <c r="G41" s="264">
        <f t="shared" si="7"/>
        <v>4.172994614844299</v>
      </c>
      <c r="H41" s="264">
        <f t="shared" si="7"/>
        <v>38.76823694685085</v>
      </c>
      <c r="I41" s="264">
        <f t="shared" si="7"/>
        <v>27.348769608990867</v>
      </c>
      <c r="J41" s="264">
        <f t="shared" si="7"/>
        <v>26.92069304612503</v>
      </c>
      <c r="K41" s="264">
        <f t="shared" si="7"/>
        <v>75.10598220557246</v>
      </c>
      <c r="L41" s="264">
        <f t="shared" si="7"/>
        <v>26.44964411144931</v>
      </c>
      <c r="M41" s="264">
        <f t="shared" si="7"/>
        <v>35.32799119283901</v>
      </c>
      <c r="N41" s="264">
        <f t="shared" si="7"/>
        <v>100.41254934248613</v>
      </c>
      <c r="O41" s="264">
        <f t="shared" si="7"/>
        <v>10.284908261955792</v>
      </c>
      <c r="P41" s="264">
        <f t="shared" si="6"/>
        <v>423.79346142267946</v>
      </c>
    </row>
    <row r="42" spans="1:16" ht="12.75">
      <c r="A42" s="251"/>
      <c r="B42" s="267"/>
      <c r="C42" s="264">
        <f>+SUM(C33:C41)</f>
        <v>7440.89395999994</v>
      </c>
      <c r="D42" s="264">
        <f>+SUM(D33:D41)</f>
        <v>17006.644863959045</v>
      </c>
      <c r="E42" s="264">
        <f aca="true" t="shared" si="8" ref="E42:P42">+SUM(E33:E41)</f>
        <v>8752.083281232435</v>
      </c>
      <c r="F42" s="264">
        <f t="shared" si="8"/>
        <v>6301.536723152774</v>
      </c>
      <c r="G42" s="264">
        <f t="shared" si="8"/>
        <v>5537.44126046396</v>
      </c>
      <c r="H42" s="264">
        <f t="shared" si="8"/>
        <v>23374.55123248747</v>
      </c>
      <c r="I42" s="264">
        <f t="shared" si="8"/>
        <v>16662.288061613534</v>
      </c>
      <c r="J42" s="264">
        <f t="shared" si="8"/>
        <v>15739.370618188499</v>
      </c>
      <c r="K42" s="264">
        <f t="shared" si="8"/>
        <v>16270.153018260318</v>
      </c>
      <c r="L42" s="264">
        <f t="shared" si="8"/>
        <v>16184.205987168149</v>
      </c>
      <c r="M42" s="264">
        <f t="shared" si="8"/>
        <v>16816.302811191796</v>
      </c>
      <c r="N42" s="264">
        <f t="shared" si="8"/>
        <v>19378.27800909461</v>
      </c>
      <c r="O42" s="264">
        <f t="shared" si="8"/>
        <v>3514.429559435814</v>
      </c>
      <c r="P42" s="264">
        <f t="shared" si="8"/>
        <v>172978.17938624838</v>
      </c>
    </row>
    <row r="45" ht="12.75">
      <c r="A45" s="253"/>
    </row>
    <row r="46" spans="1:17" ht="13.5" thickBot="1">
      <c r="A46" s="253" t="s">
        <v>128</v>
      </c>
      <c r="C46" t="s">
        <v>38</v>
      </c>
      <c r="D46" t="s">
        <v>39</v>
      </c>
      <c r="E46" t="s">
        <v>125</v>
      </c>
      <c r="F46" t="s">
        <v>40</v>
      </c>
      <c r="G46" t="s">
        <v>41</v>
      </c>
      <c r="H46" t="s">
        <v>42</v>
      </c>
      <c r="I46" t="s">
        <v>43</v>
      </c>
      <c r="J46" t="s">
        <v>44</v>
      </c>
      <c r="K46" t="s">
        <v>45</v>
      </c>
      <c r="L46" t="s">
        <v>46</v>
      </c>
      <c r="M46" t="s">
        <v>47</v>
      </c>
      <c r="N46" t="s">
        <v>120</v>
      </c>
      <c r="O46" t="s">
        <v>121</v>
      </c>
      <c r="P46" t="s">
        <v>18</v>
      </c>
      <c r="Q46" s="261"/>
    </row>
    <row r="47" spans="1:17" ht="13.5" thickBot="1">
      <c r="A47" s="250" t="s">
        <v>107</v>
      </c>
      <c r="C47" s="257">
        <f aca="true" t="shared" si="9" ref="C47:O47">+ROUND(C7/$B7,0)</f>
        <v>1540</v>
      </c>
      <c r="D47" s="257">
        <f t="shared" si="9"/>
        <v>5165</v>
      </c>
      <c r="E47" s="257">
        <f t="shared" si="9"/>
        <v>3252</v>
      </c>
      <c r="F47" s="257">
        <f t="shared" si="9"/>
        <v>2016</v>
      </c>
      <c r="G47" s="257">
        <f t="shared" si="9"/>
        <v>1940</v>
      </c>
      <c r="H47" s="257">
        <f t="shared" si="9"/>
        <v>7662</v>
      </c>
      <c r="I47" s="257">
        <f t="shared" si="9"/>
        <v>4947</v>
      </c>
      <c r="J47" s="257">
        <f t="shared" si="9"/>
        <v>4381</v>
      </c>
      <c r="K47" s="257">
        <f t="shared" si="9"/>
        <v>4891</v>
      </c>
      <c r="L47" s="257">
        <f t="shared" si="9"/>
        <v>5232</v>
      </c>
      <c r="M47" s="257">
        <f t="shared" si="9"/>
        <v>5452</v>
      </c>
      <c r="N47" s="257">
        <f t="shared" si="9"/>
        <v>5990</v>
      </c>
      <c r="O47" s="257">
        <f t="shared" si="9"/>
        <v>1018</v>
      </c>
      <c r="P47" s="257">
        <f aca="true" t="shared" si="10" ref="P47:P55">+SUM(C47:O47)</f>
        <v>53486</v>
      </c>
      <c r="Q47" s="261"/>
    </row>
    <row r="48" spans="1:17" ht="13.5" thickBot="1">
      <c r="A48" s="251" t="s">
        <v>108</v>
      </c>
      <c r="C48" s="257">
        <f aca="true" t="shared" si="11" ref="C48:O48">+ROUND(C8/$B8,0)</f>
        <v>500</v>
      </c>
      <c r="D48" s="257">
        <f t="shared" si="11"/>
        <v>664</v>
      </c>
      <c r="E48" s="257">
        <f t="shared" si="11"/>
        <v>349</v>
      </c>
      <c r="F48" s="257">
        <f t="shared" si="11"/>
        <v>311</v>
      </c>
      <c r="G48" s="257">
        <f t="shared" si="11"/>
        <v>142</v>
      </c>
      <c r="H48" s="257">
        <f t="shared" si="11"/>
        <v>1031</v>
      </c>
      <c r="I48" s="257">
        <f t="shared" si="11"/>
        <v>568</v>
      </c>
      <c r="J48" s="257">
        <f t="shared" si="11"/>
        <v>639</v>
      </c>
      <c r="K48" s="257">
        <f t="shared" si="11"/>
        <v>658</v>
      </c>
      <c r="L48" s="257">
        <f t="shared" si="11"/>
        <v>630</v>
      </c>
      <c r="M48" s="257">
        <f t="shared" si="11"/>
        <v>645</v>
      </c>
      <c r="N48" s="257">
        <f t="shared" si="11"/>
        <v>716</v>
      </c>
      <c r="O48" s="257">
        <f t="shared" si="11"/>
        <v>73</v>
      </c>
      <c r="P48" s="258">
        <f t="shared" si="10"/>
        <v>6926</v>
      </c>
      <c r="Q48" s="261"/>
    </row>
    <row r="49" spans="1:17" ht="13.5" thickBot="1">
      <c r="A49" s="251" t="s">
        <v>109</v>
      </c>
      <c r="C49" s="257">
        <f aca="true" t="shared" si="12" ref="C49:O49">+ROUND(C9/$B9,0)</f>
        <v>10</v>
      </c>
      <c r="D49" s="257">
        <f t="shared" si="12"/>
        <v>12</v>
      </c>
      <c r="E49" s="257">
        <f t="shared" si="12"/>
        <v>6</v>
      </c>
      <c r="F49" s="257">
        <f t="shared" si="12"/>
        <v>7</v>
      </c>
      <c r="G49" s="257">
        <f t="shared" si="12"/>
        <v>3</v>
      </c>
      <c r="H49" s="257">
        <f t="shared" si="12"/>
        <v>19</v>
      </c>
      <c r="I49" s="257">
        <f t="shared" si="12"/>
        <v>11</v>
      </c>
      <c r="J49" s="257">
        <f t="shared" si="12"/>
        <v>14</v>
      </c>
      <c r="K49" s="257">
        <f t="shared" si="12"/>
        <v>14</v>
      </c>
      <c r="L49" s="257">
        <f t="shared" si="12"/>
        <v>13</v>
      </c>
      <c r="M49" s="257">
        <f t="shared" si="12"/>
        <v>13</v>
      </c>
      <c r="N49" s="257">
        <f t="shared" si="12"/>
        <v>11</v>
      </c>
      <c r="O49" s="257">
        <f t="shared" si="12"/>
        <v>2</v>
      </c>
      <c r="P49" s="258">
        <f t="shared" si="10"/>
        <v>135</v>
      </c>
      <c r="Q49" s="261"/>
    </row>
    <row r="50" spans="1:17" ht="13.5" thickBot="1">
      <c r="A50" s="251" t="s">
        <v>110</v>
      </c>
      <c r="C50" s="257">
        <f aca="true" t="shared" si="13" ref="C50:O50">+ROUND(C10/$B10,0)</f>
        <v>65</v>
      </c>
      <c r="D50" s="257">
        <f t="shared" si="13"/>
        <v>93</v>
      </c>
      <c r="E50" s="257">
        <f t="shared" si="13"/>
        <v>41</v>
      </c>
      <c r="F50" s="257">
        <f t="shared" si="13"/>
        <v>50</v>
      </c>
      <c r="G50" s="257">
        <f t="shared" si="13"/>
        <v>15</v>
      </c>
      <c r="H50" s="257">
        <f t="shared" si="13"/>
        <v>123</v>
      </c>
      <c r="I50" s="257">
        <f t="shared" si="13"/>
        <v>83</v>
      </c>
      <c r="J50" s="257">
        <f t="shared" si="13"/>
        <v>83</v>
      </c>
      <c r="K50" s="257">
        <f t="shared" si="13"/>
        <v>87</v>
      </c>
      <c r="L50" s="257">
        <f t="shared" si="13"/>
        <v>96</v>
      </c>
      <c r="M50" s="257">
        <f t="shared" si="13"/>
        <v>81</v>
      </c>
      <c r="N50" s="257">
        <f t="shared" si="13"/>
        <v>95</v>
      </c>
      <c r="O50" s="257">
        <f t="shared" si="13"/>
        <v>31</v>
      </c>
      <c r="P50" s="258">
        <f t="shared" si="10"/>
        <v>943</v>
      </c>
      <c r="Q50" s="261"/>
    </row>
    <row r="51" spans="1:17" ht="13.5" thickBot="1">
      <c r="A51" s="251" t="s">
        <v>111</v>
      </c>
      <c r="C51" s="257">
        <f aca="true" t="shared" si="14" ref="C51:O51">+ROUND(C11/$B11,0)</f>
        <v>0</v>
      </c>
      <c r="D51" s="257">
        <f t="shared" si="14"/>
        <v>0</v>
      </c>
      <c r="E51" s="257">
        <f t="shared" si="14"/>
        <v>0</v>
      </c>
      <c r="F51" s="257">
        <f t="shared" si="14"/>
        <v>0</v>
      </c>
      <c r="G51" s="257">
        <f t="shared" si="14"/>
        <v>3</v>
      </c>
      <c r="H51" s="257">
        <f t="shared" si="14"/>
        <v>4</v>
      </c>
      <c r="I51" s="257">
        <f t="shared" si="14"/>
        <v>3</v>
      </c>
      <c r="J51" s="257">
        <f t="shared" si="14"/>
        <v>4</v>
      </c>
      <c r="K51" s="257">
        <f t="shared" si="14"/>
        <v>4</v>
      </c>
      <c r="L51" s="257">
        <f t="shared" si="14"/>
        <v>4</v>
      </c>
      <c r="M51" s="257">
        <f t="shared" si="14"/>
        <v>5</v>
      </c>
      <c r="N51" s="257">
        <f t="shared" si="14"/>
        <v>4</v>
      </c>
      <c r="O51" s="257">
        <f t="shared" si="14"/>
        <v>0</v>
      </c>
      <c r="P51" s="258">
        <f t="shared" si="10"/>
        <v>31</v>
      </c>
      <c r="Q51" s="261"/>
    </row>
    <row r="52" spans="1:17" ht="13.5" thickBot="1">
      <c r="A52" s="251" t="s">
        <v>112</v>
      </c>
      <c r="C52" s="257">
        <f aca="true" t="shared" si="15" ref="C52:O52">+ROUND(C12/$B12,0)</f>
        <v>6</v>
      </c>
      <c r="D52" s="257">
        <f t="shared" si="15"/>
        <v>6</v>
      </c>
      <c r="E52" s="257">
        <f t="shared" si="15"/>
        <v>0</v>
      </c>
      <c r="F52" s="257">
        <f t="shared" si="15"/>
        <v>0</v>
      </c>
      <c r="G52" s="257">
        <f t="shared" si="15"/>
        <v>5</v>
      </c>
      <c r="H52" s="257">
        <f t="shared" si="15"/>
        <v>5</v>
      </c>
      <c r="I52" s="257">
        <f t="shared" si="15"/>
        <v>5</v>
      </c>
      <c r="J52" s="257">
        <f t="shared" si="15"/>
        <v>5</v>
      </c>
      <c r="K52" s="257">
        <f t="shared" si="15"/>
        <v>5</v>
      </c>
      <c r="L52" s="257">
        <f t="shared" si="15"/>
        <v>5</v>
      </c>
      <c r="M52" s="257">
        <f t="shared" si="15"/>
        <v>5</v>
      </c>
      <c r="N52" s="257">
        <f t="shared" si="15"/>
        <v>4</v>
      </c>
      <c r="O52" s="257">
        <f t="shared" si="15"/>
        <v>1</v>
      </c>
      <c r="P52" s="258">
        <f t="shared" si="10"/>
        <v>52</v>
      </c>
      <c r="Q52" s="261"/>
    </row>
    <row r="53" spans="1:17" ht="13.5" thickBot="1">
      <c r="A53" s="251" t="s">
        <v>113</v>
      </c>
      <c r="C53" s="257">
        <f aca="true" t="shared" si="16" ref="C53:O53">+ROUND(C13/$B13,0)</f>
        <v>0</v>
      </c>
      <c r="D53" s="257">
        <f t="shared" si="16"/>
        <v>0</v>
      </c>
      <c r="E53" s="257">
        <f t="shared" si="16"/>
        <v>0</v>
      </c>
      <c r="F53" s="257">
        <f t="shared" si="16"/>
        <v>0</v>
      </c>
      <c r="G53" s="257">
        <f t="shared" si="16"/>
        <v>0</v>
      </c>
      <c r="H53" s="257">
        <f t="shared" si="16"/>
        <v>0</v>
      </c>
      <c r="I53" s="257">
        <f t="shared" si="16"/>
        <v>0</v>
      </c>
      <c r="J53" s="257">
        <f t="shared" si="16"/>
        <v>0</v>
      </c>
      <c r="K53" s="257">
        <f t="shared" si="16"/>
        <v>0</v>
      </c>
      <c r="L53" s="257">
        <f t="shared" si="16"/>
        <v>0</v>
      </c>
      <c r="M53" s="257">
        <f t="shared" si="16"/>
        <v>0</v>
      </c>
      <c r="N53" s="257">
        <f t="shared" si="16"/>
        <v>0</v>
      </c>
      <c r="O53" s="257">
        <f t="shared" si="16"/>
        <v>0</v>
      </c>
      <c r="P53" s="258">
        <f t="shared" si="10"/>
        <v>0</v>
      </c>
      <c r="Q53" s="261"/>
    </row>
    <row r="54" spans="1:17" ht="13.5" thickBot="1">
      <c r="A54" s="251" t="s">
        <v>114</v>
      </c>
      <c r="C54" s="257">
        <f aca="true" t="shared" si="17" ref="C54:O54">+ROUND(C14/$B14,0)</f>
        <v>1</v>
      </c>
      <c r="D54" s="257">
        <f t="shared" si="17"/>
        <v>1</v>
      </c>
      <c r="E54" s="257">
        <f t="shared" si="17"/>
        <v>0</v>
      </c>
      <c r="F54" s="257">
        <f t="shared" si="17"/>
        <v>0</v>
      </c>
      <c r="G54" s="257">
        <f t="shared" si="17"/>
        <v>1</v>
      </c>
      <c r="H54" s="257">
        <f t="shared" si="17"/>
        <v>1</v>
      </c>
      <c r="I54" s="257">
        <f t="shared" si="17"/>
        <v>1</v>
      </c>
      <c r="J54" s="257">
        <f t="shared" si="17"/>
        <v>1</v>
      </c>
      <c r="K54" s="257">
        <f t="shared" si="17"/>
        <v>1</v>
      </c>
      <c r="L54" s="257">
        <f t="shared" si="17"/>
        <v>1</v>
      </c>
      <c r="M54" s="257">
        <f t="shared" si="17"/>
        <v>1</v>
      </c>
      <c r="N54" s="257">
        <f t="shared" si="17"/>
        <v>1</v>
      </c>
      <c r="O54" s="257">
        <f t="shared" si="17"/>
        <v>0</v>
      </c>
      <c r="P54" s="258">
        <f t="shared" si="10"/>
        <v>10</v>
      </c>
      <c r="Q54" s="261"/>
    </row>
    <row r="55" spans="1:17" ht="12.75">
      <c r="A55" s="251" t="s">
        <v>115</v>
      </c>
      <c r="C55" s="257">
        <f aca="true" t="shared" si="18" ref="C55:O55">+ROUND(C15/$B15,0)</f>
        <v>100</v>
      </c>
      <c r="D55" s="257">
        <f t="shared" si="18"/>
        <v>141</v>
      </c>
      <c r="E55" s="257">
        <f t="shared" si="18"/>
        <v>45</v>
      </c>
      <c r="F55" s="257">
        <f t="shared" si="18"/>
        <v>81</v>
      </c>
      <c r="G55" s="257">
        <f t="shared" si="18"/>
        <v>16</v>
      </c>
      <c r="H55" s="257">
        <f t="shared" si="18"/>
        <v>182</v>
      </c>
      <c r="I55" s="257">
        <f t="shared" si="18"/>
        <v>131</v>
      </c>
      <c r="J55" s="257">
        <f t="shared" si="18"/>
        <v>130</v>
      </c>
      <c r="K55" s="257">
        <f t="shared" si="18"/>
        <v>133</v>
      </c>
      <c r="L55" s="257">
        <f t="shared" si="18"/>
        <v>128</v>
      </c>
      <c r="M55" s="257">
        <f t="shared" si="18"/>
        <v>153</v>
      </c>
      <c r="N55" s="257">
        <f t="shared" si="18"/>
        <v>311</v>
      </c>
      <c r="O55" s="257">
        <f t="shared" si="18"/>
        <v>48</v>
      </c>
      <c r="P55" s="258">
        <f t="shared" si="10"/>
        <v>1599</v>
      </c>
      <c r="Q55" s="261"/>
    </row>
    <row r="56" spans="1:17" ht="12.75">
      <c r="A56" s="251"/>
      <c r="B56" s="251"/>
      <c r="C56" s="258">
        <f>+SUM(C47:C55)</f>
        <v>2222</v>
      </c>
      <c r="D56" s="258">
        <f>+SUM(D47:D55)</f>
        <v>6082</v>
      </c>
      <c r="E56" s="258">
        <f aca="true" t="shared" si="19" ref="E56:P56">+SUM(E47:E55)</f>
        <v>3693</v>
      </c>
      <c r="F56" s="258">
        <f t="shared" si="19"/>
        <v>2465</v>
      </c>
      <c r="G56" s="258">
        <f t="shared" si="19"/>
        <v>2125</v>
      </c>
      <c r="H56" s="258">
        <f t="shared" si="19"/>
        <v>9027</v>
      </c>
      <c r="I56" s="258">
        <f t="shared" si="19"/>
        <v>5749</v>
      </c>
      <c r="J56" s="258">
        <f t="shared" si="19"/>
        <v>5257</v>
      </c>
      <c r="K56" s="258">
        <f t="shared" si="19"/>
        <v>5793</v>
      </c>
      <c r="L56" s="258">
        <f t="shared" si="19"/>
        <v>6109</v>
      </c>
      <c r="M56" s="258">
        <f t="shared" si="19"/>
        <v>6355</v>
      </c>
      <c r="N56" s="258">
        <f t="shared" si="19"/>
        <v>7132</v>
      </c>
      <c r="O56" s="258">
        <f t="shared" si="19"/>
        <v>1173</v>
      </c>
      <c r="P56" s="258">
        <f t="shared" si="19"/>
        <v>63182</v>
      </c>
      <c r="Q56" s="261"/>
    </row>
    <row r="58" ht="12.75">
      <c r="B58" s="255"/>
    </row>
    <row r="59" spans="1:16" ht="13.5" thickBot="1">
      <c r="A59" s="253" t="s">
        <v>129</v>
      </c>
      <c r="C59" t="s">
        <v>38</v>
      </c>
      <c r="D59" t="s">
        <v>39</v>
      </c>
      <c r="E59" t="s">
        <v>125</v>
      </c>
      <c r="F59" t="s">
        <v>40</v>
      </c>
      <c r="G59" t="s">
        <v>41</v>
      </c>
      <c r="H59" t="s">
        <v>42</v>
      </c>
      <c r="I59" t="s">
        <v>43</v>
      </c>
      <c r="J59" t="s">
        <v>44</v>
      </c>
      <c r="K59" t="s">
        <v>45</v>
      </c>
      <c r="L59" t="s">
        <v>46</v>
      </c>
      <c r="M59" t="s">
        <v>47</v>
      </c>
      <c r="N59" t="s">
        <v>120</v>
      </c>
      <c r="O59" t="s">
        <v>121</v>
      </c>
      <c r="P59" t="s">
        <v>18</v>
      </c>
    </row>
    <row r="60" spans="1:17" ht="13.5" thickBot="1">
      <c r="A60" s="250" t="s">
        <v>107</v>
      </c>
      <c r="B60" t="s">
        <v>116</v>
      </c>
      <c r="C60" s="257">
        <f aca="true" t="shared" si="20" ref="C60:O60">+ROUND(C20/$B20,0)</f>
        <v>1067771</v>
      </c>
      <c r="D60" s="257">
        <f t="shared" si="20"/>
        <v>4628461</v>
      </c>
      <c r="E60" s="257">
        <f t="shared" si="20"/>
        <v>2353939</v>
      </c>
      <c r="F60" s="257">
        <f t="shared" si="20"/>
        <v>1425701</v>
      </c>
      <c r="G60" s="257">
        <f t="shared" si="20"/>
        <v>1147994</v>
      </c>
      <c r="H60" s="257">
        <f t="shared" si="20"/>
        <v>5629359</v>
      </c>
      <c r="I60" s="257">
        <f t="shared" si="20"/>
        <v>4587465</v>
      </c>
      <c r="J60" s="257">
        <f t="shared" si="20"/>
        <v>4121492</v>
      </c>
      <c r="K60" s="257">
        <f t="shared" si="20"/>
        <v>3991581</v>
      </c>
      <c r="L60" s="257">
        <f t="shared" si="20"/>
        <v>3729474</v>
      </c>
      <c r="M60" s="257">
        <f t="shared" si="20"/>
        <v>3948363</v>
      </c>
      <c r="N60" s="257">
        <f t="shared" si="20"/>
        <v>5149944</v>
      </c>
      <c r="O60" s="257">
        <f t="shared" si="20"/>
        <v>994897</v>
      </c>
      <c r="P60" s="257">
        <f aca="true" t="shared" si="21" ref="P60:P68">+SUM(C60:O60)</f>
        <v>42776441</v>
      </c>
      <c r="Q60" s="261"/>
    </row>
    <row r="61" spans="1:17" ht="13.5" thickBot="1">
      <c r="A61" s="251" t="s">
        <v>108</v>
      </c>
      <c r="B61" t="s">
        <v>116</v>
      </c>
      <c r="C61" s="257">
        <f aca="true" t="shared" si="22" ref="C61:O61">+ROUND(C21/$B21,0)</f>
        <v>1302988</v>
      </c>
      <c r="D61" s="257">
        <f t="shared" si="22"/>
        <v>1439743</v>
      </c>
      <c r="E61" s="257">
        <f t="shared" si="22"/>
        <v>931555</v>
      </c>
      <c r="F61" s="257">
        <f t="shared" si="22"/>
        <v>868613</v>
      </c>
      <c r="G61" s="257">
        <f t="shared" si="22"/>
        <v>283062</v>
      </c>
      <c r="H61" s="257">
        <f t="shared" si="22"/>
        <v>2774646</v>
      </c>
      <c r="I61" s="257">
        <f t="shared" si="22"/>
        <v>1775646</v>
      </c>
      <c r="J61" s="257">
        <f t="shared" si="22"/>
        <v>1917101</v>
      </c>
      <c r="K61" s="257">
        <f t="shared" si="22"/>
        <v>1931201</v>
      </c>
      <c r="L61" s="257">
        <f t="shared" si="22"/>
        <v>1797313</v>
      </c>
      <c r="M61" s="257">
        <f t="shared" si="22"/>
        <v>2103606</v>
      </c>
      <c r="N61" s="257">
        <f t="shared" si="22"/>
        <v>2301572</v>
      </c>
      <c r="O61" s="257">
        <f t="shared" si="22"/>
        <v>320381</v>
      </c>
      <c r="P61" s="258">
        <f t="shared" si="21"/>
        <v>19747427</v>
      </c>
      <c r="Q61" s="261"/>
    </row>
    <row r="62" spans="1:17" ht="13.5" thickBot="1">
      <c r="A62" s="251" t="s">
        <v>109</v>
      </c>
      <c r="B62" t="s">
        <v>116</v>
      </c>
      <c r="C62" s="257">
        <f aca="true" t="shared" si="23" ref="C62:O62">+ROUND(C22/$B22,0)</f>
        <v>2283</v>
      </c>
      <c r="D62" s="257">
        <f t="shared" si="23"/>
        <v>2168</v>
      </c>
      <c r="E62" s="257">
        <f t="shared" si="23"/>
        <v>743</v>
      </c>
      <c r="F62" s="257">
        <f t="shared" si="23"/>
        <v>1607</v>
      </c>
      <c r="G62" s="257">
        <f t="shared" si="23"/>
        <v>146</v>
      </c>
      <c r="H62" s="257">
        <f t="shared" si="23"/>
        <v>1506</v>
      </c>
      <c r="I62" s="257">
        <f t="shared" si="23"/>
        <v>1054</v>
      </c>
      <c r="J62" s="257">
        <f t="shared" si="23"/>
        <v>1454</v>
      </c>
      <c r="K62" s="257">
        <f t="shared" si="23"/>
        <v>1680</v>
      </c>
      <c r="L62" s="257">
        <f t="shared" si="23"/>
        <v>2096</v>
      </c>
      <c r="M62" s="257">
        <f t="shared" si="23"/>
        <v>2274</v>
      </c>
      <c r="N62" s="257">
        <f t="shared" si="23"/>
        <v>2659</v>
      </c>
      <c r="O62" s="257">
        <f t="shared" si="23"/>
        <v>993</v>
      </c>
      <c r="P62" s="258">
        <f t="shared" si="21"/>
        <v>20663</v>
      </c>
      <c r="Q62" s="261"/>
    </row>
    <row r="63" spans="1:17" ht="13.5" thickBot="1">
      <c r="A63" s="251" t="s">
        <v>110</v>
      </c>
      <c r="B63" t="s">
        <v>20</v>
      </c>
      <c r="C63" s="257">
        <f aca="true" t="shared" si="24" ref="C63:O63">+ROUND(C23/$B23,0)</f>
        <v>8646</v>
      </c>
      <c r="D63" s="257">
        <f t="shared" si="24"/>
        <v>12136</v>
      </c>
      <c r="E63" s="257">
        <f t="shared" si="24"/>
        <v>4359</v>
      </c>
      <c r="F63" s="257">
        <f t="shared" si="24"/>
        <v>6396</v>
      </c>
      <c r="G63" s="257">
        <f t="shared" si="24"/>
        <v>1411</v>
      </c>
      <c r="H63" s="257">
        <f t="shared" si="24"/>
        <v>14063</v>
      </c>
      <c r="I63" s="257">
        <f t="shared" si="24"/>
        <v>11020</v>
      </c>
      <c r="J63" s="257">
        <f t="shared" si="24"/>
        <v>9873</v>
      </c>
      <c r="K63" s="257">
        <f t="shared" si="24"/>
        <v>10268</v>
      </c>
      <c r="L63" s="257">
        <f t="shared" si="24"/>
        <v>10751</v>
      </c>
      <c r="M63" s="257">
        <f t="shared" si="24"/>
        <v>10474</v>
      </c>
      <c r="N63" s="257">
        <f t="shared" si="24"/>
        <v>11928</v>
      </c>
      <c r="O63" s="257">
        <f t="shared" si="24"/>
        <v>3617</v>
      </c>
      <c r="P63" s="258">
        <f t="shared" si="21"/>
        <v>114942</v>
      </c>
      <c r="Q63" s="261"/>
    </row>
    <row r="64" spans="1:17" ht="13.5" thickBot="1">
      <c r="A64" s="251" t="s">
        <v>111</v>
      </c>
      <c r="B64" t="s">
        <v>20</v>
      </c>
      <c r="C64" s="257">
        <f aca="true" t="shared" si="25" ref="C64:O64">+ROUND(C24/$B24,0)</f>
        <v>0</v>
      </c>
      <c r="D64" s="257">
        <f t="shared" si="25"/>
        <v>0</v>
      </c>
      <c r="E64" s="257">
        <f t="shared" si="25"/>
        <v>0</v>
      </c>
      <c r="F64" s="257">
        <f t="shared" si="25"/>
        <v>0</v>
      </c>
      <c r="G64" s="257">
        <f t="shared" si="25"/>
        <v>1642</v>
      </c>
      <c r="H64" s="257">
        <f t="shared" si="25"/>
        <v>1828</v>
      </c>
      <c r="I64" s="257">
        <f t="shared" si="25"/>
        <v>1852</v>
      </c>
      <c r="J64" s="257">
        <f t="shared" si="25"/>
        <v>2873</v>
      </c>
      <c r="K64" s="257">
        <f t="shared" si="25"/>
        <v>2701</v>
      </c>
      <c r="L64" s="257">
        <f t="shared" si="25"/>
        <v>2624</v>
      </c>
      <c r="M64" s="257">
        <f t="shared" si="25"/>
        <v>2236</v>
      </c>
      <c r="N64" s="257">
        <f t="shared" si="25"/>
        <v>2271</v>
      </c>
      <c r="O64" s="257">
        <f t="shared" si="25"/>
        <v>0</v>
      </c>
      <c r="P64" s="258">
        <f t="shared" si="21"/>
        <v>18027</v>
      </c>
      <c r="Q64" s="261"/>
    </row>
    <row r="65" spans="1:17" ht="13.5" thickBot="1">
      <c r="A65" s="251" t="s">
        <v>112</v>
      </c>
      <c r="B65" t="s">
        <v>20</v>
      </c>
      <c r="C65" s="257">
        <f aca="true" t="shared" si="26" ref="C65:O65">+ROUND(C25/$B25,0)</f>
        <v>14408</v>
      </c>
      <c r="D65" s="257">
        <f t="shared" si="26"/>
        <v>14532</v>
      </c>
      <c r="E65" s="257">
        <f t="shared" si="26"/>
        <v>0</v>
      </c>
      <c r="F65" s="257">
        <f t="shared" si="26"/>
        <v>0</v>
      </c>
      <c r="G65" s="257">
        <f t="shared" si="26"/>
        <v>14511</v>
      </c>
      <c r="H65" s="257">
        <f t="shared" si="26"/>
        <v>14575</v>
      </c>
      <c r="I65" s="257">
        <f t="shared" si="26"/>
        <v>14328</v>
      </c>
      <c r="J65" s="257">
        <f t="shared" si="26"/>
        <v>14624</v>
      </c>
      <c r="K65" s="257">
        <f t="shared" si="26"/>
        <v>14530</v>
      </c>
      <c r="L65" s="257">
        <f t="shared" si="26"/>
        <v>14708</v>
      </c>
      <c r="M65" s="257">
        <f t="shared" si="26"/>
        <v>14485</v>
      </c>
      <c r="N65" s="257">
        <f t="shared" si="26"/>
        <v>11243</v>
      </c>
      <c r="O65" s="257">
        <f t="shared" si="26"/>
        <v>3494</v>
      </c>
      <c r="P65" s="258">
        <f t="shared" si="21"/>
        <v>145438</v>
      </c>
      <c r="Q65" s="261"/>
    </row>
    <row r="66" spans="1:17" ht="13.5" thickBot="1">
      <c r="A66" s="251" t="s">
        <v>113</v>
      </c>
      <c r="B66" t="s">
        <v>20</v>
      </c>
      <c r="C66" s="257">
        <f aca="true" t="shared" si="27" ref="C66:O66">+ROUND(C26/$B26,0)</f>
        <v>0</v>
      </c>
      <c r="D66" s="257">
        <f t="shared" si="27"/>
        <v>0</v>
      </c>
      <c r="E66" s="257">
        <f t="shared" si="27"/>
        <v>0</v>
      </c>
      <c r="F66" s="257">
        <f t="shared" si="27"/>
        <v>0</v>
      </c>
      <c r="G66" s="257">
        <f t="shared" si="27"/>
        <v>0</v>
      </c>
      <c r="H66" s="257">
        <f t="shared" si="27"/>
        <v>0</v>
      </c>
      <c r="I66" s="257">
        <f t="shared" si="27"/>
        <v>0</v>
      </c>
      <c r="J66" s="257">
        <f t="shared" si="27"/>
        <v>0</v>
      </c>
      <c r="K66" s="257">
        <f t="shared" si="27"/>
        <v>0</v>
      </c>
      <c r="L66" s="257">
        <f t="shared" si="27"/>
        <v>0</v>
      </c>
      <c r="M66" s="257">
        <f t="shared" si="27"/>
        <v>0</v>
      </c>
      <c r="N66" s="257">
        <f t="shared" si="27"/>
        <v>0</v>
      </c>
      <c r="O66" s="257">
        <f t="shared" si="27"/>
        <v>0</v>
      </c>
      <c r="P66" s="258">
        <f t="shared" si="21"/>
        <v>0</v>
      </c>
      <c r="Q66" s="261"/>
    </row>
    <row r="67" spans="1:17" ht="13.5" thickBot="1">
      <c r="A67" s="251" t="s">
        <v>114</v>
      </c>
      <c r="B67" t="s">
        <v>20</v>
      </c>
      <c r="C67" s="257">
        <f aca="true" t="shared" si="28" ref="C67:O67">+ROUND(C27/$B27,0)</f>
        <v>204</v>
      </c>
      <c r="D67" s="257">
        <f t="shared" si="28"/>
        <v>306</v>
      </c>
      <c r="E67" s="257">
        <f t="shared" si="28"/>
        <v>0</v>
      </c>
      <c r="F67" s="257">
        <f t="shared" si="28"/>
        <v>0</v>
      </c>
      <c r="G67" s="257">
        <f t="shared" si="28"/>
        <v>309</v>
      </c>
      <c r="H67" s="257">
        <f t="shared" si="28"/>
        <v>309</v>
      </c>
      <c r="I67" s="257">
        <f t="shared" si="28"/>
        <v>309</v>
      </c>
      <c r="J67" s="257">
        <f t="shared" si="28"/>
        <v>309</v>
      </c>
      <c r="K67" s="257">
        <f t="shared" si="28"/>
        <v>309</v>
      </c>
      <c r="L67" s="257">
        <f t="shared" si="28"/>
        <v>309</v>
      </c>
      <c r="M67" s="257">
        <f t="shared" si="28"/>
        <v>309</v>
      </c>
      <c r="N67" s="257">
        <f t="shared" si="28"/>
        <v>309</v>
      </c>
      <c r="O67" s="257">
        <f t="shared" si="28"/>
        <v>0</v>
      </c>
      <c r="P67" s="258">
        <f t="shared" si="21"/>
        <v>2982</v>
      </c>
      <c r="Q67" s="261"/>
    </row>
    <row r="68" spans="1:17" ht="12.75">
      <c r="A68" s="251" t="s">
        <v>115</v>
      </c>
      <c r="B68" t="s">
        <v>20</v>
      </c>
      <c r="C68" s="257">
        <f aca="true" t="shared" si="29" ref="C68:O68">+ROUND(C28/$B28,0)</f>
        <v>19</v>
      </c>
      <c r="D68" s="257">
        <f t="shared" si="29"/>
        <v>23</v>
      </c>
      <c r="E68" s="257">
        <f t="shared" si="29"/>
        <v>9</v>
      </c>
      <c r="F68" s="257">
        <f t="shared" si="29"/>
        <v>11</v>
      </c>
      <c r="G68" s="257">
        <f t="shared" si="29"/>
        <v>4</v>
      </c>
      <c r="H68" s="257">
        <f t="shared" si="29"/>
        <v>30</v>
      </c>
      <c r="I68" s="257">
        <f t="shared" si="29"/>
        <v>21</v>
      </c>
      <c r="J68" s="257">
        <f t="shared" si="29"/>
        <v>20</v>
      </c>
      <c r="K68" s="257">
        <f t="shared" si="29"/>
        <v>97</v>
      </c>
      <c r="L68" s="257">
        <f t="shared" si="29"/>
        <v>20</v>
      </c>
      <c r="M68" s="257">
        <f t="shared" si="29"/>
        <v>30</v>
      </c>
      <c r="N68" s="257">
        <f t="shared" si="29"/>
        <v>106</v>
      </c>
      <c r="O68" s="257">
        <f t="shared" si="29"/>
        <v>8</v>
      </c>
      <c r="P68" s="258">
        <f t="shared" si="21"/>
        <v>398</v>
      </c>
      <c r="Q68" s="261"/>
    </row>
    <row r="69" spans="1:17" ht="12.75">
      <c r="A69" s="251"/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61"/>
    </row>
  </sheetData>
  <sheetProtection/>
  <printOptions/>
  <pageMargins left="0.3" right="0.3" top="0.3" bottom="0.3" header="0.2" footer="0.2"/>
  <pageSetup fitToHeight="1" fitToWidth="1" horizontalDpi="600" verticalDpi="600" orientation="landscape" paperSize="5" scale="64" r:id="rId1"/>
  <headerFooter>
    <oddHeader>&amp;RTillsonburg Hydro Inc.
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JGott</cp:lastModifiedBy>
  <cp:lastPrinted>2011-12-09T17:09:59Z</cp:lastPrinted>
  <dcterms:created xsi:type="dcterms:W3CDTF">2003-07-16T15:16:03Z</dcterms:created>
  <dcterms:modified xsi:type="dcterms:W3CDTF">2011-12-10T02:27:02Z</dcterms:modified>
  <cp:category/>
  <cp:version/>
  <cp:contentType/>
  <cp:contentStatus/>
</cp:coreProperties>
</file>