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3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<sst xmlns="http://schemas.openxmlformats.org/spreadsheetml/2006/main" count="866" uniqueCount="498">
  <si>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</si>
  <si>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</si>
  <si>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</si>
  <si>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</si>
  <si>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</si>
  <si>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</si>
  <si>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</si>
  <si>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</si>
  <si>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</si>
  <si>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</si>
  <si>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</si>
  <si>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</si>
  <si>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</si>
  <si>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</si>
  <si>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</si>
  <si>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</si>
  <si>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</si>
  <si>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</si>
  <si>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</si>
  <si>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</si>
  <si>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</si>
  <si>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</si>
  <si>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</si>
  <si>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</si>
  <si>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</si>
  <si>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</si>
  <si>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</si>
  <si>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</si>
  <si>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</si>
  <si>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</si>
  <si>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</si>
  <si>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</si>
  <si>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</si>
  <si>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</si>
  <si>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</si>
  <si>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</si>
  <si>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</si>
  <si>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</si>
  <si>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</si>
  <si>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</si>
  <si>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</si>
  <si>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</si>
  <si>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</si>
  <si>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</si>
  <si>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</si>
  <si>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</si>
  <si>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</si>
  <si>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</si>
  <si>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</si>
  <si>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</si>
  <si>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</si>
  <si>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</si>
  <si>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</si>
  <si>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</si>
  <si>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</si>
  <si>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</si>
  <si>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</si>
  <si>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</si>
  <si>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</si>
  <si>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</si>
  <si>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</si>
  <si>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</si>
  <si>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</si>
  <si>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</si>
  <si>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</si>
  <si>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</si>
  <si>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</si>
  <si>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</si>
  <si>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</si>
  <si>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</si>
  <si>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</si>
  <si>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</si>
  <si>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</si>
  <si>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</si>
  <si>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</si>
  <si>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</si>
  <si>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</si>
  <si>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</si>
  <si>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</si>
  <si>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</si>
  <si>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</si>
  <si>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</si>
  <si>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</si>
  <si>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</si>
  <si>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</si>
  <si>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</si>
  <si>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</si>
  <si>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</si>
  <si>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</si>
  <si>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</si>
  <si>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</si>
  <si>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</si>
  <si>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</si>
  <si>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</si>
  <si>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</si>
  <si>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</si>
  <si>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</si>
  <si>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</si>
  <si>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</si>
  <si>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</si>
  <si>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</si>
  <si>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</si>
  <si>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</si>
  <si>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</si>
  <si>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</si>
  <si>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</si>
  <si>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</si>
  <si>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</si>
  <si>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</si>
  <si>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</si>
  <si>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</si>
  <si>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</si>
  <si>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</si>
  <si>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</si>
  <si>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</si>
  <si>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</si>
  <si>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</si>
  <si>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</si>
  <si>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</si>
  <si>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</si>
  <si>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</si>
  <si>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</si>
  <si>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</si>
  <si>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</si>
  <si>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</si>
  <si>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</si>
  <si>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</si>
  <si>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</si>
  <si>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</si>
  <si>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</si>
  <si>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</si>
  <si>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</si>
  <si>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</si>
  <si>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</si>
  <si>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</si>
  <si>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</si>
  <si>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</si>
  <si>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</si>
  <si>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</si>
  <si>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</si>
  <si>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</si>
  <si>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</si>
  <si>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</si>
  <si>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</si>
  <si>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</si>
  <si>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</si>
  <si>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</si>
  <si>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</si>
  <si>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</si>
  <si>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</si>
  <si>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</si>
  <si>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</si>
  <si>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</si>
  <si>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</si>
  <si>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</si>
  <si>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</si>
  <si>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</si>
  <si>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</si>
  <si>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</si>
  <si>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</si>
  <si>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</si>
  <si>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</si>
  <si>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</si>
  <si>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</si>
  <si>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</si>
  <si>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</si>
  <si>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</si>
  <si>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</si>
  <si>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</si>
  <si>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</si>
  <si>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</si>
  <si>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</si>
  <si>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</si>
  <si>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</si>
  <si>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</si>
  <si>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</si>
  <si>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</si>
  <si>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</si>
  <si>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</si>
  <si>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</si>
  <si>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</si>
  <si>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</si>
  <si>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</si>
  <si>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</si>
  <si>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</si>
  <si>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</si>
  <si>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</si>
  <si>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</si>
  <si>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</si>
  <si>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</si>
  <si>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</si>
  <si>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</si>
  <si>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</si>
  <si>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</si>
  <si>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</si>
  <si>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</si>
  <si>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</si>
  <si>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</si>
  <si>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</si>
  <si>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</si>
  <si>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</si>
  <si>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</si>
  <si>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</si>
  <si>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</si>
  <si>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</si>
  <si>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</si>
  <si>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</si>
  <si>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</si>
  <si>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</si>
  <si>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</si>
  <si>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</si>
  <si>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</si>
  <si>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</si>
  <si>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</si>
  <si>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</si>
  <si>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</si>
  <si>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</si>
  <si>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</si>
  <si>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</si>
  <si>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</si>
  <si>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</si>
  <si>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</si>
  <si>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</si>
  <si>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</si>
  <si>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</si>
  <si>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</si>
  <si>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</si>
  <si>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</si>
  <si>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</si>
  <si>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</si>
  <si>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</si>
  <si>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</si>
  <si>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</si>
  <si>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</si>
  <si>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</si>
  <si>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</si>
  <si>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</si>
  <si>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</si>
  <si>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</si>
  <si>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</si>
  <si>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</si>
  <si>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</si>
  <si>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</si>
  <si>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</si>
  <si>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</si>
  <si>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</si>
  <si>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</si>
  <si>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</si>
  <si>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</si>
  <si>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</si>
  <si>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</si>
  <si>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</si>
  <si>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</si>
  <si>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</si>
  <si>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</si>
  <si>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</si>
  <si>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</si>
  <si>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</si>
  <si>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</si>
  <si>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</si>
  <si>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</si>
  <si>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</si>
  <si>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</si>
  <si>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</si>
  <si>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</si>
  <si>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</si>
  <si>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</si>
  <si>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</si>
  <si>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</si>
  <si>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</si>
  <si>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</si>
  <si>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</si>
  <si>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</si>
  <si>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</si>
  <si>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</si>
  <si>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</si>
  <si>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</si>
  <si>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</si>
  <si>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</si>
  <si>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</si>
  <si>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</si>
  <si>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</si>
  <si>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</si>
  <si>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</si>
  <si>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</si>
  <si>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</si>
  <si>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</si>
  <si>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</si>
  <si>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</si>
  <si>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</si>
  <si>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</si>
  <si>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</si>
  <si>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</si>
  <si>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</si>
  <si>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</si>
  <si>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</si>
  <si>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</si>
  <si>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</si>
  <si>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</si>
  <si>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</si>
  <si>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</si>
  <si>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</si>
  <si>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</si>
  <si>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</si>
  <si>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</si>
  <si>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</si>
  <si>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</si>
  <si>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</si>
  <si>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</si>
  <si>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</si>
  <si>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</si>
  <si>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</si>
  <si>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</si>
  <si>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</si>
  <si>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</si>
  <si>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</si>
  <si>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</si>
  <si>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</si>
  <si>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</si>
  <si>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</si>
  <si>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</si>
  <si>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</si>
  <si>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</si>
  <si>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</si>
  <si>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</si>
  <si>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</si>
  <si>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</si>
  <si>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</si>
  <si>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</si>
  <si>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</si>
  <si>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</si>
  <si>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</si>
  <si>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</si>
  <si>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</si>
  <si>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</si>
  <si>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</si>
  <si>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</si>
  <si>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</si>
  <si>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</si>
  <si>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</si>
  <si>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</si>
  <si>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</si>
  <si>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</si>
  <si>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</si>
  <si>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</si>
  <si>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</si>
  <si>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</si>
  <si>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</si>
  <si>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</si>
  <si>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</si>
  <si>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</si>
  <si>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</si>
  <si>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</si>
  <si>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</si>
  <si>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</si>
  <si>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</si>
  <si>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</si>
  <si>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</si>
  <si>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</si>
  <si>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</si>
  <si>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</si>
  <si>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</si>
  <si>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</si>
  <si>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</si>
  <si>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</si>
  <si>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</si>
  <si>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</si>
  <si>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</si>
  <si>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</si>
  <si>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</si>
  <si>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</si>
  <si>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</si>
  <si>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</si>
  <si>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</si>
  <si>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</si>
  <si>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</si>
  <si>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</si>
  <si>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</si>
  <si>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</si>
  <si>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</si>
  <si>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</si>
  <si>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</si>
  <si>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</si>
  <si>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</si>
  <si>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</si>
  <si>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</si>
  <si>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</si>
  <si>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</si>
  <si>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</si>
  <si>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</si>
  <si>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</si>
  <si>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</si>
  <si>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</si>
  <si>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</si>
  <si>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</si>
  <si>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</si>
  <si>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</si>
  <si>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</si>
  <si>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</si>
  <si>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</si>
  <si>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</si>
  <si>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</si>
  <si>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</si>
  <si>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</si>
  <si>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</si>
  <si>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</si>
  <si>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</si>
  <si>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</si>
  <si>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</si>
  <si>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</si>
  <si>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</si>
  <si>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</si>
  <si>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</si>
  <si>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</si>
  <si>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</si>
  <si>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</si>
  <si>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</si>
  <si>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</si>
  <si>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</si>
  <si>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</si>
  <si>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</si>
  <si>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</si>
  <si>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</si>
  <si>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</si>
  <si>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</si>
  <si>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</si>
  <si>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</si>
  <si>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</si>
  <si>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</si>
  <si>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</si>
  <si>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</si>
  <si>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</si>
  <si>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</si>
  <si>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</si>
  <si>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</si>
  <si>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</si>
  <si>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</si>
  <si>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</si>
  <si>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</si>
  <si>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</si>
  <si>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</si>
  <si>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</si>
  <si>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</si>
  <si>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</si>
  <si>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</si>
  <si>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</si>
  <si>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</si>
  <si>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</si>
  <si>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</si>
  <si>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</si>
  <si>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</si>
  <si>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</si>
  <si>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</si>
  <si>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</si>
  <si>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</si>
  <si>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</si>
  <si>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</si>
  <si>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</si>
  <si>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</si>
  <si>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</si>
  <si>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</si>
  <si>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</si>
  <si>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</si>
  <si>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</si>
  <si>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</si>
  <si>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</si>
  <si>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</si>
  <si>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</si>
  <si>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</si>
  <si>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</si>
  <si>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</si>
  <si>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</si>
  <si>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</si>
  <si>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</si>
  <si>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</si>
  <si>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</si>
  <si>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</si>
  <si>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</si>
  <si>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</si>
  <si>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</si>
  <si>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</si>
  <si>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</si>
  <si>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</si>
  <si>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</si>
  <si>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</si>
  <si>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</si>
  <si>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</si>
  <si>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Yes</t>
  </si>
  <si>
    <t>No</t>
  </si>
  <si>
    <t>Dec 31 2002</t>
  </si>
  <si>
    <t>Less: Regulatory Income Tax reported in the Initial Estimate Column (Cell C60)</t>
  </si>
  <si>
    <t>* Include copies of the actual tax return allocation calculations in your submission: Ontario CT23 page 12;  federal T2 Schedule 36</t>
  </si>
  <si>
    <t>PILs TAXES as per EB-2008-0381</t>
  </si>
  <si>
    <t xml:space="preserve">Net Federal Income Tax Rate  </t>
  </si>
  <si>
    <t xml:space="preserve">Net Ontario Income Tax Rate </t>
  </si>
  <si>
    <t>Utility Name: Atikokan Hydro Inc.</t>
  </si>
  <si>
    <t xml:space="preserve">     Provincial rebate expense</t>
  </si>
  <si>
    <t xml:space="preserve">     Extraordinary loss, regulatory assets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</si>
</sst>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9" borderId="14" xfId="0" applyNumberFormat="1" applyFont="1" applyFill="1" applyBorder="1" applyAlignment="1">
      <alignment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0" fontId="0" fillId="29" borderId="0" xfId="0" applyFill="1" applyAlignment="1">
      <alignment horizontal="center" vertical="top" wrapText="1"/>
    </xf>
    <xf numFmtId="178" fontId="0" fillId="0" borderId="0" xfId="0" applyNumberFormat="1" applyAlignment="1">
      <alignment vertical="top"/>
    </xf>
    <xf numFmtId="0" fontId="19" fillId="0" borderId="0" xfId="0" applyFont="1" applyFill="1" applyAlignment="1">
      <alignment vertical="top"/>
    </xf>
    <xf numFmtId="3" fontId="0" fillId="4" borderId="14" xfId="0" applyNumberForma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3" fontId="0" fillId="4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D47" sqref="D47: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492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55" t="s">
        <v>446</v>
      </c>
      <c r="E3" s="8"/>
      <c r="F3" s="8"/>
      <c r="G3" s="8"/>
      <c r="H3" s="8"/>
    </row>
    <row r="4" spans="1:8" ht="12.75">
      <c r="A4" s="2" t="s">
        <v>472</v>
      </c>
      <c r="C4" s="8"/>
      <c r="D4" s="454" t="s">
        <v>441</v>
      </c>
      <c r="E4" s="428"/>
      <c r="H4" s="8"/>
    </row>
    <row r="5" spans="1:8" ht="12.75">
      <c r="A5" s="52"/>
      <c r="C5" s="8"/>
      <c r="D5" s="453" t="s">
        <v>442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487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488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488</v>
      </c>
    </row>
    <row r="18" spans="1:4" ht="15" customHeight="1">
      <c r="A18" s="390" t="s">
        <v>314</v>
      </c>
      <c r="C18" s="8"/>
      <c r="D18" s="8"/>
    </row>
    <row r="19" spans="1:4" ht="12.75">
      <c r="A19" s="487" t="s">
        <v>315</v>
      </c>
      <c r="B19" s="8" t="s">
        <v>312</v>
      </c>
      <c r="C19" s="8" t="s">
        <v>64</v>
      </c>
      <c r="D19" s="481"/>
    </row>
    <row r="20" spans="1:4" ht="12.75">
      <c r="A20" s="488"/>
      <c r="B20" s="8" t="s">
        <v>313</v>
      </c>
      <c r="C20" s="8" t="s">
        <v>64</v>
      </c>
      <c r="D20" s="481"/>
    </row>
    <row r="21" spans="1:6" ht="12.75">
      <c r="A21" s="487" t="s">
        <v>311</v>
      </c>
      <c r="B21" s="8" t="s">
        <v>312</v>
      </c>
      <c r="C21" s="8"/>
      <c r="D21" s="424">
        <v>1</v>
      </c>
      <c r="E21" s="34"/>
      <c r="F21" s="34"/>
    </row>
    <row r="22" spans="1:6" ht="12.75">
      <c r="A22" s="487"/>
      <c r="B22" s="8" t="s">
        <v>313</v>
      </c>
      <c r="C22" s="8"/>
      <c r="D22" s="424">
        <v>1</v>
      </c>
      <c r="E22" s="34"/>
      <c r="F22" s="34"/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489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296</v>
      </c>
    </row>
    <row r="27" spans="1:5" ht="12.75">
      <c r="A27" s="256" t="s">
        <v>68</v>
      </c>
      <c r="C27" s="8"/>
      <c r="E27" s="444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2">
        <v>2647326.25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226743.4933125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82052</v>
      </c>
      <c r="E43" s="388">
        <f>D43</f>
        <v>82052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144691.4933125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/>
      <c r="E47" s="388">
        <f aca="true" t="shared" si="0" ref="E47:E53">D47</f>
        <v>0</v>
      </c>
      <c r="H47" s="40"/>
      <c r="J47" s="5"/>
      <c r="K47" s="5"/>
    </row>
    <row r="48" spans="1:11" ht="12.75">
      <c r="A48" t="s">
        <v>289</v>
      </c>
      <c r="D48" s="427">
        <f>D45/3*2</f>
        <v>96460.99554166668</v>
      </c>
      <c r="E48" s="388">
        <f>D48</f>
        <v>96460.99554166668</v>
      </c>
      <c r="F48" s="22"/>
      <c r="H48" s="40"/>
      <c r="J48" s="5"/>
      <c r="K48" s="5"/>
    </row>
    <row r="49" spans="1:11" ht="12.75">
      <c r="A49" t="s">
        <v>290</v>
      </c>
      <c r="D49" s="486">
        <f>D45/3</f>
        <v>48230.49777083334</v>
      </c>
      <c r="E49" s="388">
        <v>0</v>
      </c>
      <c r="F49" s="22"/>
      <c r="H49" s="40"/>
      <c r="J49" s="5"/>
      <c r="K49" s="5"/>
    </row>
    <row r="50" spans="1:11" ht="12.75">
      <c r="A50" t="s">
        <v>291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438</v>
      </c>
      <c r="D51" s="426"/>
      <c r="E51" s="388">
        <f t="shared" si="0"/>
        <v>0</v>
      </c>
      <c r="H51" s="40"/>
      <c r="J51" s="5"/>
      <c r="K51" s="5"/>
    </row>
    <row r="52" spans="1:11" ht="12.75">
      <c r="A52" t="s">
        <v>461</v>
      </c>
      <c r="D52" s="428"/>
      <c r="E52" s="388">
        <f t="shared" si="0"/>
        <v>0</v>
      </c>
      <c r="H52" s="40"/>
      <c r="J52" s="5"/>
      <c r="K52" s="5"/>
    </row>
    <row r="53" spans="4:11" ht="12.75">
      <c r="D53" s="428"/>
      <c r="E53" s="388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178512.9955416667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1323663.125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130777.91675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1323663.125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95965.57656249999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34727.20373613543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75552.78562037848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75552.78562037848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95965.57656249999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8661417322834646" bottom="0.35433070866141736" header="0.11811023622047245" footer="0"/>
  <pageSetup fitToHeight="1" fitToWidth="1" horizontalDpi="600" verticalDpi="600" orientation="portrait" scale="83" r:id="rId1"/>
  <headerFooter alignWithMargins="0">
    <oddHeader>&amp;C&amp;9&amp;F   &amp;"Arial,Bold"&amp;A&amp;R&amp;"Calibri,Regular"&amp;9Atikokan Hydro 
EB-2011-0293
December 2011
Appendix D of  Account 1562 Evidence</oddHeader>
    <oddFooter xml:space="preserve">&amp;L&amp;8 &amp;R&amp;9&amp;P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PageLayoutView="0" workbookViewId="0" topLeftCell="A33">
      <selection activeCell="D47" sqref="D47:D4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as per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Atikokan Hydro Inc.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340</v>
      </c>
      <c r="B16" s="125">
        <v>1</v>
      </c>
      <c r="C16" s="260">
        <f>REGINFO!E54</f>
        <v>178512.9955416667</v>
      </c>
      <c r="D16" s="17"/>
      <c r="E16" s="268">
        <f>G16-C16</f>
        <v>-259533.9955416667</v>
      </c>
      <c r="F16" s="3"/>
      <c r="G16" s="268">
        <f>TAXREC!E50</f>
        <v>-81021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130112</v>
      </c>
      <c r="D20" s="18"/>
      <c r="E20" s="268">
        <f>G20-C20</f>
        <v>76146</v>
      </c>
      <c r="F20" s="6"/>
      <c r="G20" s="268">
        <f>TAXREC!E61</f>
        <v>206258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263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262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264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1211</v>
      </c>
      <c r="F26" s="6"/>
      <c r="G26" s="268">
        <f>TAXREC!E92</f>
        <v>1211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7" t="s">
        <v>394</v>
      </c>
      <c r="B30" s="127"/>
      <c r="C30" s="260"/>
      <c r="D30" s="18"/>
      <c r="E30" s="268">
        <f>G30-C30</f>
        <v>199707</v>
      </c>
      <c r="F30" s="6"/>
      <c r="G30" s="268">
        <f>TAXREC!E66</f>
        <v>199707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341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94520</v>
      </c>
      <c r="D33" s="132"/>
      <c r="E33" s="268">
        <f aca="true" t="shared" si="0" ref="E33:E42">G33-C33</f>
        <v>124065</v>
      </c>
      <c r="F33" s="6"/>
      <c r="G33" s="268">
        <f>TAXREC!E97+TAXREC!E98</f>
        <v>218585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265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75552.78562037848</v>
      </c>
      <c r="D37" s="132"/>
      <c r="E37" s="268">
        <f t="shared" si="0"/>
        <v>-8918.785620378476</v>
      </c>
      <c r="F37" s="6"/>
      <c r="G37" s="268">
        <f>TAXREC!E51</f>
        <v>66634</v>
      </c>
      <c r="H37" s="151"/>
    </row>
    <row r="38" spans="1:8" ht="12.75">
      <c r="A38" s="155" t="s">
        <v>261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260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394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329</v>
      </c>
      <c r="B50" s="125"/>
      <c r="C50" s="264">
        <f>C16+SUM(C20:C30)-SUM(C33:C48)</f>
        <v>138552.20992128822</v>
      </c>
      <c r="D50" s="102"/>
      <c r="E50" s="264">
        <f>E16+SUM(E20:E30)-SUM(E33:E48)</f>
        <v>-97616.20992128822</v>
      </c>
      <c r="F50" s="431"/>
      <c r="G50" s="264">
        <f>G16+SUM(G20:G30)-SUM(G33:G48)</f>
        <v>40936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335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339</v>
      </c>
      <c r="B53" s="127">
        <v>13</v>
      </c>
      <c r="C53" s="263">
        <f>IF($C$50&gt;'Tax Rates'!$E$11,'Tax Rates'!$F$16,IF($C$50&gt;'Tax Rates'!$C$11,'Tax Rates'!$E$16,'Tax Rates'!$C$16))</f>
        <v>0.1912</v>
      </c>
      <c r="D53" s="102"/>
      <c r="E53" s="269">
        <f>+G53-C53</f>
        <v>0</v>
      </c>
      <c r="F53" s="114"/>
      <c r="G53" s="263">
        <f>TAXREC!E151</f>
        <v>0.1912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26491.18253695031</v>
      </c>
      <c r="D55" s="102"/>
      <c r="E55" s="268">
        <f>G55-C55</f>
        <v>-23898.18253695031</v>
      </c>
      <c r="F55" s="431" t="s">
        <v>367</v>
      </c>
      <c r="G55" s="265">
        <f>TAXREC!E144</f>
        <v>2593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1" t="s">
        <v>367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26491.18253695031</v>
      </c>
      <c r="D60" s="133"/>
      <c r="E60" s="270">
        <f>+E55-E58</f>
        <v>-23898.18253695031</v>
      </c>
      <c r="F60" s="431" t="s">
        <v>367</v>
      </c>
      <c r="G60" s="270">
        <f>+G55-G58</f>
        <v>2593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2647326.25</v>
      </c>
      <c r="D66" s="102"/>
      <c r="E66" s="268">
        <f>G66-C66</f>
        <v>18545558.75</v>
      </c>
      <c r="F66" s="6"/>
      <c r="G66" s="470">
        <v>21192885</v>
      </c>
      <c r="H66" s="151"/>
      <c r="I66" s="471" t="s">
        <v>471</v>
      </c>
    </row>
    <row r="67" spans="1:10" ht="12.75">
      <c r="A67" s="152" t="s">
        <v>360</v>
      </c>
      <c r="B67" s="125">
        <v>16</v>
      </c>
      <c r="C67" s="261">
        <f>IF(C66&gt;0,'Tax Rates'!C21,0)</f>
        <v>5000000</v>
      </c>
      <c r="D67" s="102"/>
      <c r="E67" s="268">
        <f>G67-C67</f>
        <v>-1503374</v>
      </c>
      <c r="F67" s="6"/>
      <c r="G67" s="265">
        <f>'Tax Rates'!C57</f>
        <v>3496626</v>
      </c>
      <c r="H67" s="151"/>
      <c r="I67" s="471"/>
      <c r="J67" s="483"/>
    </row>
    <row r="68" spans="1:8" ht="12.75">
      <c r="A68" s="152" t="s">
        <v>42</v>
      </c>
      <c r="B68" s="125"/>
      <c r="C68" s="265">
        <f>IF((C66-C67)&gt;0,C66-C67,0)</f>
        <v>0</v>
      </c>
      <c r="D68" s="102"/>
      <c r="E68" s="268">
        <f>SUM(E66:E67)</f>
        <v>17042184.75</v>
      </c>
      <c r="F68" s="114"/>
      <c r="G68" s="265">
        <f>G66-G67</f>
        <v>17696259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5">
        <f>IF(C68&gt;0,C68*C70,0)*REGINFO!$B$6/REGINFO!$B$7</f>
        <v>0</v>
      </c>
      <c r="D72" s="101"/>
      <c r="E72" s="268">
        <f>+G72-C72</f>
        <v>53088.777</v>
      </c>
      <c r="F72" s="472"/>
      <c r="G72" s="265">
        <f>IF(G68&gt;0,G68*G70,0)*REGINFO!$B$6/REGINFO!$B$7</f>
        <v>53088.777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2647326.25</v>
      </c>
      <c r="D75" s="102"/>
      <c r="E75" s="268">
        <f>+G75-C75</f>
        <v>18521575.75</v>
      </c>
      <c r="F75" s="6"/>
      <c r="G75" s="470">
        <v>21168902</v>
      </c>
      <c r="H75" s="151"/>
      <c r="I75" s="471" t="s">
        <v>471</v>
      </c>
    </row>
    <row r="76" spans="1:9" ht="12.75">
      <c r="A76" s="152" t="s">
        <v>360</v>
      </c>
      <c r="B76" s="125">
        <v>19</v>
      </c>
      <c r="C76" s="261">
        <f>IF(C75&gt;0,'Tax Rates'!C22,0)</f>
        <v>10000000</v>
      </c>
      <c r="D76" s="18"/>
      <c r="E76" s="268">
        <f>+G76-C76</f>
        <v>-5611957</v>
      </c>
      <c r="F76" s="6"/>
      <c r="G76" s="265">
        <f>'Tax Rates'!C58</f>
        <v>4388043</v>
      </c>
      <c r="H76" s="151"/>
      <c r="I76" s="471"/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12909618.75</v>
      </c>
      <c r="F77" s="114"/>
      <c r="G77" s="265">
        <f>G75-G76</f>
        <v>16780859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5">
        <f>IF(C77&gt;0,C77*C79,0)*REGINFO!$B$6/REGINFO!$B$7</f>
        <v>0</v>
      </c>
      <c r="D81" s="102"/>
      <c r="E81" s="268">
        <f>+G81-C81</f>
        <v>37756.93275</v>
      </c>
      <c r="F81" s="6"/>
      <c r="G81" s="265">
        <f>G77*G79*B9/B10</f>
        <v>37756.93275</v>
      </c>
      <c r="H81" s="151"/>
    </row>
    <row r="82" spans="1:9" ht="12.75">
      <c r="A82" s="152" t="s">
        <v>318</v>
      </c>
      <c r="B82" s="125">
        <v>21</v>
      </c>
      <c r="C82" s="301">
        <f>IF(C77&gt;0,IF(C60&gt;0,C50*'Tax Rates'!C20,0),0)</f>
        <v>0</v>
      </c>
      <c r="D82" s="102"/>
      <c r="E82" s="268">
        <f>+G82-C82</f>
        <v>20362</v>
      </c>
      <c r="F82" s="6"/>
      <c r="G82" s="484">
        <v>20362</v>
      </c>
      <c r="H82" s="151"/>
      <c r="I82" s="471" t="s">
        <v>471</v>
      </c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17394.93275</v>
      </c>
      <c r="F84" s="103"/>
      <c r="G84" s="265">
        <f>G81-G82</f>
        <v>17394.93275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9" ht="12.75">
      <c r="A88" s="152" t="s">
        <v>227</v>
      </c>
      <c r="B88" s="125"/>
      <c r="C88" s="263">
        <f>C53</f>
        <v>0.1912</v>
      </c>
      <c r="D88" s="11"/>
      <c r="E88" s="114"/>
      <c r="F88" s="6"/>
      <c r="G88" s="198"/>
      <c r="H88" s="151"/>
      <c r="I88" s="482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5">
        <f>C60/(1-C88)</f>
        <v>32753.68760750533</v>
      </c>
      <c r="D90" s="20"/>
      <c r="E90" s="139"/>
      <c r="F90" s="430" t="s">
        <v>481</v>
      </c>
      <c r="G90" s="271">
        <f>TAXREC!E156</f>
        <v>2593</v>
      </c>
      <c r="H90" s="151"/>
    </row>
    <row r="91" spans="1:8" ht="12.75">
      <c r="A91" s="158" t="s">
        <v>369</v>
      </c>
      <c r="B91" s="127">
        <v>23</v>
      </c>
      <c r="C91" s="265">
        <f>C84/(1-C88)</f>
        <v>0</v>
      </c>
      <c r="D91" s="20"/>
      <c r="E91" s="139"/>
      <c r="F91" s="430" t="s">
        <v>481</v>
      </c>
      <c r="G91" s="271">
        <f>TAXREC!E158</f>
        <v>0</v>
      </c>
      <c r="H91" s="151"/>
    </row>
    <row r="92" spans="1:8" ht="12.75">
      <c r="A92" s="158" t="s">
        <v>349</v>
      </c>
      <c r="B92" s="127">
        <v>24</v>
      </c>
      <c r="C92" s="265">
        <f>C72</f>
        <v>0</v>
      </c>
      <c r="D92" s="20"/>
      <c r="E92" s="139"/>
      <c r="F92" s="430" t="s">
        <v>481</v>
      </c>
      <c r="G92" s="271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482</v>
      </c>
      <c r="B95" s="125">
        <v>25</v>
      </c>
      <c r="C95" s="270">
        <f>SUM(C90:C93)</f>
        <v>32753.68760750533</v>
      </c>
      <c r="D95" s="6"/>
      <c r="E95" s="139"/>
      <c r="F95" s="430" t="s">
        <v>481</v>
      </c>
      <c r="G95" s="414">
        <f>SUM(G90:G94)</f>
        <v>2593</v>
      </c>
      <c r="H95" s="164"/>
    </row>
    <row r="96" spans="1:8" ht="12.75">
      <c r="A96" s="404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347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1211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321</v>
      </c>
      <c r="B112" s="127">
        <v>11</v>
      </c>
      <c r="C112" s="112"/>
      <c r="D112" s="3"/>
      <c r="E112" s="25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1211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483</v>
      </c>
      <c r="B122" s="127"/>
      <c r="C122" s="112"/>
      <c r="D122" s="3" t="s">
        <v>231</v>
      </c>
      <c r="E122" s="263">
        <f>'Tax Rates'!C52</f>
        <v>0.1912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231.5432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231.5432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263">
        <f>E122-1.12%</f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264">
        <f>E128/(1-E130)</f>
        <v>282.369756097561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138552.20992128822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263">
        <f>E122</f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26491.18253695031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26491.18253695031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490</v>
      </c>
      <c r="B146" s="130"/>
      <c r="C146" s="112"/>
      <c r="D146" s="118" t="s">
        <v>188</v>
      </c>
      <c r="E146" s="303">
        <f>C60</f>
        <v>26491.18253695031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2647326.25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-2352673.75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0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6">
        <f>C72</f>
        <v>0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30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2647326.25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-7352673.75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0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8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348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30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263">
        <f>IF((E120+G50)&gt;'Tax Rates'!E47,'Tax Rates'!F52-1.12%,IF((E120+G50)&gt;'Tax Rates'!D47,'Tax Rates'!E52-1.12%,IF((E120+G50)&gt;'Tax Rates'!C47,'Tax Rates'!D52,'Tax Rates'!C52-1.12%)))</f>
        <v>0.3075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346</v>
      </c>
      <c r="B183" s="130"/>
      <c r="C183" s="112"/>
      <c r="D183" s="119" t="s">
        <v>187</v>
      </c>
      <c r="E183" s="303">
        <f>E132</f>
        <v>282.369756097561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303">
        <f>E181+E183</f>
        <v>282.369756097561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95965.57656249999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9">
        <f>REGINFO!D66</f>
        <v>75552.78562037848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342</v>
      </c>
      <c r="B196" s="127"/>
      <c r="C196" s="112"/>
      <c r="D196" s="120"/>
      <c r="E196" s="309">
        <f>E193-E194</f>
        <v>20412.790942121515</v>
      </c>
      <c r="F196" s="3"/>
      <c r="G196" s="123"/>
      <c r="H196" s="164"/>
    </row>
    <row r="197" spans="1:8" ht="12.75">
      <c r="A197" s="155" t="s">
        <v>343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79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79"/>
      <c r="H200" s="164"/>
    </row>
    <row r="201" spans="1:8" ht="12.75">
      <c r="A201" s="155" t="s">
        <v>251</v>
      </c>
      <c r="B201" s="127"/>
      <c r="C201" s="112"/>
      <c r="D201" s="120"/>
      <c r="E201" s="309">
        <f>G37+G42</f>
        <v>66634</v>
      </c>
      <c r="F201" s="3"/>
      <c r="G201" s="479"/>
      <c r="H201" s="164"/>
    </row>
    <row r="202" spans="1:8" ht="12.75">
      <c r="A202" s="155" t="s">
        <v>344</v>
      </c>
      <c r="B202" s="127"/>
      <c r="C202" s="112"/>
      <c r="D202" s="120"/>
      <c r="E202" s="309">
        <f>REGINFO!D62</f>
        <v>95965.57656249999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320</v>
      </c>
      <c r="B206" s="127"/>
      <c r="C206" s="112"/>
      <c r="D206" s="120"/>
      <c r="E206" s="304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20412.790942121515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8661417322834646" bottom="0.35433070866141736" header="0.11811023622047245" footer="0"/>
  <pageSetup fitToHeight="1" fitToWidth="1" horizontalDpi="600" verticalDpi="600" orientation="portrait" scale="24" r:id="rId1"/>
  <headerFooter alignWithMargins="0">
    <oddHeader>&amp;C&amp;9&amp;F   &amp;"Arial,Bold"&amp;A&amp;R&amp;"Calibri,Regular"&amp;9Atikokan Hydro 
EB-2011-0293
December 2011
Appendix D of  Account 1562 Evidence</oddHeader>
    <oddFooter xml:space="preserve">&amp;L&amp;8 &amp;R&amp;9&amp;P of &amp;N 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5"/>
  <sheetViews>
    <sheetView view="pageLayout" workbookViewId="0" topLeftCell="A54">
      <selection activeCell="D47" sqref="D47:D4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as per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Atikokan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/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/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327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258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325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326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6">
        <v>3375045</v>
      </c>
      <c r="D31" s="287"/>
      <c r="E31" s="285">
        <f>C31-D31</f>
        <v>3375045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904856</v>
      </c>
      <c r="D32" s="287"/>
      <c r="E32" s="285">
        <f>C32-D32</f>
        <v>904856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4884</v>
      </c>
      <c r="D33" s="287"/>
      <c r="E33" s="285">
        <f>C33-D33</f>
        <v>4884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>
        <v>166260</v>
      </c>
      <c r="D34" s="287"/>
      <c r="E34" s="285">
        <f>C34-D34</f>
        <v>166260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3375045</v>
      </c>
      <c r="D39" s="287"/>
      <c r="E39" s="285">
        <f>C39-D39</f>
        <v>3375045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206264</v>
      </c>
      <c r="D40" s="287"/>
      <c r="E40" s="285">
        <f aca="true" t="shared" si="0" ref="E40:E48">C40-D40</f>
        <v>206264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6">
        <v>149005</v>
      </c>
      <c r="D41" s="287"/>
      <c r="E41" s="285">
        <f t="shared" si="0"/>
        <v>149005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6">
        <f>226809+39631</f>
        <v>266440</v>
      </c>
      <c r="D42" s="287"/>
      <c r="E42" s="285">
        <f t="shared" si="0"/>
        <v>266440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6">
        <v>206258</v>
      </c>
      <c r="D43" s="287"/>
      <c r="E43" s="285">
        <f t="shared" si="0"/>
        <v>206258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6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4" t="s">
        <v>496</v>
      </c>
      <c r="B45" s="23" t="s">
        <v>188</v>
      </c>
      <c r="C45" s="286">
        <v>129347</v>
      </c>
      <c r="D45" s="287"/>
      <c r="E45" s="285">
        <f t="shared" si="0"/>
        <v>129347</v>
      </c>
      <c r="F45" s="11"/>
      <c r="G45" s="11"/>
      <c r="H45" s="33"/>
      <c r="I45" s="33"/>
      <c r="J45" s="32"/>
      <c r="K45" s="32"/>
    </row>
    <row r="46" spans="1:11" ht="12.75">
      <c r="A46" s="4" t="s">
        <v>497</v>
      </c>
      <c r="B46" s="23" t="s">
        <v>188</v>
      </c>
      <c r="C46" s="286">
        <v>199707</v>
      </c>
      <c r="D46" s="287"/>
      <c r="E46" s="285">
        <f t="shared" si="0"/>
        <v>199707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-81021</v>
      </c>
      <c r="D50" s="282">
        <f>SUM(D31:D36)-SUM(D39:D49)</f>
        <v>0</v>
      </c>
      <c r="E50" s="282">
        <f>SUM(E31:E35)-SUM(E39:E48)</f>
        <v>-81021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f>65551+1083</f>
        <v>66634</v>
      </c>
      <c r="D51" s="286"/>
      <c r="E51" s="283">
        <f>+C51-D51</f>
        <v>66634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/>
      <c r="D52" s="286"/>
      <c r="E52" s="284">
        <f>+C52-D52</f>
        <v>0</v>
      </c>
      <c r="F52" s="8"/>
    </row>
    <row r="53" spans="1:6" ht="12.75">
      <c r="A53" s="2" t="s">
        <v>131</v>
      </c>
      <c r="B53" s="8" t="s">
        <v>189</v>
      </c>
      <c r="C53" s="282">
        <f>C50-C51-C52</f>
        <v>-147655</v>
      </c>
      <c r="D53" s="282">
        <f>D50-D51-D52</f>
        <v>0</v>
      </c>
      <c r="E53" s="282">
        <f>E50-E51-E52</f>
        <v>-147655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0</v>
      </c>
      <c r="D59" s="288">
        <f>D52</f>
        <v>0</v>
      </c>
      <c r="E59" s="273">
        <f>+C59-D59</f>
        <v>0</v>
      </c>
      <c r="F59" s="8"/>
    </row>
    <row r="60" spans="1:6" ht="12.75">
      <c r="A60" s="4" t="s">
        <v>328</v>
      </c>
      <c r="B60" s="8" t="s">
        <v>187</v>
      </c>
      <c r="C60" s="318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73">
        <f>C43</f>
        <v>206258</v>
      </c>
      <c r="D61" s="273">
        <f>D43</f>
        <v>0</v>
      </c>
      <c r="E61" s="273">
        <f>+C61-D61</f>
        <v>206258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8">
        <v>0</v>
      </c>
      <c r="E62" s="273">
        <f>+C62-D62</f>
        <v>0</v>
      </c>
      <c r="F62" s="8"/>
    </row>
    <row r="63" spans="1:6" ht="12.75">
      <c r="A63" s="31" t="s">
        <v>278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443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7" t="s">
        <v>394</v>
      </c>
      <c r="B66" s="8"/>
      <c r="C66" s="446">
        <f>'TAXREC 3 No True-up'!C47</f>
        <v>199707</v>
      </c>
      <c r="D66" s="446">
        <f>'TAXREC 3 No True-up'!D47</f>
        <v>0</v>
      </c>
      <c r="E66" s="273">
        <f>+C66-D66</f>
        <v>199707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405965</v>
      </c>
      <c r="D70" s="273">
        <f>SUM(D59:D68)</f>
        <v>0</v>
      </c>
      <c r="E70" s="273">
        <f>SUM(E59:E68)</f>
        <v>405965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1211</v>
      </c>
      <c r="D74" s="295"/>
      <c r="E74" s="273">
        <f t="shared" si="1"/>
        <v>1211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475</v>
      </c>
      <c r="B76" s="8" t="s">
        <v>187</v>
      </c>
      <c r="C76" s="473"/>
      <c r="D76" s="295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1211</v>
      </c>
      <c r="D80" s="251">
        <f>SUM(D73:D79)</f>
        <v>0</v>
      </c>
      <c r="E80" s="251">
        <f>SUM(E73:E79)</f>
        <v>1211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407176</v>
      </c>
      <c r="D82" s="251">
        <f>D70+D80</f>
        <v>0</v>
      </c>
      <c r="E82" s="251">
        <f>E70+E80</f>
        <v>407176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Non-deductible meals and entertainment expense</v>
      </c>
      <c r="B86" s="274"/>
      <c r="C86" s="291">
        <f t="shared" si="3"/>
        <v>1211</v>
      </c>
      <c r="D86" s="291">
        <f t="shared" si="3"/>
        <v>0</v>
      </c>
      <c r="E86" s="291">
        <f t="shared" si="3"/>
        <v>1211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1211</v>
      </c>
      <c r="D92" s="280">
        <f>SUM(D85:D91)</f>
        <v>0</v>
      </c>
      <c r="E92" s="280">
        <f>SUM(E85:E91)</f>
        <v>1211</v>
      </c>
      <c r="F92" s="8"/>
      <c r="G92" s="45"/>
      <c r="H92" s="45"/>
      <c r="I92" s="45"/>
      <c r="J92" s="45"/>
      <c r="K92" s="45"/>
    </row>
    <row r="93" spans="1:11" ht="12.75">
      <c r="A93" s="274" t="s">
        <v>431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1211</v>
      </c>
      <c r="D94" s="251">
        <f>D92+D93</f>
        <v>0</v>
      </c>
      <c r="E94" s="251">
        <f>E92+E93</f>
        <v>1211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216955</v>
      </c>
      <c r="D97" s="295"/>
      <c r="E97" s="273">
        <f>+C97-D97</f>
        <v>216955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1630</v>
      </c>
      <c r="D98" s="295"/>
      <c r="E98" s="273">
        <f>+C98-D98</f>
        <v>1630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9">
        <f>'Tax Reserves'!C50</f>
        <v>0</v>
      </c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394</v>
      </c>
      <c r="B108" s="8"/>
      <c r="C108" s="254">
        <f>'TAXREC 3 No True-up'!C73</f>
        <v>0</v>
      </c>
      <c r="D108" s="254">
        <f>'TAXREC 3 No True-up'!D73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218585</v>
      </c>
      <c r="D113" s="251">
        <f>SUM(D97:D111)</f>
        <v>0</v>
      </c>
      <c r="E113" s="251">
        <f>SUM(E97:E111)</f>
        <v>218585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218585</v>
      </c>
      <c r="D122" s="251">
        <f>D113+D120</f>
        <v>0</v>
      </c>
      <c r="E122" s="251">
        <f>+E113+E120</f>
        <v>218585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40936</v>
      </c>
      <c r="D134" s="251">
        <f>D53+D82-D122</f>
        <v>0</v>
      </c>
      <c r="E134" s="251">
        <f>E53+E82-E122</f>
        <v>40936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374</v>
      </c>
      <c r="B136" s="8" t="s">
        <v>188</v>
      </c>
      <c r="C136" s="295"/>
      <c r="D136" s="295"/>
      <c r="E136" s="265">
        <f>C136-D136</f>
        <v>0</v>
      </c>
      <c r="F136" s="8"/>
      <c r="G136" s="45"/>
      <c r="H136" s="45"/>
      <c r="K136" s="45"/>
    </row>
    <row r="137" spans="1:11" ht="12.75">
      <c r="A137" s="46" t="s">
        <v>375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40936</v>
      </c>
      <c r="D139" s="252">
        <f>D134-D136-D137-D138</f>
        <v>0</v>
      </c>
      <c r="E139" s="252">
        <f>E134-E136-E137-E138</f>
        <v>40936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187</v>
      </c>
      <c r="C142" s="299">
        <v>1780</v>
      </c>
      <c r="D142" s="299"/>
      <c r="E142" s="252">
        <f>C142-D142</f>
        <v>1780</v>
      </c>
      <c r="F142" s="8"/>
      <c r="G142" s="45"/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9">
        <v>813</v>
      </c>
      <c r="D143" s="299"/>
      <c r="E143" s="293">
        <f>C143-D143</f>
        <v>813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2593</v>
      </c>
      <c r="D144" s="252">
        <f>D142+D143</f>
        <v>0</v>
      </c>
      <c r="E144" s="252">
        <f>E142+E143</f>
        <v>2593</v>
      </c>
      <c r="F144" s="8"/>
      <c r="G144" s="45"/>
      <c r="H144" s="45"/>
      <c r="I144" s="45"/>
      <c r="J144" s="45"/>
      <c r="K144" s="45"/>
    </row>
    <row r="145" spans="1:11" ht="12.75">
      <c r="A145" s="46" t="s">
        <v>333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2593</v>
      </c>
      <c r="D146" s="252">
        <f>D144-D145</f>
        <v>0</v>
      </c>
      <c r="E146" s="252">
        <f>E144-E145</f>
        <v>2593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85" t="s">
        <v>493</v>
      </c>
      <c r="B149" s="8"/>
      <c r="C149" s="405">
        <f>'Tax Rates'!C50</f>
        <v>0.1312</v>
      </c>
      <c r="D149" s="5"/>
      <c r="E149" s="406">
        <f>C149</f>
        <v>0.1312</v>
      </c>
      <c r="F149" s="8"/>
      <c r="G149" s="485"/>
      <c r="H149" s="45"/>
      <c r="I149" s="45"/>
      <c r="J149" s="45"/>
      <c r="K149" s="45"/>
    </row>
    <row r="150" spans="1:11" ht="12.75">
      <c r="A150" s="485" t="s">
        <v>494</v>
      </c>
      <c r="B150" s="8"/>
      <c r="C150" s="405">
        <f>'Tax Rates'!C51</f>
        <v>0.06</v>
      </c>
      <c r="D150" s="5"/>
      <c r="E150" s="406">
        <f>C150</f>
        <v>0.06</v>
      </c>
      <c r="F150" s="8"/>
      <c r="G150" s="485"/>
      <c r="H150" s="45"/>
      <c r="I150" s="45"/>
      <c r="J150" s="45"/>
      <c r="K150" s="45"/>
    </row>
    <row r="151" spans="1:11" ht="12.75">
      <c r="A151" t="s">
        <v>330</v>
      </c>
      <c r="B151" s="8"/>
      <c r="C151" s="406">
        <f>SUM(C149:C150)</f>
        <v>0.1912</v>
      </c>
      <c r="D151" s="478"/>
      <c r="E151" s="406">
        <f>SUM(E149:E150)</f>
        <v>0.1912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480</v>
      </c>
      <c r="B155" s="8"/>
    </row>
    <row r="156" spans="1:5" ht="12.75">
      <c r="A156" t="s">
        <v>219</v>
      </c>
      <c r="B156" s="86" t="s">
        <v>187</v>
      </c>
      <c r="C156" s="251">
        <f>C146</f>
        <v>2593</v>
      </c>
      <c r="D156" s="251">
        <f>D146</f>
        <v>0</v>
      </c>
      <c r="E156" s="251">
        <f>E146</f>
        <v>2593</v>
      </c>
    </row>
    <row r="157" spans="1:5" ht="12.75">
      <c r="A157" t="s">
        <v>20</v>
      </c>
      <c r="B157" s="86" t="s">
        <v>187</v>
      </c>
      <c r="C157" s="475"/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475"/>
      <c r="D158" s="251"/>
      <c r="E158" s="251">
        <f>C158+D158</f>
        <v>0</v>
      </c>
    </row>
    <row r="159" ht="12.75">
      <c r="B159" s="8"/>
    </row>
    <row r="160" spans="1:5" ht="12.75">
      <c r="A160" s="2" t="s">
        <v>302</v>
      </c>
      <c r="B160" s="66" t="s">
        <v>189</v>
      </c>
      <c r="C160" s="251">
        <f>C156+C157+C158</f>
        <v>2593</v>
      </c>
      <c r="D160" s="251">
        <f>D156+D157+D158</f>
        <v>0</v>
      </c>
      <c r="E160" s="251">
        <f>E156+E157+E158</f>
        <v>2593</v>
      </c>
    </row>
    <row r="161" ht="12.75">
      <c r="C161" s="85"/>
    </row>
    <row r="162" ht="12.75">
      <c r="C162" s="8"/>
    </row>
    <row r="163" ht="12.75">
      <c r="E163" s="22"/>
    </row>
    <row r="165" ht="12.75">
      <c r="C165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8661417322834646" bottom="0.35433070866141736" header="0.11811023622047245" footer="0"/>
  <pageSetup fitToHeight="1" fitToWidth="1" horizontalDpi="600" verticalDpi="600" orientation="portrait" scale="33" r:id="rId1"/>
  <headerFooter alignWithMargins="0">
    <oddHeader>&amp;C&amp;9&amp;F   &amp;"Arial,Bold"&amp;A&amp;R&amp;"Calibri,Regular"&amp;9Atikokan Hydro 
EB-2011-0293
December 2011
Appendix D of  Account 1562 Evidence</oddHeader>
    <oddFooter xml:space="preserve">&amp;L&amp;8 &amp;R&amp;9&amp;P of &amp;N 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PageLayoutView="0" workbookViewId="0" topLeftCell="A1">
      <selection activeCell="D47" sqref="D47:D4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as per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Atikokan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280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5"/>
      <c r="D15" s="295"/>
      <c r="E15" s="251">
        <f t="shared" si="0"/>
        <v>0</v>
      </c>
    </row>
    <row r="16" spans="1:5" ht="12.75">
      <c r="A16" s="61" t="s">
        <v>282</v>
      </c>
      <c r="B16" s="61"/>
      <c r="C16" s="295"/>
      <c r="D16" s="295"/>
      <c r="E16" s="251">
        <f t="shared" si="0"/>
        <v>0</v>
      </c>
    </row>
    <row r="17" spans="1:5" ht="12.75">
      <c r="A17" s="61" t="s">
        <v>283</v>
      </c>
      <c r="B17" s="61"/>
      <c r="C17" s="295"/>
      <c r="D17" s="295"/>
      <c r="E17" s="251">
        <f t="shared" si="0"/>
        <v>0</v>
      </c>
    </row>
    <row r="18" spans="1:5" ht="12.75">
      <c r="A18" s="61" t="s">
        <v>448</v>
      </c>
      <c r="B18" s="61"/>
      <c r="C18" s="295"/>
      <c r="D18" s="295"/>
      <c r="E18" s="251">
        <f t="shared" si="0"/>
        <v>0</v>
      </c>
    </row>
    <row r="19" spans="1:5" ht="12.75">
      <c r="A19" s="61" t="s">
        <v>448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280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5"/>
      <c r="D27" s="295"/>
      <c r="E27" s="251">
        <f t="shared" si="1"/>
        <v>0</v>
      </c>
    </row>
    <row r="28" spans="1:5" ht="12.75">
      <c r="A28" s="61" t="s">
        <v>282</v>
      </c>
      <c r="B28" s="61"/>
      <c r="C28" s="295"/>
      <c r="D28" s="295"/>
      <c r="E28" s="251">
        <f t="shared" si="1"/>
        <v>0</v>
      </c>
    </row>
    <row r="29" spans="1:5" ht="12.75">
      <c r="A29" s="61" t="s">
        <v>283</v>
      </c>
      <c r="B29" s="61"/>
      <c r="C29" s="295"/>
      <c r="D29" s="295"/>
      <c r="E29" s="251">
        <f t="shared" si="1"/>
        <v>0</v>
      </c>
    </row>
    <row r="30" spans="1:5" ht="12.75">
      <c r="A30" s="61" t="s">
        <v>448</v>
      </c>
      <c r="B30" s="61"/>
      <c r="C30" s="295"/>
      <c r="D30" s="295"/>
      <c r="E30" s="251">
        <f t="shared" si="1"/>
        <v>0</v>
      </c>
    </row>
    <row r="31" spans="1:5" ht="12.75">
      <c r="A31" s="61" t="s">
        <v>448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5"/>
      <c r="D43" s="295"/>
      <c r="E43" s="251">
        <f t="shared" si="2"/>
        <v>0</v>
      </c>
    </row>
    <row r="44" spans="1:5" ht="12.75">
      <c r="A44" s="61" t="s">
        <v>267</v>
      </c>
      <c r="B44" s="61"/>
      <c r="C44" s="295"/>
      <c r="D44" s="295"/>
      <c r="E44" s="251">
        <f t="shared" si="2"/>
        <v>0</v>
      </c>
    </row>
    <row r="45" spans="1:5" ht="12.75">
      <c r="A45" s="61" t="s">
        <v>268</v>
      </c>
      <c r="B45" s="61"/>
      <c r="C45" s="295"/>
      <c r="D45" s="295"/>
      <c r="E45" s="251">
        <f t="shared" si="2"/>
        <v>0</v>
      </c>
    </row>
    <row r="46" spans="1:5" ht="12.75">
      <c r="A46" s="61" t="s">
        <v>269</v>
      </c>
      <c r="B46" s="61"/>
      <c r="C46" s="295"/>
      <c r="D46" s="295"/>
      <c r="E46" s="251">
        <f t="shared" si="2"/>
        <v>0</v>
      </c>
    </row>
    <row r="47" spans="1:5" ht="12.75">
      <c r="A47" s="61" t="s">
        <v>448</v>
      </c>
      <c r="B47" s="61"/>
      <c r="C47" s="295"/>
      <c r="D47" s="295"/>
      <c r="E47" s="251">
        <f t="shared" si="2"/>
        <v>0</v>
      </c>
    </row>
    <row r="48" spans="1:5" ht="12.75">
      <c r="A48" s="61" t="s">
        <v>448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5"/>
      <c r="D55" s="295"/>
      <c r="E55" s="251">
        <f t="shared" si="3"/>
        <v>0</v>
      </c>
    </row>
    <row r="56" spans="1:5" ht="12.75">
      <c r="A56" s="246" t="s">
        <v>267</v>
      </c>
      <c r="B56" s="61"/>
      <c r="C56" s="295"/>
      <c r="D56" s="295"/>
      <c r="E56" s="251">
        <f t="shared" si="3"/>
        <v>0</v>
      </c>
    </row>
    <row r="57" spans="1:5" ht="12.75">
      <c r="A57" s="246" t="s">
        <v>268</v>
      </c>
      <c r="B57" s="61"/>
      <c r="C57" s="295"/>
      <c r="D57" s="295"/>
      <c r="E57" s="251">
        <f t="shared" si="3"/>
        <v>0</v>
      </c>
    </row>
    <row r="58" spans="1:5" ht="12.75">
      <c r="A58" s="246" t="s">
        <v>269</v>
      </c>
      <c r="B58" s="61"/>
      <c r="C58" s="295"/>
      <c r="D58" s="295"/>
      <c r="E58" s="251">
        <f t="shared" si="3"/>
        <v>0</v>
      </c>
    </row>
    <row r="59" spans="1:5" ht="12.75">
      <c r="A59" s="61" t="s">
        <v>448</v>
      </c>
      <c r="B59" s="61"/>
      <c r="C59" s="295"/>
      <c r="D59" s="295"/>
      <c r="E59" s="251">
        <f t="shared" si="3"/>
        <v>0</v>
      </c>
    </row>
    <row r="60" spans="1:5" ht="12.75">
      <c r="A60" s="61" t="s">
        <v>448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8661417322834646" bottom="0.35433070866141736" header="0.11811023622047245" footer="0"/>
  <pageSetup fitToHeight="1" fitToWidth="1" horizontalDpi="600" verticalDpi="600" orientation="portrait" scale="86" r:id="rId1"/>
  <headerFooter alignWithMargins="0">
    <oddHeader>&amp;C&amp;9&amp;F   &amp;"Arial,Bold"&amp;A&amp;R&amp;"Calibri,Regular"&amp;9Atikokan Hydro 
EB-2011-0293
December 2011
Appendix D of  Account 1562 Evidence</oddHeader>
    <oddFooter xml:space="preserve">&amp;L&amp;8 &amp;R&amp;9&amp;P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34" activePane="bottomRight" state="frozen"/>
      <selection pane="topLeft" activeCell="D47" sqref="D47:D49"/>
      <selection pane="topRight" activeCell="D47" sqref="D47:D49"/>
      <selection pane="bottomLeft" activeCell="D47" sqref="D47:D49"/>
      <selection pane="bottomRight" activeCell="D47" sqref="D47:D4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as per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465</v>
      </c>
      <c r="B5" s="8"/>
      <c r="C5" s="8" t="s">
        <v>2</v>
      </c>
      <c r="D5" s="8"/>
      <c r="E5" s="8"/>
      <c r="F5" s="8"/>
    </row>
    <row r="6" spans="1:6" ht="12.75">
      <c r="A6" s="416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Atikokan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252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449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253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473</v>
      </c>
      <c r="B36" t="s">
        <v>187</v>
      </c>
      <c r="C36" s="296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474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8661417322834646" bottom="0.35433070866141736" header="0.11811023622047245" footer="0"/>
  <pageSetup fitToHeight="1" fitToWidth="1" horizontalDpi="600" verticalDpi="600" orientation="portrait" scale="41" r:id="rId1"/>
  <headerFooter alignWithMargins="0">
    <oddHeader>&amp;C&amp;9&amp;F   &amp;"Arial,Bold"&amp;A&amp;R&amp;"Calibri,Regular"&amp;9Atikokan Hydro 
EB-2011-0293
December 2011
Appendix D of  Account 1562 Evidence</oddHeader>
    <oddFooter xml:space="preserve">&amp;L&amp;8 &amp;R&amp;9&amp;P of &amp;N 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33" activePane="bottomRight" state="frozen"/>
      <selection pane="topLeft" activeCell="D47" sqref="D47:D49"/>
      <selection pane="topRight" activeCell="D47" sqref="D47:D49"/>
      <selection pane="bottomLeft" activeCell="D47" sqref="D47:D49"/>
      <selection pane="bottomRight" activeCell="D47" sqref="D47:D4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as per EB-2008-0381</v>
      </c>
    </row>
    <row r="3" spans="1:5" ht="12.75">
      <c r="A3" s="2" t="s">
        <v>384</v>
      </c>
      <c r="E3" s="92"/>
    </row>
    <row r="4" spans="1:6" ht="15.75">
      <c r="A4" s="464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Atikokan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387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453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390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391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454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389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388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432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433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450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451</v>
      </c>
      <c r="C35" s="296"/>
      <c r="D35" s="296"/>
      <c r="E35" s="313">
        <f t="shared" si="0"/>
        <v>0</v>
      </c>
    </row>
    <row r="36" spans="1:5" ht="12.75">
      <c r="A36" s="67" t="s">
        <v>434</v>
      </c>
      <c r="C36" s="296"/>
      <c r="D36" s="296"/>
      <c r="E36" s="313">
        <f t="shared" si="0"/>
        <v>0</v>
      </c>
    </row>
    <row r="37" spans="1:5" ht="12.75">
      <c r="A37" s="67" t="s">
        <v>435</v>
      </c>
      <c r="C37" s="296"/>
      <c r="D37" s="296"/>
      <c r="E37" s="313">
        <f t="shared" si="0"/>
        <v>0</v>
      </c>
    </row>
    <row r="38" spans="1:5" ht="12.75">
      <c r="A38" s="67" t="s">
        <v>457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392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386</v>
      </c>
      <c r="B41" t="s">
        <v>187</v>
      </c>
      <c r="C41" s="296">
        <v>199707</v>
      </c>
      <c r="D41" s="296"/>
      <c r="E41" s="313">
        <f t="shared" si="0"/>
        <v>199707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/>
      <c r="B43" t="s">
        <v>187</v>
      </c>
      <c r="C43" s="296"/>
      <c r="D43" s="296"/>
      <c r="E43" s="313">
        <f t="shared" si="0"/>
        <v>0</v>
      </c>
    </row>
    <row r="44" spans="2:5" ht="12.75"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49" t="s">
        <v>396</v>
      </c>
      <c r="B47" t="s">
        <v>189</v>
      </c>
      <c r="C47" s="251">
        <f>SUM(C19:C46)</f>
        <v>199707</v>
      </c>
      <c r="D47" s="251">
        <f>SUM(D19:D46)</f>
        <v>0</v>
      </c>
      <c r="E47" s="251">
        <f>SUM(E19:E46)</f>
        <v>199707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388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436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444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455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8" t="s">
        <v>393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8" t="s">
        <v>386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8" t="s">
        <v>395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8661417322834646" bottom="0.35433070866141736" header="0.11811023622047245" footer="0"/>
  <pageSetup fitToHeight="1" fitToWidth="1" horizontalDpi="600" verticalDpi="600" orientation="portrait" scale="69" r:id="rId1"/>
  <headerFooter alignWithMargins="0">
    <oddHeader>&amp;C&amp;9&amp;F   &amp;"Arial,Bold"&amp;A&amp;R&amp;"Calibri,Regular"&amp;9Atikokan Hydro 
EB-2011-0293
December 2011
Appendix D of  Account 1562 Evidence</oddHeader>
    <oddFooter xml:space="preserve">&amp;L&amp;8 &amp;R&amp;9&amp;P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D47" sqref="D47:D49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as per EB-2008-0381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Atikokan Hydro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336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5" t="s">
        <v>484</v>
      </c>
      <c r="B8" s="496"/>
      <c r="C8" s="496"/>
      <c r="D8" s="496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467</v>
      </c>
      <c r="B10" s="327"/>
      <c r="C10" s="376" t="s">
        <v>111</v>
      </c>
      <c r="D10" s="376"/>
      <c r="E10" s="376" t="s">
        <v>111</v>
      </c>
      <c r="F10" s="377" t="s">
        <v>485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299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298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303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259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331</v>
      </c>
      <c r="B21" s="407" t="s">
        <v>469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332</v>
      </c>
      <c r="B22" s="408" t="s">
        <v>470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89" t="s">
        <v>486</v>
      </c>
      <c r="B23" s="490"/>
      <c r="C23" s="490"/>
      <c r="D23" s="490"/>
      <c r="E23" s="490"/>
      <c r="F23" s="490"/>
      <c r="G23" s="438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337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497" t="s">
        <v>479</v>
      </c>
      <c r="B26" s="498"/>
      <c r="C26" s="498"/>
      <c r="D26" s="498"/>
      <c r="E26" s="498"/>
      <c r="F26" s="49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440</v>
      </c>
      <c r="B28" s="327"/>
      <c r="C28" s="370" t="s">
        <v>111</v>
      </c>
      <c r="D28" s="370"/>
      <c r="E28" s="370" t="s">
        <v>111</v>
      </c>
      <c r="F28" s="371" t="s">
        <v>485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298</v>
      </c>
      <c r="B32" s="410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259</v>
      </c>
      <c r="B34" s="410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476</v>
      </c>
      <c r="B39" s="407" t="s">
        <v>469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477</v>
      </c>
      <c r="B40" s="408" t="s">
        <v>470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1" t="s">
        <v>334</v>
      </c>
      <c r="B41" s="490"/>
      <c r="C41" s="490"/>
      <c r="D41" s="490"/>
      <c r="E41" s="490"/>
      <c r="F41" s="49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2"/>
      <c r="B42" s="492"/>
      <c r="C42" s="492"/>
      <c r="D42" s="492"/>
      <c r="E42" s="492"/>
      <c r="F42" s="49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338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478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485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298</v>
      </c>
      <c r="B50" s="245"/>
      <c r="C50" s="352">
        <v>0.1312</v>
      </c>
      <c r="D50" s="352"/>
      <c r="E50" s="353">
        <v>0.2212</v>
      </c>
      <c r="F50" s="353">
        <v>0.2612</v>
      </c>
      <c r="G50" s="194"/>
      <c r="H50" s="480"/>
      <c r="I50" s="480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480"/>
      <c r="I51" s="480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259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0.3862</v>
      </c>
      <c r="G52" s="194"/>
      <c r="H52" s="480"/>
      <c r="I52" s="480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350</v>
      </c>
      <c r="B57" s="407" t="s">
        <v>469</v>
      </c>
      <c r="C57" s="362">
        <v>3496626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351</v>
      </c>
      <c r="B58" s="408" t="s">
        <v>470</v>
      </c>
      <c r="C58" s="363">
        <v>4388043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89" t="s">
        <v>491</v>
      </c>
      <c r="B59" s="493"/>
      <c r="C59" s="493"/>
      <c r="D59" s="493"/>
      <c r="E59" s="493"/>
      <c r="F59" s="49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4"/>
      <c r="B60" s="494"/>
      <c r="C60" s="494"/>
      <c r="D60" s="494"/>
      <c r="E60" s="494"/>
      <c r="F60" s="49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8661417322834646" bottom="0.35433070866141736" header="0.11811023622047245" footer="0"/>
  <pageSetup fitToHeight="1" fitToWidth="1" horizontalDpi="600" verticalDpi="600" orientation="portrait" scale="73" r:id="rId1"/>
  <headerFooter alignWithMargins="0">
    <oddHeader>&amp;C&amp;9&amp;F   &amp;"Arial,Bold"&amp;A&amp;R&amp;"Calibri,Regular"&amp;9Atikokan Hydro 
EB-2011-0293
December 2011
Appendix D of  Account 1562 Evidence</oddHeader>
    <oddFooter xml:space="preserve">&amp;L&amp;8 &amp;R&amp;9&amp;P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5">
      <selection activeCell="D47" sqref="D47:D4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as per EB-2008-0381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Atikokan Hydro Inc.</v>
      </c>
      <c r="O3" s="417" t="str">
        <f>REGINFO!E1</f>
        <v>Version 2009.1</v>
      </c>
    </row>
    <row r="4" spans="1:15" ht="12.75">
      <c r="A4" s="2" t="str">
        <f>REGINFO!A4</f>
        <v>Reporting period:  2002</v>
      </c>
      <c r="E4" s="418" t="s">
        <v>322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397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439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398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399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282.369756097561</v>
      </c>
      <c r="N15" s="392"/>
      <c r="O15" s="397">
        <f t="shared" si="0"/>
        <v>282.369756097561</v>
      </c>
    </row>
    <row r="16" spans="1:15" ht="27" customHeight="1">
      <c r="A16" s="81" t="s">
        <v>400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401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0</v>
      </c>
      <c r="N17" s="392"/>
      <c r="O17" s="397">
        <f t="shared" si="0"/>
        <v>0</v>
      </c>
    </row>
    <row r="18" spans="1:15" ht="25.5">
      <c r="A18" s="81" t="s">
        <v>402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2" t="s">
        <v>403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468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373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282.369756097561</v>
      </c>
      <c r="N22" s="391"/>
      <c r="O22" s="450">
        <f>SUM(O11:O20)</f>
        <v>282.369756097561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404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405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406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407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0" t="s">
        <v>408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21"/>
      <c r="Q33" s="421"/>
      <c r="R33" s="421"/>
      <c r="S33" s="421"/>
    </row>
    <row r="34" spans="1:19" ht="12.75">
      <c r="A34" s="499" t="s">
        <v>409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21"/>
      <c r="Q34" s="421"/>
      <c r="R34" s="421"/>
      <c r="S34" s="421"/>
    </row>
    <row r="35" spans="1:19" ht="12.75">
      <c r="A35" s="499" t="s">
        <v>430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21"/>
      <c r="Q35" s="421"/>
      <c r="R35" s="421"/>
      <c r="S35" s="421"/>
    </row>
    <row r="36" spans="1:19" ht="12.75">
      <c r="A36" s="499" t="s">
        <v>410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21"/>
      <c r="Q36" s="421"/>
      <c r="R36" s="421"/>
      <c r="S36" s="421"/>
    </row>
    <row r="37" spans="1:19" ht="12.75">
      <c r="A37" s="437" t="s">
        <v>370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1"/>
      <c r="Q37" s="421"/>
      <c r="R37" s="421"/>
      <c r="S37" s="421"/>
    </row>
    <row r="38" spans="1:19" ht="12.75">
      <c r="A38" s="437" t="s">
        <v>371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1"/>
      <c r="Q38" s="421"/>
      <c r="R38" s="421"/>
      <c r="S38" s="421"/>
    </row>
    <row r="39" spans="1:19" ht="12.75">
      <c r="A39" s="437" t="s">
        <v>411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1"/>
      <c r="Q39" s="421"/>
      <c r="R39" s="421"/>
      <c r="S39" s="421"/>
    </row>
    <row r="40" spans="1:19" ht="12.75">
      <c r="A40" s="437" t="s">
        <v>412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1"/>
      <c r="Q40" s="421"/>
      <c r="R40" s="421"/>
      <c r="S40" s="421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1"/>
      <c r="Q41" s="421"/>
      <c r="R41" s="421"/>
      <c r="S41" s="421"/>
    </row>
    <row r="42" spans="1:15" ht="12.75">
      <c r="A42" s="439" t="s">
        <v>413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414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415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416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417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418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419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416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420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421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422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423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424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380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426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382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381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383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427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428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429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499" t="s">
        <v>459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34" t="s">
        <v>372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8661417322834646" bottom="0.35433070866141736" header="0.11811023622047245" footer="0"/>
  <pageSetup fitToHeight="1" fitToWidth="1" horizontalDpi="600" verticalDpi="600" orientation="portrait" scale="68" r:id="rId1"/>
  <headerFooter alignWithMargins="0">
    <oddHeader>&amp;C&amp;9&amp;F   &amp;"Arial,Bold"&amp;A&amp;R&amp;"Calibri,Regular"&amp;9Atikokan Hydro 
EB-2011-0293
December 2011
Appendix D of  Account 1562 Evidence</oddHeader>
    <oddFooter xml:space="preserve">&amp;L&amp;8 &amp;R&amp;9&amp;P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Wilf</cp:lastModifiedBy>
  <cp:lastPrinted>2011-12-08T18:52:27Z</cp:lastPrinted>
  <dcterms:created xsi:type="dcterms:W3CDTF">2001-11-07T16:15:53Z</dcterms:created>
  <dcterms:modified xsi:type="dcterms:W3CDTF">2011-12-08T18:52:34Z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