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610" windowHeight="11640" tabRatio="855" activeTab="6"/>
  </bookViews>
  <sheets>
    <sheet name="Summary" sheetId="1" r:id="rId1"/>
    <sheet name="2002  PILS Recoveries" sheetId="2" r:id="rId2"/>
    <sheet name="2003 PILS Recoveries" sheetId="3" r:id="rId3"/>
    <sheet name="2004 PILS Recoveries" sheetId="4" r:id="rId4"/>
    <sheet name="2005 PILS Recoveries" sheetId="5" r:id="rId5"/>
    <sheet name="2006  PILS Recoveries" sheetId="6" r:id="rId6"/>
    <sheet name="Principal trueup" sheetId="7" r:id="rId7"/>
    <sheet name="Interest Trueup" sheetId="8" r:id="rId8"/>
    <sheet name="Customer Count" sheetId="9" r:id="rId9"/>
    <sheet name="Monthly Volumes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Print_Area" localSheetId="6">'Principal trueup'!$A$1:$I$76</definedName>
    <definedName name="_xlnm.Print_Titles" localSheetId="1">'2002  PILS Recoveries'!$1:$2</definedName>
    <definedName name="_xlnm.Print_Titles" localSheetId="2">'2003 PILS Recoveries'!$2:$3</definedName>
    <definedName name="_xlnm.Print_Titles" localSheetId="3">'2004 PILS Recoveries'!$1:$2</definedName>
    <definedName name="_xlnm.Print_Titles" localSheetId="4">'2005 PILS Recoveries'!$1:$2</definedName>
    <definedName name="_xlnm.Print_Titles" localSheetId="5">'2006  PILS Recoveries'!$1:$2</definedName>
    <definedName name="_xlnm.Print_Titles" localSheetId="7">'Interest Trueup'!$1:$2</definedName>
    <definedName name="_xlnm.Print_Titles" localSheetId="6">'Principal trueup'!$1:$2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<sst xmlns="http://schemas.openxmlformats.org/spreadsheetml/2006/main" count="1406" uniqueCount="114">
  <si>
    <t>Residential</t>
  </si>
  <si>
    <t>General Service  &lt; 50 kW</t>
  </si>
  <si>
    <t>General Service &gt; 50</t>
  </si>
  <si>
    <t>Large User</t>
  </si>
  <si>
    <t>Sentinel Lights</t>
  </si>
  <si>
    <t>Streetlighting</t>
  </si>
  <si>
    <t>Total PILS  billed to (collected from) customers</t>
  </si>
  <si>
    <t>TOTAL 2005</t>
  </si>
  <si>
    <t>USL</t>
  </si>
  <si>
    <t>*kWh</t>
  </si>
  <si>
    <t>*kW</t>
  </si>
  <si>
    <t>TOTAL</t>
  </si>
  <si>
    <t>2001 PILS Fixed Proxy Rate</t>
  </si>
  <si>
    <t>2001  PILS  billed to (collected from) customers</t>
  </si>
  <si>
    <t>2002 PILS Fixed Proxy Rate</t>
  </si>
  <si>
    <t>2002   PILS  billed to (collected from) customers</t>
  </si>
  <si>
    <t>2002 PILS Variable Proxy Rate</t>
  </si>
  <si>
    <t>2004 PILS Variable Proxy Rate</t>
  </si>
  <si>
    <t>2004  PILS  billed to (collected from) customers</t>
  </si>
  <si>
    <t>2001 PILS Variable Proxy Rate</t>
  </si>
  <si>
    <t>2005 PILS Variable Proxy Rate</t>
  </si>
  <si>
    <t>2005 PILS  billed to (collected from) customers</t>
  </si>
  <si>
    <t>TOTAL 2002</t>
  </si>
  <si>
    <t>Billing Period</t>
  </si>
  <si>
    <t>Rate Class</t>
  </si>
  <si>
    <t>TOTAL 2003</t>
  </si>
  <si>
    <t>TOTAL 2004</t>
  </si>
  <si>
    <t>No. of Months Billed</t>
  </si>
  <si>
    <t>TOTAL 2006</t>
  </si>
  <si>
    <t>GRAND TOTAL</t>
  </si>
  <si>
    <t>Year</t>
  </si>
  <si>
    <t>Month</t>
  </si>
  <si>
    <t>Data</t>
  </si>
  <si>
    <t xml:space="preserve"> Residential</t>
  </si>
  <si>
    <t xml:space="preserve">  GS &lt; 50</t>
  </si>
  <si>
    <t>May</t>
  </si>
  <si>
    <t>June</t>
  </si>
  <si>
    <t>kWH</t>
  </si>
  <si>
    <t>Unbilled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</si>
  <si>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</si>
  <si>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</si>
  <si>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</si>
  <si>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</si>
  <si>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</si>
  <si>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</si>
  <si>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</si>
  <si>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</si>
  <si>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</si>
  <si>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</si>
  <si>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</si>
  <si>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Street Light</t>
  </si>
  <si>
    <t>Total</t>
  </si>
  <si>
    <t xml:space="preserve">kW </t>
  </si>
  <si>
    <t>GS&gt;50</t>
  </si>
  <si>
    <t>TOTAL KWH</t>
  </si>
  <si>
    <t>Streetlight</t>
  </si>
  <si>
    <t>Sentinel</t>
  </si>
  <si>
    <t>Monthly Customers Billed</t>
  </si>
  <si>
    <t>TOTAL RESIDENTIAL</t>
  </si>
  <si>
    <t>TOTAL GS &lt; 50kW</t>
  </si>
  <si>
    <t>TOTAL USL</t>
  </si>
  <si>
    <t>TOTAL GS&gt; 50 kW</t>
  </si>
  <si>
    <t>TOTAL Large User</t>
  </si>
  <si>
    <t>TOTAL Sentinel Lights</t>
  </si>
  <si>
    <t>TOTAL Streetlights</t>
  </si>
  <si>
    <t>Mon</t>
  </si>
  <si>
    <t>Accrual</t>
  </si>
  <si>
    <t>Adjusted Cumulative Balance</t>
  </si>
  <si>
    <t>Sept</t>
  </si>
  <si>
    <t>Adjusted Monthly Variance</t>
  </si>
  <si>
    <t>SIMPIL True-Up Adjustments</t>
  </si>
  <si>
    <t>Adjusted PILS Revenue</t>
  </si>
  <si>
    <t>*</t>
  </si>
  <si>
    <t>**</t>
  </si>
  <si>
    <t>Opening Balance</t>
  </si>
  <si>
    <t>Closing Balance</t>
  </si>
  <si>
    <t>Interest Rate</t>
  </si>
  <si>
    <t>Adjusted Monthly Interest</t>
  </si>
  <si>
    <t>Adjusted Cumulative Interest</t>
  </si>
  <si>
    <t>Monthly Average</t>
  </si>
  <si>
    <t>kWh</t>
  </si>
  <si>
    <t>kW</t>
  </si>
  <si>
    <t>TOTAL KW</t>
  </si>
  <si>
    <t>Total 2002</t>
  </si>
  <si>
    <t>Total 2003</t>
  </si>
  <si>
    <t>Total 2004</t>
  </si>
  <si>
    <t>Total 2005</t>
  </si>
  <si>
    <t>Total 2006</t>
  </si>
  <si>
    <t>2002/2003 PILS Fixed Proxy Rate</t>
  </si>
  <si>
    <t>2002/2003 PILS Variable Proxy Rate</t>
  </si>
  <si>
    <t>2002/2003   PILS  billed to (collected from) customers</t>
  </si>
  <si>
    <t>Adjusted</t>
  </si>
  <si>
    <t xml:space="preserve">2001  PILS </t>
  </si>
  <si>
    <t>2002 PILS</t>
  </si>
  <si>
    <t>2004 PILS</t>
  </si>
  <si>
    <t>2005 PILS</t>
  </si>
  <si>
    <t>Total PILS Billed To Customers</t>
  </si>
  <si>
    <t>Cumulative  PILS Billed To Customers</t>
  </si>
  <si>
    <t>PILS Billed To Customers  - Fiscal Year</t>
  </si>
  <si>
    <t xml:space="preserve">PILS Billed To Customers  - Rate Slivers </t>
  </si>
  <si>
    <t>2003 PILS</t>
  </si>
  <si>
    <t>Fiscal Year</t>
  </si>
  <si>
    <t>PILS Slivers  Billed To Customers  - Fiscal Year</t>
  </si>
  <si>
    <t>ok</t>
  </si>
  <si>
    <t>2002 PILS  billed to (collected from) customers</t>
  </si>
  <si>
    <t>May 1 2006 to Dec 31 2010</t>
  </si>
  <si>
    <t>Jan 1 2011 to April 30 2012</t>
  </si>
  <si>
    <t>Total to April 30 2006</t>
  </si>
  <si>
    <t xml:space="preserve">TOTAL   </t>
  </si>
  <si>
    <t>2003 to 2006 from load forecast</t>
  </si>
  <si>
    <t>2002 from 2006 EDR model</t>
  </si>
  <si>
    <t>Intermediate</t>
  </si>
  <si>
    <t>Final</t>
  </si>
  <si>
    <t xml:space="preserve">Dec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</si>
</sst>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_(&quot;$&quot;* #,##0.0000_);_(&quot;$&quot;* \(#,##0.0000\);_(&quot;$&quot;* &quot;-&quot;??_);_(@_)"/>
    <numFmt numFmtId="169" formatCode="_(&quot;$&quot;* #,##0.000000_);_(&quot;$&quot;* \(#,##0.000000\);_(&quot;$&quot;* &quot;-&quot;??_);_(@_)"/>
    <numFmt numFmtId="170" formatCode="_(&quot;$&quot;* #,##0_);_(&quot;$&quot;* \(#,##0\);_(&quot;$&quot;* &quot;-&quot;??_);_(@_)"/>
    <numFmt numFmtId="171" formatCode="#,##0;[Red]#,##0"/>
    <numFmt numFmtId="172" formatCode="_(* #,##0.0000_);_(* \(#,##0.0000\);_(* &quot;-&quot;??_);_(@_)"/>
    <numFmt numFmtId="173" formatCode="_(* #,##0.0_);_(* \(#,##0.0\);_(* &quot;-&quot;??_);_(@_)"/>
    <numFmt numFmtId="174" formatCode="#,##0.0"/>
  </numFmts>
  <fonts count="40"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>
        <color indexed="8"/>
      </left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5" borderId="0" applyNumberFormat="0" applyBorder="0" applyAlignment="0" applyProtection="0"/>
    <xf numFmtId="0" fontId="0" fillId="5" borderId="0" applyNumberFormat="0" applyBorder="0" applyAlignment="0" applyProtection="0"/>
    <xf numFmtId="0" fontId="1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5" fillId="12" borderId="0" applyNumberFormat="0" applyBorder="0" applyAlignment="0" applyProtection="0"/>
    <xf numFmtId="0" fontId="38" fillId="9" borderId="0" applyNumberFormat="0" applyBorder="0" applyAlignment="0" applyProtection="0"/>
    <xf numFmtId="0" fontId="5" fillId="9" borderId="0" applyNumberFormat="0" applyBorder="0" applyAlignment="0" applyProtection="0"/>
    <xf numFmtId="0" fontId="38" fillId="10" borderId="0" applyNumberFormat="0" applyBorder="0" applyAlignment="0" applyProtection="0"/>
    <xf numFmtId="0" fontId="5" fillId="10" borderId="0" applyNumberFormat="0" applyBorder="0" applyAlignment="0" applyProtection="0"/>
    <xf numFmtId="0" fontId="38" fillId="13" borderId="0" applyNumberFormat="0" applyBorder="0" applyAlignment="0" applyProtection="0"/>
    <xf numFmtId="0" fontId="5" fillId="13" borderId="0" applyNumberFormat="0" applyBorder="0" applyAlignment="0" applyProtection="0"/>
    <xf numFmtId="0" fontId="38" fillId="14" borderId="0" applyNumberFormat="0" applyBorder="0" applyAlignment="0" applyProtection="0"/>
    <xf numFmtId="0" fontId="5" fillId="14" borderId="0" applyNumberFormat="0" applyBorder="0" applyAlignment="0" applyProtection="0"/>
    <xf numFmtId="0" fontId="38" fillId="15" borderId="0" applyNumberFormat="0" applyBorder="0" applyAlignment="0" applyProtection="0"/>
    <xf numFmtId="0" fontId="5" fillId="15" borderId="0" applyNumberFormat="0" applyBorder="0" applyAlignment="0" applyProtection="0"/>
    <xf numFmtId="0" fontId="38" fillId="16" borderId="0" applyNumberFormat="0" applyBorder="0" applyAlignment="0" applyProtection="0"/>
    <xf numFmtId="0" fontId="5" fillId="16" borderId="0" applyNumberFormat="0" applyBorder="0" applyAlignment="0" applyProtection="0"/>
    <xf numFmtId="0" fontId="38" fillId="17" borderId="0" applyNumberFormat="0" applyBorder="0" applyAlignment="0" applyProtection="0"/>
    <xf numFmtId="0" fontId="5" fillId="17" borderId="0" applyNumberFormat="0" applyBorder="0" applyAlignment="0" applyProtection="0"/>
    <xf numFmtId="0" fontId="38" fillId="18" borderId="0" applyNumberFormat="0" applyBorder="0" applyAlignment="0" applyProtection="0"/>
    <xf numFmtId="0" fontId="5" fillId="18" borderId="0" applyNumberFormat="0" applyBorder="0" applyAlignment="0" applyProtection="0"/>
    <xf numFmtId="0" fontId="38" fillId="13" borderId="0" applyNumberFormat="0" applyBorder="0" applyAlignment="0" applyProtection="0"/>
    <xf numFmtId="0" fontId="5" fillId="13" borderId="0" applyNumberFormat="0" applyBorder="0" applyAlignment="0" applyProtection="0"/>
    <xf numFmtId="0" fontId="38" fillId="14" borderId="0" applyNumberFormat="0" applyBorder="0" applyAlignment="0" applyProtection="0"/>
    <xf numFmtId="0" fontId="5" fillId="14" borderId="0" applyNumberFormat="0" applyBorder="0" applyAlignment="0" applyProtection="0"/>
    <xf numFmtId="0" fontId="38" fillId="19" borderId="0" applyNumberFormat="0" applyBorder="0" applyAlignment="0" applyProtection="0"/>
    <xf numFmtId="0" fontId="5" fillId="19" borderId="0" applyNumberFormat="0" applyBorder="0" applyAlignment="0" applyProtection="0"/>
    <xf numFmtId="0" fontId="28" fillId="3" borderId="0" applyNumberFormat="0" applyBorder="0" applyAlignment="0" applyProtection="0"/>
    <xf numFmtId="0" fontId="6" fillId="3" borderId="0" applyNumberFormat="0" applyBorder="0" applyAlignment="0" applyProtection="0"/>
    <xf numFmtId="0" fontId="32" fillId="20" borderId="1" applyNumberFormat="0" applyAlignment="0" applyProtection="0"/>
    <xf numFmtId="0" fontId="7" fillId="20" borderId="1" applyNumberFormat="0" applyAlignment="0" applyProtection="0"/>
    <xf numFmtId="0" fontId="34" fillId="21" borderId="2" applyNumberFormat="0" applyAlignment="0" applyProtection="0"/>
    <xf numFmtId="0" fontId="8" fillId="21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0" fillId="4" borderId="0" applyNumberFormat="0" applyBorder="0" applyAlignment="0" applyProtection="0"/>
    <xf numFmtId="0" fontId="24" fillId="0" borderId="3" applyNumberFormat="0" applyFill="0" applyAlignment="0" applyProtection="0"/>
    <xf numFmtId="0" fontId="11" fillId="0" borderId="4" applyNumberFormat="0" applyFill="0" applyAlignment="0" applyProtection="0"/>
    <xf numFmtId="0" fontId="25" fillId="0" borderId="5" applyNumberFormat="0" applyFill="0" applyAlignment="0" applyProtection="0"/>
    <xf numFmtId="0" fontId="12" fillId="0" borderId="6" applyNumberFormat="0" applyFill="0" applyAlignment="0" applyProtection="0"/>
    <xf numFmtId="0" fontId="26" fillId="0" borderId="7" applyNumberFormat="0" applyFill="0" applyAlignment="0" applyProtection="0"/>
    <xf numFmtId="0" fontId="13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7" borderId="1" applyNumberFormat="0" applyAlignment="0" applyProtection="0"/>
    <xf numFmtId="0" fontId="14" fillId="7" borderId="1" applyNumberFormat="0" applyAlignment="0" applyProtection="0"/>
    <xf numFmtId="0" fontId="33" fillId="0" borderId="9" applyNumberFormat="0" applyFill="0" applyAlignment="0" applyProtection="0"/>
    <xf numFmtId="0" fontId="15" fillId="0" borderId="10" applyNumberFormat="0" applyFill="0" applyAlignment="0" applyProtection="0"/>
    <xf numFmtId="0" fontId="29" fillId="22" borderId="0" applyNumberFormat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31" fillId="20" borderId="12" applyNumberFormat="0" applyAlignment="0" applyProtection="0"/>
    <xf numFmtId="0" fontId="17" fillId="20" borderId="12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19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0" borderId="0" xfId="73" applyFont="1" applyAlignment="1">
      <alignment/>
    </xf>
    <xf numFmtId="0" fontId="0" fillId="0" borderId="0" xfId="0" applyBorder="1" applyAlignment="1">
      <alignment/>
    </xf>
    <xf numFmtId="165" fontId="0" fillId="0" borderId="0" xfId="73" applyFont="1" applyBorder="1" applyAlignment="1">
      <alignment/>
    </xf>
    <xf numFmtId="0" fontId="0" fillId="0" borderId="0" xfId="0" applyFill="1" applyBorder="1" applyAlignment="1">
      <alignment/>
    </xf>
    <xf numFmtId="169" fontId="0" fillId="0" borderId="0" xfId="73" applyNumberFormat="1" applyFont="1" applyBorder="1" applyAlignment="1">
      <alignment/>
    </xf>
    <xf numFmtId="0" fontId="2" fillId="0" borderId="0" xfId="0" applyFont="1" applyAlignment="1">
      <alignment/>
    </xf>
    <xf numFmtId="165" fontId="0" fillId="0" borderId="0" xfId="73" applyFont="1" applyAlignment="1">
      <alignment/>
    </xf>
    <xf numFmtId="167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37" fontId="0" fillId="0" borderId="0" xfId="0" applyNumberFormat="1" applyAlignment="1">
      <alignment/>
    </xf>
    <xf numFmtId="168" fontId="0" fillId="0" borderId="15" xfId="73" applyNumberFormat="1" applyFont="1" applyBorder="1" applyAlignment="1">
      <alignment/>
    </xf>
    <xf numFmtId="165" fontId="0" fillId="0" borderId="16" xfId="73" applyFont="1" applyBorder="1" applyAlignment="1">
      <alignment/>
    </xf>
    <xf numFmtId="168" fontId="0" fillId="0" borderId="15" xfId="73" applyNumberFormat="1" applyFont="1" applyFill="1" applyBorder="1" applyAlignment="1">
      <alignment/>
    </xf>
    <xf numFmtId="0" fontId="3" fillId="0" borderId="17" xfId="0" applyFont="1" applyBorder="1" applyAlignment="1">
      <alignment wrapText="1"/>
    </xf>
    <xf numFmtId="0" fontId="0" fillId="0" borderId="15" xfId="0" applyBorder="1" applyAlignment="1">
      <alignment/>
    </xf>
    <xf numFmtId="0" fontId="3" fillId="0" borderId="18" xfId="0" applyFont="1" applyBorder="1" applyAlignment="1">
      <alignment wrapText="1"/>
    </xf>
    <xf numFmtId="0" fontId="3" fillId="0" borderId="0" xfId="0" applyFont="1" applyAlignment="1">
      <alignment/>
    </xf>
    <xf numFmtId="169" fontId="0" fillId="0" borderId="15" xfId="73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20" xfId="0" applyBorder="1" applyAlignment="1">
      <alignment/>
    </xf>
    <xf numFmtId="17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38" fontId="0" fillId="0" borderId="0" xfId="0" applyNumberFormat="1" applyAlignment="1">
      <alignment/>
    </xf>
    <xf numFmtId="0" fontId="0" fillId="0" borderId="22" xfId="0" applyBorder="1" applyAlignment="1">
      <alignment/>
    </xf>
    <xf numFmtId="171" fontId="0" fillId="0" borderId="22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0" fillId="0" borderId="26" xfId="0" applyBorder="1" applyAlignment="1">
      <alignment/>
    </xf>
    <xf numFmtId="167" fontId="0" fillId="0" borderId="26" xfId="69" applyNumberFormat="1" applyFont="1" applyBorder="1" applyAlignment="1">
      <alignment/>
    </xf>
    <xf numFmtId="167" fontId="0" fillId="20" borderId="27" xfId="69" applyNumberFormat="1" applyFont="1" applyFill="1" applyBorder="1" applyAlignment="1">
      <alignment/>
    </xf>
    <xf numFmtId="167" fontId="0" fillId="20" borderId="26" xfId="69" applyNumberFormat="1" applyFont="1" applyFill="1" applyBorder="1" applyAlignment="1">
      <alignment/>
    </xf>
    <xf numFmtId="167" fontId="0" fillId="0" borderId="27" xfId="69" applyNumberFormat="1" applyFont="1" applyBorder="1" applyAlignment="1">
      <alignment/>
    </xf>
    <xf numFmtId="37" fontId="0" fillId="0" borderId="0" xfId="0" applyNumberFormat="1" applyAlignment="1">
      <alignment wrapText="1"/>
    </xf>
    <xf numFmtId="171" fontId="0" fillId="0" borderId="28" xfId="0" applyNumberFormat="1" applyFill="1" applyBorder="1" applyAlignment="1">
      <alignment/>
    </xf>
    <xf numFmtId="167" fontId="0" fillId="0" borderId="22" xfId="69" applyNumberFormat="1" applyFont="1" applyBorder="1" applyAlignment="1">
      <alignment/>
    </xf>
    <xf numFmtId="0" fontId="3" fillId="0" borderId="22" xfId="0" applyFont="1" applyBorder="1" applyAlignment="1">
      <alignment/>
    </xf>
    <xf numFmtId="171" fontId="3" fillId="0" borderId="22" xfId="0" applyNumberFormat="1" applyFont="1" applyBorder="1" applyAlignment="1">
      <alignment/>
    </xf>
    <xf numFmtId="167" fontId="3" fillId="0" borderId="22" xfId="69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0" fontId="0" fillId="0" borderId="31" xfId="0" applyNumberFormat="1" applyBorder="1" applyAlignment="1">
      <alignment/>
    </xf>
    <xf numFmtId="170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3" fillId="0" borderId="34" xfId="0" applyFont="1" applyBorder="1" applyAlignment="1">
      <alignment wrapText="1"/>
    </xf>
    <xf numFmtId="0" fontId="0" fillId="0" borderId="35" xfId="0" applyBorder="1" applyAlignment="1">
      <alignment/>
    </xf>
    <xf numFmtId="167" fontId="0" fillId="0" borderId="27" xfId="69" applyNumberFormat="1" applyFont="1" applyFill="1" applyBorder="1" applyAlignment="1">
      <alignment/>
    </xf>
    <xf numFmtId="0" fontId="0" fillId="10" borderId="36" xfId="0" applyFill="1" applyBorder="1" applyAlignment="1">
      <alignment/>
    </xf>
    <xf numFmtId="0" fontId="0" fillId="10" borderId="37" xfId="0" applyFill="1" applyBorder="1" applyAlignment="1">
      <alignment/>
    </xf>
    <xf numFmtId="0" fontId="0" fillId="10" borderId="38" xfId="0" applyFill="1" applyBorder="1" applyAlignment="1">
      <alignment/>
    </xf>
    <xf numFmtId="167" fontId="0" fillId="10" borderId="38" xfId="69" applyNumberFormat="1" applyFont="1" applyFill="1" applyBorder="1" applyAlignment="1">
      <alignment/>
    </xf>
    <xf numFmtId="167" fontId="0" fillId="10" borderId="39" xfId="69" applyNumberFormat="1" applyFont="1" applyFill="1" applyBorder="1" applyAlignment="1">
      <alignment/>
    </xf>
    <xf numFmtId="168" fontId="0" fillId="10" borderId="40" xfId="73" applyNumberFormat="1" applyFont="1" applyFill="1" applyBorder="1" applyAlignment="1">
      <alignment/>
    </xf>
    <xf numFmtId="169" fontId="0" fillId="10" borderId="41" xfId="73" applyNumberFormat="1" applyFont="1" applyFill="1" applyBorder="1" applyAlignment="1">
      <alignment/>
    </xf>
    <xf numFmtId="165" fontId="0" fillId="10" borderId="42" xfId="73" applyFont="1" applyFill="1" applyBorder="1" applyAlignment="1">
      <alignment/>
    </xf>
    <xf numFmtId="169" fontId="0" fillId="10" borderId="40" xfId="73" applyNumberFormat="1" applyFont="1" applyFill="1" applyBorder="1" applyAlignment="1">
      <alignment/>
    </xf>
    <xf numFmtId="167" fontId="0" fillId="0" borderId="0" xfId="69" applyNumberFormat="1" applyFont="1" applyBorder="1" applyAlignment="1">
      <alignment/>
    </xf>
    <xf numFmtId="167" fontId="0" fillId="0" borderId="16" xfId="69" applyNumberFormat="1" applyFont="1" applyBorder="1" applyAlignment="1">
      <alignment/>
    </xf>
    <xf numFmtId="0" fontId="0" fillId="0" borderId="28" xfId="0" applyBorder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0" fontId="0" fillId="10" borderId="43" xfId="0" applyFill="1" applyBorder="1" applyAlignment="1">
      <alignment/>
    </xf>
    <xf numFmtId="9" fontId="0" fillId="0" borderId="0" xfId="136" applyFont="1" applyBorder="1" applyAlignment="1">
      <alignment/>
    </xf>
    <xf numFmtId="3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0" fillId="10" borderId="22" xfId="0" applyFill="1" applyBorder="1" applyAlignment="1">
      <alignment/>
    </xf>
    <xf numFmtId="0" fontId="0" fillId="10" borderId="44" xfId="0" applyFill="1" applyBorder="1" applyAlignment="1">
      <alignment/>
    </xf>
    <xf numFmtId="0" fontId="0" fillId="10" borderId="33" xfId="0" applyFill="1" applyBorder="1" applyAlignment="1">
      <alignment/>
    </xf>
    <xf numFmtId="0" fontId="0" fillId="10" borderId="33" xfId="0" applyFill="1" applyBorder="1" applyAlignment="1">
      <alignment/>
    </xf>
    <xf numFmtId="0" fontId="0" fillId="10" borderId="22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43" xfId="0" applyBorder="1" applyAlignment="1">
      <alignment/>
    </xf>
    <xf numFmtId="164" fontId="0" fillId="0" borderId="43" xfId="0" applyNumberFormat="1" applyBorder="1" applyAlignment="1">
      <alignment/>
    </xf>
    <xf numFmtId="164" fontId="0" fillId="0" borderId="28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35" xfId="0" applyNumberFormat="1" applyBorder="1" applyAlignment="1">
      <alignment/>
    </xf>
    <xf numFmtId="164" fontId="0" fillId="0" borderId="33" xfId="0" applyNumberFormat="1" applyBorder="1" applyAlignment="1">
      <alignment/>
    </xf>
    <xf numFmtId="164" fontId="0" fillId="0" borderId="45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46" xfId="0" applyBorder="1" applyAlignment="1">
      <alignment/>
    </xf>
    <xf numFmtId="0" fontId="3" fillId="0" borderId="28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35" xfId="0" applyFont="1" applyBorder="1" applyAlignment="1">
      <alignment/>
    </xf>
    <xf numFmtId="0" fontId="0" fillId="0" borderId="28" xfId="0" applyBorder="1" applyAlignment="1">
      <alignment wrapText="1"/>
    </xf>
    <xf numFmtId="164" fontId="0" fillId="0" borderId="28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164" fontId="0" fillId="0" borderId="35" xfId="0" applyNumberFormat="1" applyBorder="1" applyAlignment="1">
      <alignment wrapText="1"/>
    </xf>
    <xf numFmtId="10" fontId="0" fillId="0" borderId="0" xfId="136" applyNumberFormat="1" applyFont="1" applyBorder="1" applyAlignment="1">
      <alignment/>
    </xf>
    <xf numFmtId="10" fontId="0" fillId="0" borderId="0" xfId="136" applyNumberFormat="1" applyFont="1" applyFill="1" applyBorder="1" applyAlignment="1">
      <alignment/>
    </xf>
    <xf numFmtId="167" fontId="0" fillId="0" borderId="43" xfId="69" applyNumberFormat="1" applyFont="1" applyBorder="1" applyAlignment="1">
      <alignment/>
    </xf>
    <xf numFmtId="167" fontId="0" fillId="0" borderId="45" xfId="69" applyNumberFormat="1" applyFont="1" applyBorder="1" applyAlignment="1">
      <alignment/>
    </xf>
    <xf numFmtId="0" fontId="20" fillId="0" borderId="0" xfId="0" applyFont="1" applyAlignment="1">
      <alignment/>
    </xf>
    <xf numFmtId="0" fontId="20" fillId="10" borderId="33" xfId="0" applyFont="1" applyFill="1" applyBorder="1" applyAlignment="1">
      <alignment/>
    </xf>
    <xf numFmtId="0" fontId="20" fillId="10" borderId="22" xfId="0" applyFont="1" applyFill="1" applyBorder="1" applyAlignment="1">
      <alignment/>
    </xf>
    <xf numFmtId="0" fontId="20" fillId="0" borderId="22" xfId="0" applyFont="1" applyBorder="1" applyAlignment="1">
      <alignment/>
    </xf>
    <xf numFmtId="0" fontId="21" fillId="0" borderId="22" xfId="0" applyFont="1" applyBorder="1" applyAlignment="1">
      <alignment/>
    </xf>
    <xf numFmtId="0" fontId="20" fillId="0" borderId="43" xfId="0" applyFont="1" applyBorder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Border="1" applyAlignment="1">
      <alignment/>
    </xf>
    <xf numFmtId="171" fontId="20" fillId="0" borderId="0" xfId="0" applyNumberFormat="1" applyFont="1" applyBorder="1" applyAlignment="1">
      <alignment/>
    </xf>
    <xf numFmtId="0" fontId="0" fillId="0" borderId="26" xfId="0" applyFill="1" applyBorder="1" applyAlignment="1">
      <alignment/>
    </xf>
    <xf numFmtId="0" fontId="3" fillId="0" borderId="26" xfId="0" applyFont="1" applyFill="1" applyBorder="1" applyAlignment="1">
      <alignment/>
    </xf>
    <xf numFmtId="0" fontId="0" fillId="0" borderId="47" xfId="0" applyFill="1" applyBorder="1" applyAlignment="1">
      <alignment/>
    </xf>
    <xf numFmtId="0" fontId="0" fillId="0" borderId="0" xfId="0" applyFill="1" applyAlignment="1">
      <alignment/>
    </xf>
    <xf numFmtId="0" fontId="3" fillId="23" borderId="48" xfId="0" applyFont="1" applyFill="1" applyBorder="1" applyAlignment="1">
      <alignment/>
    </xf>
    <xf numFmtId="0" fontId="3" fillId="23" borderId="49" xfId="0" applyFont="1" applyFill="1" applyBorder="1" applyAlignment="1">
      <alignment/>
    </xf>
    <xf numFmtId="167" fontId="3" fillId="23" borderId="49" xfId="0" applyNumberFormat="1" applyFont="1" applyFill="1" applyBorder="1" applyAlignment="1">
      <alignment/>
    </xf>
    <xf numFmtId="165" fontId="3" fillId="23" borderId="50" xfId="73" applyFont="1" applyFill="1" applyBorder="1" applyAlignment="1">
      <alignment/>
    </xf>
    <xf numFmtId="0" fontId="3" fillId="23" borderId="22" xfId="0" applyFont="1" applyFill="1" applyBorder="1" applyAlignment="1">
      <alignment wrapText="1"/>
    </xf>
    <xf numFmtId="0" fontId="3" fillId="23" borderId="22" xfId="0" applyFont="1" applyFill="1" applyBorder="1" applyAlignment="1">
      <alignment/>
    </xf>
    <xf numFmtId="0" fontId="21" fillId="23" borderId="22" xfId="0" applyFont="1" applyFill="1" applyBorder="1" applyAlignment="1">
      <alignment/>
    </xf>
    <xf numFmtId="167" fontId="3" fillId="23" borderId="22" xfId="0" applyNumberFormat="1" applyFont="1" applyFill="1" applyBorder="1" applyAlignment="1">
      <alignment/>
    </xf>
    <xf numFmtId="171" fontId="3" fillId="23" borderId="22" xfId="0" applyNumberFormat="1" applyFont="1" applyFill="1" applyBorder="1" applyAlignment="1">
      <alignment/>
    </xf>
    <xf numFmtId="0" fontId="3" fillId="0" borderId="33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3" fillId="0" borderId="43" xfId="0" applyFont="1" applyBorder="1" applyAlignment="1">
      <alignment/>
    </xf>
    <xf numFmtId="0" fontId="3" fillId="0" borderId="45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23" borderId="40" xfId="0" applyFont="1" applyFill="1" applyBorder="1" applyAlignment="1">
      <alignment/>
    </xf>
    <xf numFmtId="170" fontId="3" fillId="23" borderId="51" xfId="73" applyNumberFormat="1" applyFont="1" applyFill="1" applyBorder="1" applyAlignment="1">
      <alignment/>
    </xf>
    <xf numFmtId="0" fontId="3" fillId="23" borderId="51" xfId="0" applyFont="1" applyFill="1" applyBorder="1" applyAlignment="1">
      <alignment/>
    </xf>
    <xf numFmtId="0" fontId="3" fillId="23" borderId="51" xfId="0" applyFont="1" applyFill="1" applyBorder="1" applyAlignment="1">
      <alignment wrapText="1"/>
    </xf>
    <xf numFmtId="170" fontId="3" fillId="23" borderId="51" xfId="0" applyNumberFormat="1" applyFont="1" applyFill="1" applyBorder="1" applyAlignment="1">
      <alignment/>
    </xf>
    <xf numFmtId="170" fontId="0" fillId="0" borderId="26" xfId="73" applyNumberFormat="1" applyFont="1" applyBorder="1" applyAlignment="1">
      <alignment/>
    </xf>
    <xf numFmtId="170" fontId="3" fillId="23" borderId="22" xfId="73" applyNumberFormat="1" applyFont="1" applyFill="1" applyBorder="1" applyAlignment="1">
      <alignment/>
    </xf>
    <xf numFmtId="0" fontId="3" fillId="23" borderId="23" xfId="0" applyFont="1" applyFill="1" applyBorder="1" applyAlignment="1">
      <alignment/>
    </xf>
    <xf numFmtId="0" fontId="3" fillId="23" borderId="24" xfId="0" applyFont="1" applyFill="1" applyBorder="1" applyAlignment="1">
      <alignment/>
    </xf>
    <xf numFmtId="0" fontId="3" fillId="23" borderId="25" xfId="0" applyFont="1" applyFill="1" applyBorder="1" applyAlignment="1">
      <alignment/>
    </xf>
    <xf numFmtId="170" fontId="0" fillId="0" borderId="27" xfId="73" applyNumberFormat="1" applyFont="1" applyBorder="1" applyAlignment="1">
      <alignment/>
    </xf>
    <xf numFmtId="0" fontId="3" fillId="23" borderId="52" xfId="0" applyFont="1" applyFill="1" applyBorder="1" applyAlignment="1">
      <alignment/>
    </xf>
    <xf numFmtId="170" fontId="3" fillId="23" borderId="53" xfId="73" applyNumberFormat="1" applyFont="1" applyFill="1" applyBorder="1" applyAlignment="1">
      <alignment/>
    </xf>
    <xf numFmtId="0" fontId="3" fillId="23" borderId="54" xfId="0" applyFont="1" applyFill="1" applyBorder="1" applyAlignment="1">
      <alignment/>
    </xf>
    <xf numFmtId="170" fontId="3" fillId="23" borderId="55" xfId="73" applyNumberFormat="1" applyFont="1" applyFill="1" applyBorder="1" applyAlignment="1">
      <alignment/>
    </xf>
    <xf numFmtId="170" fontId="3" fillId="23" borderId="56" xfId="73" applyNumberFormat="1" applyFont="1" applyFill="1" applyBorder="1" applyAlignment="1">
      <alignment/>
    </xf>
    <xf numFmtId="0" fontId="0" fillId="23" borderId="42" xfId="0" applyFill="1" applyBorder="1" applyAlignment="1">
      <alignment horizontal="centerContinuous"/>
    </xf>
    <xf numFmtId="164" fontId="0" fillId="0" borderId="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5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8" xfId="0" applyNumberFormat="1" applyFont="1" applyBorder="1" applyAlignment="1">
      <alignment/>
    </xf>
    <xf numFmtId="0" fontId="0" fillId="0" borderId="57" xfId="0" applyFont="1" applyBorder="1" applyAlignment="1">
      <alignment wrapText="1"/>
    </xf>
    <xf numFmtId="0" fontId="0" fillId="0" borderId="58" xfId="0" applyFont="1" applyBorder="1" applyAlignment="1">
      <alignment wrapText="1"/>
    </xf>
    <xf numFmtId="0" fontId="0" fillId="0" borderId="59" xfId="0" applyFont="1" applyBorder="1" applyAlignment="1">
      <alignment wrapText="1"/>
    </xf>
    <xf numFmtId="164" fontId="0" fillId="0" borderId="33" xfId="0" applyNumberFormat="1" applyBorder="1" applyAlignment="1">
      <alignment horizontal="centerContinuous"/>
    </xf>
    <xf numFmtId="0" fontId="2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22" fillId="0" borderId="0" xfId="0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3" fillId="23" borderId="32" xfId="0" applyFont="1" applyFill="1" applyBorder="1" applyAlignment="1">
      <alignment wrapText="1"/>
    </xf>
    <xf numFmtId="0" fontId="3" fillId="23" borderId="32" xfId="0" applyFont="1" applyFill="1" applyBorder="1" applyAlignment="1">
      <alignment/>
    </xf>
    <xf numFmtId="0" fontId="3" fillId="23" borderId="20" xfId="0" applyFont="1" applyFill="1" applyBorder="1" applyAlignment="1">
      <alignment wrapText="1"/>
    </xf>
    <xf numFmtId="170" fontId="3" fillId="23" borderId="31" xfId="0" applyNumberFormat="1" applyFont="1" applyFill="1" applyBorder="1" applyAlignment="1">
      <alignment/>
    </xf>
    <xf numFmtId="170" fontId="3" fillId="23" borderId="20" xfId="0" applyNumberFormat="1" applyFont="1" applyFill="1" applyBorder="1" applyAlignment="1">
      <alignment/>
    </xf>
    <xf numFmtId="170" fontId="3" fillId="23" borderId="32" xfId="0" applyNumberFormat="1" applyFont="1" applyFill="1" applyBorder="1" applyAlignment="1">
      <alignment/>
    </xf>
    <xf numFmtId="0" fontId="3" fillId="23" borderId="40" xfId="0" applyFont="1" applyFill="1" applyBorder="1" applyAlignment="1">
      <alignment horizontal="centerContinuous"/>
    </xf>
    <xf numFmtId="0" fontId="3" fillId="23" borderId="41" xfId="0" applyFont="1" applyFill="1" applyBorder="1" applyAlignment="1">
      <alignment horizontal="centerContinuous"/>
    </xf>
    <xf numFmtId="0" fontId="3" fillId="23" borderId="37" xfId="0" applyFont="1" applyFill="1" applyBorder="1" applyAlignment="1">
      <alignment horizontal="centerContinuous"/>
    </xf>
    <xf numFmtId="0" fontId="3" fillId="23" borderId="42" xfId="0" applyFont="1" applyFill="1" applyBorder="1" applyAlignment="1">
      <alignment horizontal="centerContinuous"/>
    </xf>
    <xf numFmtId="164" fontId="0" fillId="0" borderId="43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3" xfId="0" applyBorder="1" applyAlignment="1">
      <alignment wrapText="1"/>
    </xf>
    <xf numFmtId="0" fontId="0" fillId="0" borderId="43" xfId="0" applyBorder="1" applyAlignment="1">
      <alignment wrapText="1"/>
    </xf>
    <xf numFmtId="164" fontId="0" fillId="0" borderId="43" xfId="0" applyNumberFormat="1" applyBorder="1" applyAlignment="1">
      <alignment wrapText="1"/>
    </xf>
    <xf numFmtId="164" fontId="0" fillId="0" borderId="33" xfId="0" applyNumberFormat="1" applyBorder="1" applyAlignment="1">
      <alignment wrapText="1"/>
    </xf>
    <xf numFmtId="164" fontId="0" fillId="0" borderId="45" xfId="0" applyNumberFormat="1" applyBorder="1" applyAlignment="1">
      <alignment wrapText="1"/>
    </xf>
    <xf numFmtId="164" fontId="0" fillId="0" borderId="43" xfId="0" applyNumberFormat="1" applyBorder="1" applyAlignment="1">
      <alignment horizontal="centerContinuous"/>
    </xf>
    <xf numFmtId="0" fontId="0" fillId="0" borderId="43" xfId="0" applyBorder="1" applyAlignment="1">
      <alignment horizontal="centerContinuous"/>
    </xf>
    <xf numFmtId="0" fontId="0" fillId="0" borderId="45" xfId="0" applyBorder="1" applyAlignment="1">
      <alignment horizontal="centerContinuous"/>
    </xf>
    <xf numFmtId="10" fontId="0" fillId="10" borderId="0" xfId="136" applyNumberFormat="1" applyFont="1" applyFill="1" applyBorder="1" applyAlignment="1">
      <alignment/>
    </xf>
    <xf numFmtId="164" fontId="0" fillId="0" borderId="60" xfId="0" applyNumberFormat="1" applyFont="1" applyBorder="1" applyAlignment="1">
      <alignment wrapText="1"/>
    </xf>
    <xf numFmtId="164" fontId="0" fillId="0" borderId="26" xfId="0" applyNumberFormat="1" applyFont="1" applyBorder="1" applyAlignment="1">
      <alignment/>
    </xf>
    <xf numFmtId="164" fontId="3" fillId="0" borderId="22" xfId="0" applyNumberFormat="1" applyFont="1" applyBorder="1" applyAlignment="1">
      <alignment/>
    </xf>
    <xf numFmtId="164" fontId="0" fillId="0" borderId="26" xfId="0" applyNumberFormat="1" applyFont="1" applyFill="1" applyBorder="1" applyAlignment="1">
      <alignment/>
    </xf>
    <xf numFmtId="164" fontId="0" fillId="0" borderId="33" xfId="0" applyNumberFormat="1" applyFont="1" applyBorder="1" applyAlignment="1">
      <alignment/>
    </xf>
    <xf numFmtId="0" fontId="0" fillId="0" borderId="26" xfId="0" applyFont="1" applyBorder="1" applyAlignment="1">
      <alignment/>
    </xf>
    <xf numFmtId="164" fontId="0" fillId="10" borderId="26" xfId="0" applyNumberFormat="1" applyFont="1" applyFill="1" applyBorder="1" applyAlignment="1">
      <alignment/>
    </xf>
    <xf numFmtId="0" fontId="3" fillId="0" borderId="2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164" fontId="3" fillId="0" borderId="60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164" fontId="0" fillId="0" borderId="58" xfId="0" applyNumberFormat="1" applyBorder="1" applyAlignment="1">
      <alignment/>
    </xf>
    <xf numFmtId="0" fontId="0" fillId="0" borderId="61" xfId="0" applyBorder="1" applyAlignment="1">
      <alignment/>
    </xf>
    <xf numFmtId="0" fontId="3" fillId="23" borderId="33" xfId="0" applyFont="1" applyFill="1" applyBorder="1" applyAlignment="1">
      <alignment/>
    </xf>
    <xf numFmtId="0" fontId="3" fillId="23" borderId="43" xfId="0" applyFont="1" applyFill="1" applyBorder="1" applyAlignment="1">
      <alignment/>
    </xf>
    <xf numFmtId="164" fontId="3" fillId="23" borderId="22" xfId="0" applyNumberFormat="1" applyFont="1" applyFill="1" applyBorder="1" applyAlignment="1">
      <alignment/>
    </xf>
    <xf numFmtId="164" fontId="3" fillId="23" borderId="0" xfId="0" applyNumberFormat="1" applyFont="1" applyFill="1" applyBorder="1" applyAlignment="1">
      <alignment/>
    </xf>
    <xf numFmtId="0" fontId="0" fillId="23" borderId="33" xfId="0" applyFill="1" applyBorder="1" applyAlignment="1">
      <alignment/>
    </xf>
    <xf numFmtId="0" fontId="0" fillId="23" borderId="43" xfId="0" applyFill="1" applyBorder="1" applyAlignment="1">
      <alignment/>
    </xf>
    <xf numFmtId="164" fontId="0" fillId="23" borderId="43" xfId="0" applyNumberFormat="1" applyFill="1" applyBorder="1" applyAlignment="1">
      <alignment/>
    </xf>
    <xf numFmtId="173" fontId="0" fillId="0" borderId="22" xfId="69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26" xfId="0" applyNumberFormat="1" applyFill="1" applyBorder="1" applyAlignment="1">
      <alignment/>
    </xf>
    <xf numFmtId="4" fontId="39" fillId="10" borderId="26" xfId="0" applyNumberFormat="1" applyFont="1" applyFill="1" applyBorder="1" applyAlignment="1">
      <alignment/>
    </xf>
    <xf numFmtId="164" fontId="39" fillId="0" borderId="26" xfId="0" applyNumberFormat="1" applyFont="1" applyFill="1" applyBorder="1" applyAlignment="1">
      <alignment/>
    </xf>
    <xf numFmtId="4" fontId="0" fillId="10" borderId="26" xfId="0" applyNumberFormat="1" applyFont="1" applyFill="1" applyBorder="1" applyAlignment="1">
      <alignment/>
    </xf>
    <xf numFmtId="164" fontId="3" fillId="23" borderId="62" xfId="0" applyNumberFormat="1" applyFont="1" applyFill="1" applyBorder="1" applyAlignment="1">
      <alignment horizontal="center"/>
    </xf>
    <xf numFmtId="164" fontId="3" fillId="23" borderId="63" xfId="0" applyNumberFormat="1" applyFont="1" applyFill="1" applyBorder="1" applyAlignment="1">
      <alignment horizontal="center"/>
    </xf>
    <xf numFmtId="164" fontId="3" fillId="23" borderId="64" xfId="0" applyNumberFormat="1" applyFont="1" applyFill="1" applyBorder="1" applyAlignment="1">
      <alignment horizontal="center"/>
    </xf>
  </cellXfs>
  <cellStyles count="130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3" xfId="72"/>
    <cellStyle name="Currency" xfId="73"/>
    <cellStyle name="Currency [0]" xfId="74"/>
    <cellStyle name="Currency 2" xfId="75"/>
    <cellStyle name="Currency 2 2" xfId="76"/>
    <cellStyle name="Explanatory Text" xfId="77"/>
    <cellStyle name="Explanatory Text 2" xfId="78"/>
    <cellStyle name="Good" xfId="79"/>
    <cellStyle name="Good 2" xfId="80"/>
    <cellStyle name="Heading 1" xfId="81"/>
    <cellStyle name="Heading 1 2" xfId="82"/>
    <cellStyle name="Heading 2" xfId="83"/>
    <cellStyle name="Heading 2 2" xfId="84"/>
    <cellStyle name="Heading 3" xfId="85"/>
    <cellStyle name="Heading 3 2" xfId="86"/>
    <cellStyle name="Heading 4" xfId="87"/>
    <cellStyle name="Heading 4 2" xfId="88"/>
    <cellStyle name="Hyperlink 2" xfId="89"/>
    <cellStyle name="Hyperlink 2 2" xfId="90"/>
    <cellStyle name="Input" xfId="91"/>
    <cellStyle name="Input 2" xfId="92"/>
    <cellStyle name="Linked Cell" xfId="93"/>
    <cellStyle name="Linked Cell 2" xfId="94"/>
    <cellStyle name="Neutral" xfId="95"/>
    <cellStyle name="Neutral 2" xfId="96"/>
    <cellStyle name="Normal 10" xfId="97"/>
    <cellStyle name="Normal 10 2" xfId="98"/>
    <cellStyle name="Normal 13" xfId="99"/>
    <cellStyle name="Normal 13 2" xfId="100"/>
    <cellStyle name="Normal 14" xfId="101"/>
    <cellStyle name="Normal 14 2" xfId="102"/>
    <cellStyle name="Normal 15" xfId="103"/>
    <cellStyle name="Normal 15 2" xfId="104"/>
    <cellStyle name="Normal 2" xfId="105"/>
    <cellStyle name="Normal 2 2" xfId="106"/>
    <cellStyle name="Normal 20 2" xfId="107"/>
    <cellStyle name="Normal 21" xfId="108"/>
    <cellStyle name="Normal 22" xfId="109"/>
    <cellStyle name="Normal 22 2" xfId="110"/>
    <cellStyle name="Normal 23" xfId="111"/>
    <cellStyle name="Normal 24" xfId="112"/>
    <cellStyle name="Normal 25" xfId="113"/>
    <cellStyle name="Normal 25 2" xfId="114"/>
    <cellStyle name="Normal 26" xfId="115"/>
    <cellStyle name="Normal 26 2" xfId="116"/>
    <cellStyle name="Normal 27" xfId="117"/>
    <cellStyle name="Normal 27 2" xfId="118"/>
    <cellStyle name="Normal 28" xfId="119"/>
    <cellStyle name="Normal 28 2" xfId="120"/>
    <cellStyle name="Normal 29" xfId="121"/>
    <cellStyle name="Normal 29 2" xfId="122"/>
    <cellStyle name="Normal 3" xfId="123"/>
    <cellStyle name="Normal 3 2" xfId="124"/>
    <cellStyle name="Normal 30" xfId="125"/>
    <cellStyle name="Normal 30 2" xfId="126"/>
    <cellStyle name="Normal 4 2" xfId="127"/>
    <cellStyle name="Normal 5 2" xfId="128"/>
    <cellStyle name="Normal 6 2" xfId="129"/>
    <cellStyle name="Normal 7 2" xfId="130"/>
    <cellStyle name="Normal 8 2" xfId="131"/>
    <cellStyle name="Note" xfId="132"/>
    <cellStyle name="Note 2" xfId="133"/>
    <cellStyle name="Output" xfId="134"/>
    <cellStyle name="Output 2" xfId="135"/>
    <cellStyle name="Percent" xfId="136"/>
    <cellStyle name="Percent 2" xfId="137"/>
    <cellStyle name="Title" xfId="138"/>
    <cellStyle name="Title 2" xfId="139"/>
    <cellStyle name="Total" xfId="140"/>
    <cellStyle name="Total 2" xfId="141"/>
    <cellStyle name="Warning Text" xfId="142"/>
    <cellStyle name="Warning Text 2" xfId="1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Bacon\My%20Documents\Atikokan\2012%20Rate%20Application\Filed%20Application\Atikokan_CoS%202012_%20Load%20Forecat_2011093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Bacon\My%20Documents\Atikokan\Cost%20Allocation\EDR%202006%20Model_version%202.2_open_kcr_Apr_06_Decis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02\Atikokan%20FINAL%202002%20RAM%20for%20Approved%20Rate%20Schedul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4\Atikokan%20FINAL%202004%20RAM%20for%20Approved%20Rate%20Schedul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05\Atikokan%20FINAL%202005%20RAM%20for%20Approved%20Rate%20Schedule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tikokan%20PILS%20Continuity%20Schedule%20200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1"/>
      <sheetName val="Exibit 3 Tables"/>
      <sheetName val="Summary"/>
      <sheetName val="Purchased Power Model "/>
      <sheetName val="Rate Class Energy Model"/>
      <sheetName val="Rate Class Customer Model"/>
      <sheetName val="Rate Class Load Model"/>
      <sheetName val="Weather Analysis"/>
      <sheetName val="Data Input"/>
      <sheetName val="Intermediate"/>
    </sheetNames>
    <sheetDataSet>
      <sheetData sheetId="2">
        <row r="12">
          <cell r="B12">
            <v>1502</v>
          </cell>
          <cell r="C12">
            <v>1481.5</v>
          </cell>
        </row>
        <row r="13">
          <cell r="B13">
            <v>11188981.307929177</v>
          </cell>
          <cell r="C13">
            <v>10849290</v>
          </cell>
          <cell r="D13">
            <v>11133051</v>
          </cell>
          <cell r="E13">
            <v>10762942</v>
          </cell>
        </row>
        <row r="16">
          <cell r="B16">
            <v>270</v>
          </cell>
          <cell r="C16">
            <v>254.5</v>
          </cell>
        </row>
        <row r="17">
          <cell r="B17">
            <v>6166388.462663588</v>
          </cell>
          <cell r="C17">
            <v>5632822</v>
          </cell>
          <cell r="D17">
            <v>5675887</v>
          </cell>
          <cell r="E17">
            <v>5496538</v>
          </cell>
        </row>
        <row r="20">
          <cell r="B20">
            <v>21.5</v>
          </cell>
          <cell r="C20">
            <v>21</v>
          </cell>
        </row>
        <row r="22">
          <cell r="B22">
            <v>20708.1</v>
          </cell>
          <cell r="C22">
            <v>16243.6</v>
          </cell>
          <cell r="D22">
            <v>20152.6</v>
          </cell>
          <cell r="E22">
            <v>18816.9</v>
          </cell>
        </row>
        <row r="35">
          <cell r="B35">
            <v>621.5</v>
          </cell>
          <cell r="C35">
            <v>617.5</v>
          </cell>
        </row>
        <row r="37">
          <cell r="B37">
            <v>1601.2</v>
          </cell>
          <cell r="C37">
            <v>1562.5754</v>
          </cell>
          <cell r="D37">
            <v>1511.5</v>
          </cell>
          <cell r="E37">
            <v>1462.4</v>
          </cell>
        </row>
      </sheetData>
      <sheetData sheetId="8">
        <row r="118">
          <cell r="R118">
            <v>33896.3</v>
          </cell>
        </row>
        <row r="130">
          <cell r="R130">
            <v>33997.3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MODEL OVERVIEW"/>
      <sheetName val="1-1 GENERAL (Input)"/>
      <sheetName val="2-1 TRIAL BALANCE DATA (Input)"/>
      <sheetName val="2-2 UNADJUSTED ACCOUNTING DATA"/>
      <sheetName val="ADJ 1 (Rate Base -Tier 1)"/>
      <sheetName val="ADJ 1a (Rate Base -Tier 1)"/>
      <sheetName val="ADJ 2 (Rate Base -Tier 2)"/>
      <sheetName val="ADJ 3 (Distrib Exp -Tier 1)"/>
      <sheetName val="ADJ 3a (Distrib Exp -Tier 1)"/>
      <sheetName val="ADJ 3b (Tier 1 Amortization)"/>
      <sheetName val="ADJ 4 (Distrib Exp -Tier 2)"/>
      <sheetName val="ADJ 5 (Specific Distrib Exp)"/>
      <sheetName val="ADJ 6 (Revenue -Tier 1)"/>
      <sheetName val="2-4 ADJUSTED ACCOUNTING DATA"/>
      <sheetName val="2-5 Capital Expnditures Sch 4-1"/>
      <sheetName val="2-6 OTH (Employee Compensation"/>
      <sheetName val="3-1 RATE BASE"/>
      <sheetName val="3-2 COST OF CAPITAL (Input)"/>
      <sheetName val="3-3  CAPITAL STRUCTURE (Input)"/>
      <sheetName val="3-4 WEIGHTED DEBT COST (Input)"/>
      <sheetName val="4-1 DATA for PILS MODEL"/>
      <sheetName val="4-2 OUTPUT from PILS MODEL"/>
      <sheetName val="5-1 SERVICE REVENUE REQUIREMENT"/>
      <sheetName val="5-2 SPECIFIC SERV CHRGS (Input)"/>
      <sheetName val="5-3 OTHER REGULTD CHRGS (Input)"/>
      <sheetName val="5-4 CDM (Input)"/>
      <sheetName val="5-5 BASE REVENUE REQUIREMENT"/>
      <sheetName val="6-1 CUSTOMER CLASSES (Input)"/>
      <sheetName val="6-2 DEMAND, RATES (Input)"/>
      <sheetName val="6-3 Trfmr Ownership (Input)"/>
      <sheetName val="7-1 ALLOCATION - Base Rev. Req."/>
      <sheetName val="7-2 ALLOCATION - LV-Wheeling"/>
      <sheetName val="7-3 ALLOCATION - CDM (Input)"/>
      <sheetName val="8-1 RATES - BASE REV. REQ."/>
      <sheetName val="8-2 RATES - LV-Wheeling"/>
      <sheetName val="8-3 RATES - CDM"/>
      <sheetName val="8-4 RATE RIDERS -Reg. Assets"/>
      <sheetName val="8-5 DISTRIBUTION RATES"/>
      <sheetName val="8-6 RETAIL TRANSM RATES (Input)"/>
      <sheetName val="8-7 OTHER CHGS, COMMOD (Input)"/>
      <sheetName val="9-1 BILL IMPACTS"/>
      <sheetName val="9-2 BILL IMPACTS %"/>
      <sheetName val="9-1ALT BILL IMPACTS"/>
      <sheetName val="9-2ALT BILL IMPACTS %"/>
      <sheetName val="10-1 RATES SCHEDULE (Part 1)"/>
      <sheetName val="10-2 RATES SCHEDULE (Part 2)"/>
      <sheetName val="10-3 RATES SCHEDULE (Part 3)"/>
      <sheetName val="10-4 DISTR. RATES - RECONCILED"/>
      <sheetName val="HB Appendix A.1"/>
      <sheetName val="HB Appendix A.2"/>
      <sheetName val="HB Appendix A.3"/>
      <sheetName val="HB Appendix A.4"/>
      <sheetName val="Navigation Macro Values"/>
      <sheetName val="Filters"/>
    </sheetNames>
    <sheetDataSet>
      <sheetData sheetId="29">
        <row r="16">
          <cell r="H16">
            <v>1516</v>
          </cell>
          <cell r="L16">
            <v>11354867</v>
          </cell>
        </row>
        <row r="54">
          <cell r="H54">
            <v>279</v>
          </cell>
          <cell r="L54">
            <v>8590301</v>
          </cell>
        </row>
        <row r="66">
          <cell r="H66">
            <v>22</v>
          </cell>
          <cell r="P66">
            <v>12660</v>
          </cell>
        </row>
        <row r="86">
          <cell r="P86">
            <v>45234</v>
          </cell>
          <cell r="Q86">
            <v>36500</v>
          </cell>
          <cell r="R86">
            <v>24295</v>
          </cell>
        </row>
        <row r="103">
          <cell r="H103">
            <v>626</v>
          </cell>
          <cell r="P103">
            <v>1504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2001 Approved Rate Schedule"/>
      <sheetName val="2. PBR Adjusted Rate Schedule"/>
      <sheetName val="3. 1999 Data &amp; add 2002 MARR"/>
      <sheetName val="4. 2002MARR Base Rate Schedule"/>
      <sheetName val="5. Bill Impact 1"/>
      <sheetName val="6. 2001PILs DefAcct Adder Calc"/>
      <sheetName val="7. 2001 PILs DefAcct Adder Sch"/>
      <sheetName val="8. 2002PILs Proxy Adder Calc"/>
      <sheetName val="9. 2002PILs Proxy Adder Sch"/>
      <sheetName val="10. Bill Impact 2"/>
      <sheetName val="11. Z-Factor Adder Calc"/>
      <sheetName val="12. Z-Factor Adder Sch"/>
      <sheetName val="13. Transition Cost Adder Calc"/>
      <sheetName val="14. Transition Cost Adder Sch"/>
      <sheetName val="15. Bill Impact 3 (Final)"/>
      <sheetName val="16. Final 2002 Rate Schedule "/>
    </sheetNames>
    <sheetDataSet>
      <sheetData sheetId="5">
        <row r="54">
          <cell r="B54">
            <v>6.7318236418576E-05</v>
          </cell>
        </row>
        <row r="58">
          <cell r="C58">
            <v>0.2334631907874097</v>
          </cell>
        </row>
        <row r="78">
          <cell r="B78">
            <v>4.957181252495116E-05</v>
          </cell>
        </row>
        <row r="82">
          <cell r="C82">
            <v>0.4593959768840128</v>
          </cell>
        </row>
        <row r="102">
          <cell r="B102">
            <v>0.0014104393614148571</v>
          </cell>
        </row>
        <row r="106">
          <cell r="C106">
            <v>0.653445326530753</v>
          </cell>
        </row>
        <row r="151">
          <cell r="B151">
            <v>0.0011267227637440235</v>
          </cell>
        </row>
        <row r="155">
          <cell r="C155">
            <v>20.8190647206934</v>
          </cell>
        </row>
        <row r="201">
          <cell r="B201">
            <v>0.23390073305976586</v>
          </cell>
        </row>
        <row r="205">
          <cell r="C205">
            <v>0.0071358684847055084</v>
          </cell>
        </row>
        <row r="226">
          <cell r="B226">
            <v>0.014345483772545306</v>
          </cell>
        </row>
        <row r="230">
          <cell r="C230">
            <v>0.017030225858714457</v>
          </cell>
        </row>
      </sheetData>
      <sheetData sheetId="7">
        <row r="54">
          <cell r="B54">
            <v>0.0002875510583795042</v>
          </cell>
        </row>
        <row r="58">
          <cell r="C58">
            <v>0.9972422210551405</v>
          </cell>
        </row>
        <row r="78">
          <cell r="B78">
            <v>0.00021174688933779995</v>
          </cell>
        </row>
        <row r="82">
          <cell r="C82">
            <v>1.9623181829497855</v>
          </cell>
        </row>
        <row r="102">
          <cell r="B102">
            <v>0.006024717115777546</v>
          </cell>
        </row>
        <row r="106">
          <cell r="C106">
            <v>2.7912034722467767</v>
          </cell>
        </row>
        <row r="151">
          <cell r="B151">
            <v>0.004812816562815825</v>
          </cell>
        </row>
        <row r="155">
          <cell r="C155">
            <v>88.92900963244544</v>
          </cell>
        </row>
        <row r="201">
          <cell r="B201">
            <v>0.9991111907459014</v>
          </cell>
        </row>
        <row r="205">
          <cell r="C205">
            <v>0.030480990655717823</v>
          </cell>
        </row>
        <row r="226">
          <cell r="B226">
            <v>0.06127699210823539</v>
          </cell>
        </row>
        <row r="230">
          <cell r="C230">
            <v>0.0727449162462615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 Dec. 31, 2002 Reg. Assets"/>
      <sheetName val="2. 2002 Base Rate Schedule"/>
      <sheetName val="3. 2002 Data &amp; add 4 RSVAs"/>
      <sheetName val="4. 2004 Rate Sch. with 4 RSVAs"/>
      <sheetName val="5. 2002 Data &amp; Int. Reg. Assets"/>
      <sheetName val="6. 2004 Rate Sch. with Interims"/>
      <sheetName val="7. 2002 Data &amp; 2004 PILs"/>
      <sheetName val="8. 2004 Rate Sch. with PILs"/>
      <sheetName val="9. Service Charge Adj."/>
      <sheetName val="10. 2004 Rate Schedule "/>
      <sheetName val="11.Bill Impact (no commod. in.)"/>
      <sheetName val="12. Bill Impact (commod. inc.) "/>
    </sheetNames>
    <sheetDataSet>
      <sheetData sheetId="6">
        <row r="48">
          <cell r="B48">
            <v>0.0019016505151131212</v>
          </cell>
        </row>
        <row r="66">
          <cell r="B66">
            <v>0.0009815883589429954</v>
          </cell>
        </row>
        <row r="84">
          <cell r="B84">
            <v>0.06428070666355268</v>
          </cell>
        </row>
        <row r="120">
          <cell r="B120">
            <v>0.028078706040085607</v>
          </cell>
        </row>
        <row r="174">
          <cell r="B174">
            <v>0.42894353255132145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 Sheet"/>
      <sheetName val="1. 2002 Base Rate Schedule"/>
      <sheetName val="2. Adding Final 3rd MARR"/>
      <sheetName val="3. 2005 Base Rate Schedule"/>
      <sheetName val="4. 2003 Data &amp; 2005 PILs"/>
      <sheetName val="5. 2005 Rate Sch. with PILs"/>
      <sheetName val="6. Dec. 31, 2003 Reg. Assets"/>
      <sheetName val="7. 2003 Data &amp; add RSVA"/>
      <sheetName val="8. 2003 Data &amp; Non-RSVA"/>
      <sheetName val="9. 2005 Rate Sch. Reg. Assets"/>
      <sheetName val="10. Rate Rider Calculations"/>
      <sheetName val="11. 2005 Final Rate Schedule "/>
      <sheetName val="12. Current Rates"/>
      <sheetName val="13. Bill Impact"/>
    </sheetNames>
    <sheetDataSet>
      <sheetData sheetId="4">
        <row r="50">
          <cell r="B50">
            <v>0.002329481360755558</v>
          </cell>
        </row>
        <row r="67">
          <cell r="B67">
            <v>0.001457538659447489</v>
          </cell>
        </row>
        <row r="84">
          <cell r="B84">
            <v>0.09368956433936645</v>
          </cell>
        </row>
        <row r="118">
          <cell r="B118">
            <v>0.0468565519128949</v>
          </cell>
        </row>
        <row r="169">
          <cell r="B169">
            <v>0.618238873859083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37 PILs 1562 Calculation "/>
    </sheetNames>
    <sheetDataSet>
      <sheetData sheetId="0">
        <row r="12">
          <cell r="C12">
            <v>7668</v>
          </cell>
          <cell r="E12">
            <v>32754</v>
          </cell>
          <cell r="G12">
            <v>40422</v>
          </cell>
          <cell r="M12">
            <v>13455.333333333334</v>
          </cell>
        </row>
        <row r="13">
          <cell r="E13">
            <v>79.97756097560976</v>
          </cell>
          <cell r="G13">
            <v>282.369756097561</v>
          </cell>
          <cell r="I13">
            <v>645.0419393939395</v>
          </cell>
          <cell r="K13">
            <v>378.04242424242426</v>
          </cell>
          <cell r="M13">
            <v>46.71927272727273</v>
          </cell>
        </row>
        <row r="14">
          <cell r="I14">
            <v>-844.830548300542</v>
          </cell>
          <cell r="K14">
            <v>-839.7103631593267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0"/>
  <sheetViews>
    <sheetView showGridLines="0" zoomScale="85" zoomScaleNormal="85" zoomScalePageLayoutView="0" workbookViewId="0" topLeftCell="A14">
      <selection activeCell="K43" sqref="K43"/>
    </sheetView>
  </sheetViews>
  <sheetFormatPr defaultColWidth="9.140625" defaultRowHeight="15"/>
  <cols>
    <col min="1" max="1" width="34.421875" style="0" customWidth="1"/>
    <col min="2" max="3" width="12.57421875" style="0" bestFit="1" customWidth="1"/>
    <col min="4" max="4" width="12.140625" style="0" customWidth="1"/>
    <col min="5" max="6" width="11.57421875" style="0" bestFit="1" customWidth="1"/>
    <col min="7" max="7" width="13.421875" style="0" customWidth="1"/>
    <col min="12" max="12" width="62.7109375" style="0" bestFit="1" customWidth="1"/>
  </cols>
  <sheetData>
    <row r="1" ht="15.75" thickBot="1"/>
    <row r="2" spans="2:6" ht="15.75" thickBot="1">
      <c r="B2" s="169" t="s">
        <v>99</v>
      </c>
      <c r="C2" s="170"/>
      <c r="D2" s="170"/>
      <c r="E2" s="170"/>
      <c r="F2" s="172"/>
    </row>
    <row r="3" spans="1:6" ht="15.75" thickBot="1">
      <c r="A3" s="133" t="s">
        <v>24</v>
      </c>
      <c r="B3" s="163" t="s">
        <v>92</v>
      </c>
      <c r="C3" s="163" t="s">
        <v>93</v>
      </c>
      <c r="D3" s="163" t="s">
        <v>94</v>
      </c>
      <c r="E3" s="163" t="s">
        <v>95</v>
      </c>
      <c r="F3" s="163" t="s">
        <v>51</v>
      </c>
    </row>
    <row r="4" spans="1:6" ht="15">
      <c r="A4" s="24" t="s">
        <v>0</v>
      </c>
      <c r="B4" s="25">
        <f>'2002  PILS Recoveries'!J14+'2003 PILS Recoveries'!J17+'2004 PILS Recoveries'!J16</f>
        <v>10357.67228181891</v>
      </c>
      <c r="C4" s="25">
        <f>'2002  PILS Recoveries'!M14+'2003 PILS Recoveries'!M17+'2004 PILS Recoveries'!M16</f>
        <v>44242.98355747217</v>
      </c>
      <c r="D4" s="25">
        <f>'2004 PILS Recoveries'!O16+'2005 PILS Recoveries'!O16</f>
        <v>20766.461480066384</v>
      </c>
      <c r="E4" s="25">
        <f>'2005 PILS Recoveries'!Q16+'2006  PILS Recoveries'!Q16</f>
        <v>27808.033686595154</v>
      </c>
      <c r="F4" s="25">
        <f aca="true" t="shared" si="0" ref="F4:F10">SUM(B4:E4)</f>
        <v>103175.15100595262</v>
      </c>
    </row>
    <row r="5" spans="1:6" ht="15">
      <c r="A5" s="24" t="s">
        <v>1</v>
      </c>
      <c r="B5" s="25">
        <f>'2002  PILS Recoveries'!J27+'2003 PILS Recoveries'!J32+'2004 PILS Recoveries'!J31</f>
        <v>3851.256913085411</v>
      </c>
      <c r="C5" s="25">
        <f>'2002  PILS Recoveries'!M27+'2003 PILS Recoveries'!M32+'2004 PILS Recoveries'!M31</f>
        <v>16450.71321481475</v>
      </c>
      <c r="D5" s="25">
        <f>'2004 PILS Recoveries'!O31+'2005 PILS Recoveries'!O31</f>
        <v>5539.680528867471</v>
      </c>
      <c r="E5" s="25">
        <f>'2005 PILS Recoveries'!Q31+'2006  PILS Recoveries'!Q31</f>
        <v>8875.090756240634</v>
      </c>
      <c r="F5" s="25">
        <f t="shared" si="0"/>
        <v>34716.74141300827</v>
      </c>
    </row>
    <row r="6" spans="1:6" ht="15">
      <c r="A6" s="24" t="s">
        <v>8</v>
      </c>
      <c r="B6" s="25">
        <f>'2002  PILS Recoveries'!J40+'2003 PILS Recoveries'!J47+'2004 PILS Recoveries'!J46</f>
        <v>0</v>
      </c>
      <c r="C6" s="25">
        <f>'2002  PILS Recoveries'!M40+'2003 PILS Recoveries'!M47+'2004 PILS Recoveries'!M46</f>
        <v>0</v>
      </c>
      <c r="D6" s="25">
        <f>'2004 PILS Recoveries'!O46+'2005 PILS Recoveries'!O46</f>
        <v>0</v>
      </c>
      <c r="E6" s="25">
        <f>'2005 PILS Recoveries'!Q46+'2006  PILS Recoveries'!Q46</f>
        <v>0</v>
      </c>
      <c r="F6" s="25">
        <f t="shared" si="0"/>
        <v>0</v>
      </c>
    </row>
    <row r="7" spans="1:6" ht="15">
      <c r="A7" s="24" t="s">
        <v>2</v>
      </c>
      <c r="B7" s="25">
        <f>'2002  PILS Recoveries'!J53+'2003 PILS Recoveries'!J62+'2004 PILS Recoveries'!J61</f>
        <v>403.3292294589488</v>
      </c>
      <c r="C7" s="25">
        <f>'2002  PILS Recoveries'!M53+'2003 PILS Recoveries'!M62+'2004 PILS Recoveries'!M61</f>
        <v>1722.828062297653</v>
      </c>
      <c r="D7" s="25">
        <f>'2004 PILS Recoveries'!O61+'2005 PILS Recoveries'!O61</f>
        <v>1106.9684073470412</v>
      </c>
      <c r="E7" s="25">
        <f>'2005 PILS Recoveries'!Q61+'2006  PILS Recoveries'!Q61</f>
        <v>2003.715290134946</v>
      </c>
      <c r="F7" s="25">
        <f t="shared" si="0"/>
        <v>5236.840989238589</v>
      </c>
    </row>
    <row r="8" spans="1:6" ht="15">
      <c r="A8" s="24" t="s">
        <v>3</v>
      </c>
      <c r="B8" s="25">
        <f>'2002  PILS Recoveries'!J66+'2003 PILS Recoveries'!J77+'2004 PILS Recoveries'!J76</f>
        <v>610.9172458596131</v>
      </c>
      <c r="C8" s="25">
        <f>'2002  PILS Recoveries'!M66+'2003 PILS Recoveries'!M77+'2004 PILS Recoveries'!M76</f>
        <v>2609.544010287659</v>
      </c>
      <c r="D8" s="25">
        <f>'2004 PILS Recoveries'!O76+'2005 PILS Recoveries'!O76</f>
        <v>749.5701833195484</v>
      </c>
      <c r="E8" s="25">
        <f>'2005 PILS Recoveries'!Q76+'2006  PILS Recoveries'!Q76</f>
        <v>1722.196556236549</v>
      </c>
      <c r="F8" s="25">
        <f t="shared" si="0"/>
        <v>5692.22799570337</v>
      </c>
    </row>
    <row r="9" spans="1:6" ht="15">
      <c r="A9" s="24" t="s">
        <v>4</v>
      </c>
      <c r="B9" s="25">
        <f>'2002  PILS Recoveries'!J79+'2003 PILS Recoveries'!J92+'2004 PILS Recoveries'!J91</f>
        <v>9.311334914799595</v>
      </c>
      <c r="C9" s="25">
        <f>'2002  PILS Recoveries'!M79+'2003 PILS Recoveries'!M92+'2004 PILS Recoveries'!M91</f>
        <v>39.77353466345149</v>
      </c>
      <c r="D9" s="25">
        <f>'2004 PILS Recoveries'!O91+'2005 PILS Recoveries'!O91</f>
        <v>0</v>
      </c>
      <c r="E9" s="25">
        <f>'2005 PILS Recoveries'!Q91+'2006  PILS Recoveries'!Q91</f>
        <v>0</v>
      </c>
      <c r="F9" s="25">
        <f t="shared" si="0"/>
        <v>49.08486957825109</v>
      </c>
    </row>
    <row r="10" spans="1:6" ht="15.75" thickBot="1">
      <c r="A10" s="24" t="s">
        <v>5</v>
      </c>
      <c r="B10" s="25">
        <f>'2002  PILS Recoveries'!J92+'2003 PILS Recoveries'!J107+'2004 PILS Recoveries'!J106</f>
        <v>311.72276835565606</v>
      </c>
      <c r="C10" s="25">
        <f>'2002  PILS Recoveries'!M92+'2003 PILS Recoveries'!M107+'2004 PILS Recoveries'!M106</f>
        <v>1331.529415065357</v>
      </c>
      <c r="D10" s="25">
        <f>'2004 PILS Recoveries'!O106+'2005 PILS Recoveries'!O106</f>
        <v>664.7794963281763</v>
      </c>
      <c r="E10" s="25">
        <f>'2005 PILS Recoveries'!Q106+'2006  PILS Recoveries'!Q106</f>
        <v>1002.2218864223439</v>
      </c>
      <c r="F10" s="25">
        <f t="shared" si="0"/>
        <v>3310.253566171533</v>
      </c>
    </row>
    <row r="11" spans="1:6" ht="15.75" thickBot="1">
      <c r="A11" s="132" t="s">
        <v>29</v>
      </c>
      <c r="B11" s="134">
        <f>SUM(B4:B10)</f>
        <v>15544.209773493338</v>
      </c>
      <c r="C11" s="134">
        <f>SUM(C4:C10)</f>
        <v>66397.37179460104</v>
      </c>
      <c r="D11" s="134">
        <f>SUM(D4:D10)</f>
        <v>28827.460095928625</v>
      </c>
      <c r="E11" s="134">
        <f>SUM(E4:E10)</f>
        <v>41411.258175629635</v>
      </c>
      <c r="F11" s="134">
        <f>SUM(F4:F10)</f>
        <v>152180.29983965264</v>
      </c>
    </row>
    <row r="12" ht="15.75" thickBot="1"/>
    <row r="13" spans="2:6" ht="15.75" thickBot="1">
      <c r="B13" s="169" t="s">
        <v>98</v>
      </c>
      <c r="C13" s="170"/>
      <c r="D13" s="170"/>
      <c r="E13" s="170"/>
      <c r="F13" s="172"/>
    </row>
    <row r="14" spans="1:6" ht="15">
      <c r="A14" s="137" t="s">
        <v>31</v>
      </c>
      <c r="B14" s="138">
        <v>2002</v>
      </c>
      <c r="C14" s="138">
        <v>2003</v>
      </c>
      <c r="D14" s="138">
        <v>2004</v>
      </c>
      <c r="E14" s="138">
        <v>2005</v>
      </c>
      <c r="F14" s="139">
        <v>2006</v>
      </c>
    </row>
    <row r="15" spans="1:6" ht="15">
      <c r="A15" s="26" t="s">
        <v>39</v>
      </c>
      <c r="B15" s="135">
        <v>0</v>
      </c>
      <c r="C15" s="135">
        <f>'2003 PILS Recoveries'!R4+'2003 PILS Recoveries'!R19+'2003 PILS Recoveries'!R34+'2003 PILS Recoveries'!R49+'2003 PILS Recoveries'!R64+'2003 PILS Recoveries'!R79+'2003 PILS Recoveries'!R94</f>
        <v>3250.1045535494895</v>
      </c>
      <c r="D15" s="135">
        <f>'2004 PILS Recoveries'!R3+'2004 PILS Recoveries'!R18+'2004 PILS Recoveries'!R33+'2004 PILS Recoveries'!R48+'2004 PILS Recoveries'!R63+'2004 PILS Recoveries'!R78+'2004 PILS Recoveries'!R93</f>
        <v>3154.541753850684</v>
      </c>
      <c r="E15" s="135">
        <f>'2005 PILS Recoveries'!R3+'2005 PILS Recoveries'!R18+'2005 PILS Recoveries'!R33+'2005 PILS Recoveries'!R48+'2005 PILS Recoveries'!R63+'2005 PILS Recoveries'!R78+'2005 PILS Recoveries'!R93</f>
        <v>2469.841044742693</v>
      </c>
      <c r="F15" s="140">
        <f>'2006  PILS Recoveries'!R3+'2006  PILS Recoveries'!R18+'2006  PILS Recoveries'!R33+'2006  PILS Recoveries'!R48+'2006  PILS Recoveries'!R63+'2006  PILS Recoveries'!R78+'2006  PILS Recoveries'!R93</f>
        <v>3111.962112392712</v>
      </c>
    </row>
    <row r="16" spans="1:6" ht="15">
      <c r="A16" s="26" t="s">
        <v>40</v>
      </c>
      <c r="B16" s="135">
        <v>0</v>
      </c>
      <c r="C16" s="135">
        <f>'2003 PILS Recoveries'!R5+'2003 PILS Recoveries'!R20+'2003 PILS Recoveries'!R35+'2003 PILS Recoveries'!R50+'2003 PILS Recoveries'!R65+'2003 PILS Recoveries'!R80+'2003 PILS Recoveries'!R95</f>
        <v>3250.1045535494895</v>
      </c>
      <c r="D16" s="135">
        <f>'2004 PILS Recoveries'!R4+'2004 PILS Recoveries'!R19+'2004 PILS Recoveries'!R34+'2004 PILS Recoveries'!R49+'2004 PILS Recoveries'!R64+'2004 PILS Recoveries'!R79+'2004 PILS Recoveries'!R94</f>
        <v>3154.541753850684</v>
      </c>
      <c r="E16" s="135">
        <f>'2005 PILS Recoveries'!R4+'2005 PILS Recoveries'!R19+'2005 PILS Recoveries'!R34+'2005 PILS Recoveries'!R49+'2005 PILS Recoveries'!R64+'2005 PILS Recoveries'!R79+'2005 PILS Recoveries'!R94</f>
        <v>2469.841044742693</v>
      </c>
      <c r="F16" s="140">
        <f>'2006  PILS Recoveries'!R4+'2006  PILS Recoveries'!R19+'2006  PILS Recoveries'!R34+'2006  PILS Recoveries'!R49+'2006  PILS Recoveries'!R64+'2006  PILS Recoveries'!R79+'2006  PILS Recoveries'!R94</f>
        <v>3111.962112392712</v>
      </c>
    </row>
    <row r="17" spans="1:6" ht="15">
      <c r="A17" s="26" t="s">
        <v>41</v>
      </c>
      <c r="B17" s="135">
        <f>'2002  PILS Recoveries'!R3+'2002  PILS Recoveries'!R16+'2002  PILS Recoveries'!R29+'2002  PILS Recoveries'!R42+'2002  PILS Recoveries'!R55+'2002  PILS Recoveries'!R68+'2002  PILS Recoveries'!R81</f>
        <v>3347.670166394845</v>
      </c>
      <c r="C17" s="135">
        <f>'2003 PILS Recoveries'!R6+'2003 PILS Recoveries'!R21+'2003 PILS Recoveries'!R36+'2003 PILS Recoveries'!R51+'2003 PILS Recoveries'!R66+'2003 PILS Recoveries'!R81+'2003 PILS Recoveries'!R96</f>
        <v>3250.1045535494895</v>
      </c>
      <c r="D17" s="135">
        <f>'2004 PILS Recoveries'!R5+'2004 PILS Recoveries'!R20+'2004 PILS Recoveries'!R35+'2004 PILS Recoveries'!R50+'2004 PILS Recoveries'!R65+'2004 PILS Recoveries'!R80+'2004 PILS Recoveries'!R95</f>
        <v>3154.541753850684</v>
      </c>
      <c r="E17" s="135">
        <f>'2005 PILS Recoveries'!R5+'2005 PILS Recoveries'!R20+'2005 PILS Recoveries'!R35+'2005 PILS Recoveries'!R50+'2005 PILS Recoveries'!R65+'2005 PILS Recoveries'!R80+'2005 PILS Recoveries'!R95</f>
        <v>2469.841044742693</v>
      </c>
      <c r="F17" s="140">
        <f>'2006  PILS Recoveries'!R5+'2006  PILS Recoveries'!R20+'2006  PILS Recoveries'!R35+'2006  PILS Recoveries'!R50+'2006  PILS Recoveries'!R65+'2006  PILS Recoveries'!R80+'2006  PILS Recoveries'!R95</f>
        <v>3111.962112392712</v>
      </c>
    </row>
    <row r="18" spans="1:6" ht="15">
      <c r="A18" s="26" t="s">
        <v>42</v>
      </c>
      <c r="B18" s="135">
        <f>'2002  PILS Recoveries'!R4+'2002  PILS Recoveries'!R17+'2002  PILS Recoveries'!R30+'2002  PILS Recoveries'!R43+'2002  PILS Recoveries'!R56+'2002  PILS Recoveries'!R69+'2002  PILS Recoveries'!R82</f>
        <v>3347.670166394845</v>
      </c>
      <c r="C18" s="135">
        <f>'2003 PILS Recoveries'!R7+'2003 PILS Recoveries'!R22+'2003 PILS Recoveries'!R37+'2003 PILS Recoveries'!R52+'2003 PILS Recoveries'!R67+'2003 PILS Recoveries'!R82+'2003 PILS Recoveries'!R97</f>
        <v>3250.1045535494895</v>
      </c>
      <c r="D18" s="135">
        <f>'2004 PILS Recoveries'!R6+'2004 PILS Recoveries'!R21+'2004 PILS Recoveries'!R36+'2004 PILS Recoveries'!R51+'2004 PILS Recoveries'!R66+'2004 PILS Recoveries'!R81+'2004 PILS Recoveries'!R96</f>
        <v>2379.770773522283</v>
      </c>
      <c r="E18" s="135">
        <f>'2005 PILS Recoveries'!R6+'2005 PILS Recoveries'!R21+'2005 PILS Recoveries'!R36+'2005 PILS Recoveries'!R51+'2005 PILS Recoveries'!R66+'2005 PILS Recoveries'!R81+'2005 PILS Recoveries'!R96</f>
        <v>3218.156636228752</v>
      </c>
      <c r="F18" s="140">
        <f>'2006  PILS Recoveries'!R6+'2006  PILS Recoveries'!R21+'2006  PILS Recoveries'!R36+'2006  PILS Recoveries'!R51+'2006  PILS Recoveries'!R66+'2006  PILS Recoveries'!R81+'2006  PILS Recoveries'!R96</f>
        <v>3111.962112392712</v>
      </c>
    </row>
    <row r="19" spans="1:6" ht="15">
      <c r="A19" s="26" t="s">
        <v>35</v>
      </c>
      <c r="B19" s="135">
        <f>'2002  PILS Recoveries'!R5+'2002  PILS Recoveries'!R18+'2002  PILS Recoveries'!R31+'2002  PILS Recoveries'!R44+'2002  PILS Recoveries'!R57+'2002  PILS Recoveries'!R70+'2002  PILS Recoveries'!R83</f>
        <v>3347.670166394845</v>
      </c>
      <c r="C19" s="135">
        <f>'2003 PILS Recoveries'!R8+'2003 PILS Recoveries'!R23+'2003 PILS Recoveries'!R38+'2003 PILS Recoveries'!R53+'2003 PILS Recoveries'!R68+'2003 PILS Recoveries'!R83+'2003 PILS Recoveries'!R98</f>
        <v>3250.1045535494895</v>
      </c>
      <c r="D19" s="135">
        <f>'2004 PILS Recoveries'!R7+'2004 PILS Recoveries'!R22+'2004 PILS Recoveries'!R37+'2004 PILS Recoveries'!R52+'2004 PILS Recoveries'!R67+'2004 PILS Recoveries'!R82+'2004 PILS Recoveries'!R97</f>
        <v>2379.770773522283</v>
      </c>
      <c r="E19" s="135">
        <f>'2005 PILS Recoveries'!R7+'2005 PILS Recoveries'!R22+'2005 PILS Recoveries'!R37+'2005 PILS Recoveries'!R52+'2005 PILS Recoveries'!R67+'2005 PILS Recoveries'!R82+'2005 PILS Recoveries'!R97</f>
        <v>3218.156636228752</v>
      </c>
      <c r="F19" s="140">
        <f>'2006  PILS Recoveries'!R7+'2006  PILS Recoveries'!R22+'2006  PILS Recoveries'!R37+'2006  PILS Recoveries'!R52+'2006  PILS Recoveries'!R67+'2006  PILS Recoveries'!R82+'2006  PILS Recoveries'!R97</f>
        <v>0</v>
      </c>
    </row>
    <row r="20" spans="1:6" ht="15">
      <c r="A20" s="26" t="s">
        <v>43</v>
      </c>
      <c r="B20" s="135">
        <f>'2002  PILS Recoveries'!R6+'2002  PILS Recoveries'!R19+'2002  PILS Recoveries'!R32+'2002  PILS Recoveries'!R45+'2002  PILS Recoveries'!R58+'2002  PILS Recoveries'!R71+'2002  PILS Recoveries'!R84</f>
        <v>3347.670166394845</v>
      </c>
      <c r="C20" s="135">
        <f>'2003 PILS Recoveries'!R9+'2003 PILS Recoveries'!R24+'2003 PILS Recoveries'!R39+'2003 PILS Recoveries'!R54+'2003 PILS Recoveries'!R69+'2003 PILS Recoveries'!R84+'2003 PILS Recoveries'!R99</f>
        <v>3250.1045535494895</v>
      </c>
      <c r="D20" s="135">
        <f>'2004 PILS Recoveries'!R8+'2004 PILS Recoveries'!R23+'2004 PILS Recoveries'!R38+'2004 PILS Recoveries'!R53+'2004 PILS Recoveries'!R68+'2004 PILS Recoveries'!R83+'2004 PILS Recoveries'!R98</f>
        <v>2379.770773522283</v>
      </c>
      <c r="E20" s="135">
        <f>'2005 PILS Recoveries'!R8+'2005 PILS Recoveries'!R23+'2005 PILS Recoveries'!R38+'2005 PILS Recoveries'!R53+'2005 PILS Recoveries'!R68+'2005 PILS Recoveries'!R83+'2005 PILS Recoveries'!R98</f>
        <v>3218.156636228752</v>
      </c>
      <c r="F20" s="140">
        <f>'2006  PILS Recoveries'!R8+'2006  PILS Recoveries'!R23+'2006  PILS Recoveries'!R38+'2006  PILS Recoveries'!R53+'2006  PILS Recoveries'!R68+'2006  PILS Recoveries'!R83+'2006  PILS Recoveries'!R98</f>
        <v>0</v>
      </c>
    </row>
    <row r="21" spans="1:6" ht="15">
      <c r="A21" s="26" t="s">
        <v>44</v>
      </c>
      <c r="B21" s="135">
        <f>'2002  PILS Recoveries'!R7+'2002  PILS Recoveries'!R20+'2002  PILS Recoveries'!R33+'2002  PILS Recoveries'!R46+'2002  PILS Recoveries'!R59+'2002  PILS Recoveries'!R72+'2002  PILS Recoveries'!R85</f>
        <v>3347.670166394845</v>
      </c>
      <c r="C21" s="135">
        <f>'2003 PILS Recoveries'!R10+'2003 PILS Recoveries'!R25+'2003 PILS Recoveries'!R40+'2003 PILS Recoveries'!R55+'2003 PILS Recoveries'!R70+'2003 PILS Recoveries'!R85+'2003 PILS Recoveries'!R100</f>
        <v>3250.1045535494895</v>
      </c>
      <c r="D21" s="135">
        <f>'2004 PILS Recoveries'!R9+'2004 PILS Recoveries'!R24+'2004 PILS Recoveries'!R39+'2004 PILS Recoveries'!R54+'2004 PILS Recoveries'!R69+'2004 PILS Recoveries'!R84+'2004 PILS Recoveries'!R99</f>
        <v>2379.770773522283</v>
      </c>
      <c r="E21" s="135">
        <f>'2005 PILS Recoveries'!R9+'2005 PILS Recoveries'!R24+'2005 PILS Recoveries'!R39+'2005 PILS Recoveries'!R54+'2005 PILS Recoveries'!R69+'2005 PILS Recoveries'!R84+'2005 PILS Recoveries'!R99</f>
        <v>3218.156636228752</v>
      </c>
      <c r="F21" s="140">
        <f>'2006  PILS Recoveries'!R9+'2006  PILS Recoveries'!R24+'2006  PILS Recoveries'!R39+'2006  PILS Recoveries'!R54+'2006  PILS Recoveries'!R69+'2006  PILS Recoveries'!R84+'2006  PILS Recoveries'!R99</f>
        <v>0</v>
      </c>
    </row>
    <row r="22" spans="1:6" ht="15">
      <c r="A22" s="26" t="s">
        <v>45</v>
      </c>
      <c r="B22" s="135">
        <f>'2002  PILS Recoveries'!R8+'2002  PILS Recoveries'!R21+'2002  PILS Recoveries'!R34+'2002  PILS Recoveries'!R47+'2002  PILS Recoveries'!R60+'2002  PILS Recoveries'!R73+'2002  PILS Recoveries'!R86</f>
        <v>3347.670166394845</v>
      </c>
      <c r="C22" s="135">
        <f>'2003 PILS Recoveries'!R11+'2003 PILS Recoveries'!R26+'2003 PILS Recoveries'!R41+'2003 PILS Recoveries'!R56+'2003 PILS Recoveries'!R71+'2003 PILS Recoveries'!R86+'2003 PILS Recoveries'!R101</f>
        <v>3250.1045535494895</v>
      </c>
      <c r="D22" s="135">
        <f>'2004 PILS Recoveries'!R10+'2004 PILS Recoveries'!R25+'2004 PILS Recoveries'!R40+'2004 PILS Recoveries'!R55+'2004 PILS Recoveries'!R70+'2004 PILS Recoveries'!R85+'2004 PILS Recoveries'!R100</f>
        <v>2379.770773522283</v>
      </c>
      <c r="E22" s="135">
        <f>'2005 PILS Recoveries'!R10+'2005 PILS Recoveries'!R25+'2005 PILS Recoveries'!R40+'2005 PILS Recoveries'!R55+'2005 PILS Recoveries'!R70+'2005 PILS Recoveries'!R85+'2005 PILS Recoveries'!R100</f>
        <v>3218.156636228752</v>
      </c>
      <c r="F22" s="140">
        <f>'2006  PILS Recoveries'!R10+'2006  PILS Recoveries'!R25+'2006  PILS Recoveries'!R40+'2006  PILS Recoveries'!R55+'2006  PILS Recoveries'!R70+'2006  PILS Recoveries'!R85+'2006  PILS Recoveries'!R100</f>
        <v>0</v>
      </c>
    </row>
    <row r="23" spans="1:6" ht="15">
      <c r="A23" s="26" t="s">
        <v>46</v>
      </c>
      <c r="B23" s="135">
        <f>'2002  PILS Recoveries'!R9+'2002  PILS Recoveries'!R22+'2002  PILS Recoveries'!R35+'2002  PILS Recoveries'!R48+'2002  PILS Recoveries'!R61+'2002  PILS Recoveries'!R74+'2002  PILS Recoveries'!R87</f>
        <v>3347.670166394845</v>
      </c>
      <c r="C23" s="135">
        <f>'2003 PILS Recoveries'!R12+'2003 PILS Recoveries'!R27+'2003 PILS Recoveries'!R42+'2003 PILS Recoveries'!R57+'2003 PILS Recoveries'!R72+'2003 PILS Recoveries'!R87+'2003 PILS Recoveries'!R102</f>
        <v>3250.1045535494895</v>
      </c>
      <c r="D23" s="135">
        <f>'2004 PILS Recoveries'!R11+'2004 PILS Recoveries'!R26+'2004 PILS Recoveries'!R41+'2004 PILS Recoveries'!R56+'2004 PILS Recoveries'!R71+'2004 PILS Recoveries'!R86+'2004 PILS Recoveries'!R101</f>
        <v>2379.770773522283</v>
      </c>
      <c r="E23" s="135">
        <f>'2005 PILS Recoveries'!R11+'2005 PILS Recoveries'!R26+'2005 PILS Recoveries'!R41+'2005 PILS Recoveries'!R56+'2005 PILS Recoveries'!R71+'2005 PILS Recoveries'!R86+'2005 PILS Recoveries'!R101</f>
        <v>3218.156636228752</v>
      </c>
      <c r="F23" s="140">
        <f>'2006  PILS Recoveries'!R11+'2006  PILS Recoveries'!R26+'2006  PILS Recoveries'!R41+'2006  PILS Recoveries'!R56+'2006  PILS Recoveries'!R71+'2006  PILS Recoveries'!R86+'2006  PILS Recoveries'!R101</f>
        <v>0</v>
      </c>
    </row>
    <row r="24" spans="1:6" ht="15">
      <c r="A24" s="26" t="s">
        <v>47</v>
      </c>
      <c r="B24" s="135">
        <f>'2002  PILS Recoveries'!R10+'2002  PILS Recoveries'!R23+'2002  PILS Recoveries'!R36+'2002  PILS Recoveries'!R49+'2002  PILS Recoveries'!R62+'2002  PILS Recoveries'!R75+'2002  PILS Recoveries'!R88</f>
        <v>3347.670166394845</v>
      </c>
      <c r="C24" s="135">
        <f>'2003 PILS Recoveries'!R13+'2003 PILS Recoveries'!R28+'2003 PILS Recoveries'!R43+'2003 PILS Recoveries'!R58+'2003 PILS Recoveries'!R73+'2003 PILS Recoveries'!R88+'2003 PILS Recoveries'!R103</f>
        <v>3250.1045535494895</v>
      </c>
      <c r="D24" s="135">
        <f>'2004 PILS Recoveries'!R12+'2004 PILS Recoveries'!R27+'2004 PILS Recoveries'!R42+'2004 PILS Recoveries'!R57+'2004 PILS Recoveries'!R72+'2004 PILS Recoveries'!R87+'2004 PILS Recoveries'!R102</f>
        <v>2379.770773522283</v>
      </c>
      <c r="E24" s="135">
        <f>'2005 PILS Recoveries'!R12+'2005 PILS Recoveries'!R27+'2005 PILS Recoveries'!R42+'2005 PILS Recoveries'!R57+'2005 PILS Recoveries'!R72+'2005 PILS Recoveries'!R87+'2005 PILS Recoveries'!R102</f>
        <v>3218.156636228752</v>
      </c>
      <c r="F24" s="140">
        <f>'2006  PILS Recoveries'!R12+'2006  PILS Recoveries'!R27+'2006  PILS Recoveries'!R42+'2006  PILS Recoveries'!R57+'2006  PILS Recoveries'!R72+'2006  PILS Recoveries'!R87+'2006  PILS Recoveries'!R102</f>
        <v>0</v>
      </c>
    </row>
    <row r="25" spans="1:6" ht="15">
      <c r="A25" s="26" t="s">
        <v>48</v>
      </c>
      <c r="B25" s="135">
        <f>'2002  PILS Recoveries'!R11+'2002  PILS Recoveries'!R24+'2002  PILS Recoveries'!R37+'2002  PILS Recoveries'!R50+'2002  PILS Recoveries'!R63+'2002  PILS Recoveries'!R76+'2002  PILS Recoveries'!R89</f>
        <v>3347.670166394845</v>
      </c>
      <c r="C25" s="135">
        <f>'2003 PILS Recoveries'!R14+'2003 PILS Recoveries'!R29+'2003 PILS Recoveries'!R44+'2003 PILS Recoveries'!R59+'2003 PILS Recoveries'!R74+'2003 PILS Recoveries'!R89+'2003 PILS Recoveries'!R104</f>
        <v>3250.1045535494895</v>
      </c>
      <c r="D25" s="135">
        <f>'2004 PILS Recoveries'!R13+'2004 PILS Recoveries'!R28+'2004 PILS Recoveries'!R43+'2004 PILS Recoveries'!R58+'2004 PILS Recoveries'!R73+'2004 PILS Recoveries'!R88+'2004 PILS Recoveries'!R103</f>
        <v>2379.770773522283</v>
      </c>
      <c r="E25" s="135">
        <f>'2005 PILS Recoveries'!R13+'2005 PILS Recoveries'!R28+'2005 PILS Recoveries'!R43+'2005 PILS Recoveries'!R58+'2005 PILS Recoveries'!R73+'2005 PILS Recoveries'!R88+'2005 PILS Recoveries'!R103</f>
        <v>3218.156636228752</v>
      </c>
      <c r="F25" s="140">
        <f>'2006  PILS Recoveries'!R13+'2006  PILS Recoveries'!R28+'2006  PILS Recoveries'!R43+'2006  PILS Recoveries'!R58+'2006  PILS Recoveries'!R73+'2006  PILS Recoveries'!R88+'2006  PILS Recoveries'!R103</f>
        <v>0</v>
      </c>
    </row>
    <row r="26" spans="1:18" ht="15">
      <c r="A26" s="26" t="s">
        <v>49</v>
      </c>
      <c r="B26" s="135">
        <f>'2002  PILS Recoveries'!R12+'2002  PILS Recoveries'!R25+'2002  PILS Recoveries'!R38+'2002  PILS Recoveries'!R51+'2002  PILS Recoveries'!R64+'2002  PILS Recoveries'!R77+'2002  PILS Recoveries'!R90</f>
        <v>3347.670166394845</v>
      </c>
      <c r="C26" s="135">
        <f>'2003 PILS Recoveries'!R15+'2003 PILS Recoveries'!R30+'2003 PILS Recoveries'!R45+'2003 PILS Recoveries'!R60+'2003 PILS Recoveries'!R75+'2003 PILS Recoveries'!R90+'2003 PILS Recoveries'!R105</f>
        <v>3250.1045535494895</v>
      </c>
      <c r="D26" s="135">
        <f>'2004 PILS Recoveries'!R14+'2004 PILS Recoveries'!R29+'2004 PILS Recoveries'!R44+'2004 PILS Recoveries'!R59+'2004 PILS Recoveries'!R74+'2004 PILS Recoveries'!R89+'2004 PILS Recoveries'!R104</f>
        <v>2379.770773522283</v>
      </c>
      <c r="E26" s="135">
        <f>'2005 PILS Recoveries'!R14+'2005 PILS Recoveries'!R29+'2005 PILS Recoveries'!R44+'2005 PILS Recoveries'!R59+'2005 PILS Recoveries'!R74+'2005 PILS Recoveries'!R89+'2005 PILS Recoveries'!R104</f>
        <v>3218.156636228752</v>
      </c>
      <c r="F26" s="140">
        <f>'2006  PILS Recoveries'!R14+'2006  PILS Recoveries'!R29+'2006  PILS Recoveries'!R44+'2006  PILS Recoveries'!R59+'2006  PILS Recoveries'!R74+'2006  PILS Recoveries'!R89+'2006  PILS Recoveries'!R104</f>
        <v>0</v>
      </c>
      <c r="L26" s="158"/>
      <c r="M26" s="159"/>
      <c r="N26" s="159"/>
      <c r="O26" s="159"/>
      <c r="P26" s="159"/>
      <c r="Q26" s="159"/>
      <c r="R26" s="159"/>
    </row>
    <row r="27" spans="1:18" ht="15">
      <c r="A27" s="26" t="s">
        <v>38</v>
      </c>
      <c r="B27" s="135">
        <f>'2002  PILS Recoveries'!R13+'2002  PILS Recoveries'!R26+'2002  PILS Recoveries'!R39+'2002  PILS Recoveries'!R52+'2002  PILS Recoveries'!R65+'2002  PILS Recoveries'!R78+'2002  PILS Recoveries'!R91</f>
        <v>0</v>
      </c>
      <c r="C27" s="135">
        <f>'2003 PILS Recoveries'!R16+'2003 PILS Recoveries'!R31+'2003 PILS Recoveries'!R46+'2003 PILS Recoveries'!R61+'2003 PILS Recoveries'!R76+'2003 PILS Recoveries'!R91+'2003 PILS Recoveries'!R106</f>
        <v>0</v>
      </c>
      <c r="D27" s="135">
        <f>'2004 PILS Recoveries'!R15+'2004 PILS Recoveries'!R30+'2004 PILS Recoveries'!R45+'2004 PILS Recoveries'!R60+'2004 PILS Recoveries'!R75+'2004 PILS Recoveries'!R90+'2004 PILS Recoveries'!R105</f>
        <v>0</v>
      </c>
      <c r="E27" s="135">
        <f>'2005 PILS Recoveries'!R15+'2005 PILS Recoveries'!R30+'2005 PILS Recoveries'!R45+'2005 PILS Recoveries'!R60+'2005 PILS Recoveries'!R75+'2005 PILS Recoveries'!R90+'2005 PILS Recoveries'!R105</f>
        <v>0</v>
      </c>
      <c r="F27" s="140">
        <f>'2006  PILS Recoveries'!R15+'2006  PILS Recoveries'!R30+'2006  PILS Recoveries'!R45+'2006  PILS Recoveries'!R60+'2006  PILS Recoveries'!R75+'2006  PILS Recoveries'!R90+'2006  PILS Recoveries'!R105</f>
        <v>0</v>
      </c>
      <c r="L27" s="158"/>
      <c r="M27" s="160"/>
      <c r="N27" s="160"/>
      <c r="O27" s="160"/>
      <c r="P27" s="160"/>
      <c r="Q27" s="160"/>
      <c r="R27" s="159"/>
    </row>
    <row r="28" spans="1:18" ht="15">
      <c r="A28" s="141" t="s">
        <v>96</v>
      </c>
      <c r="B28" s="136">
        <f>SUM(B15:B27)</f>
        <v>33476.70166394845</v>
      </c>
      <c r="C28" s="136">
        <f>SUM(C15:C27)</f>
        <v>39001.25464259387</v>
      </c>
      <c r="D28" s="136">
        <f>SUM(D15:D27)</f>
        <v>30881.5622232526</v>
      </c>
      <c r="E28" s="136">
        <f>SUM(E15:E27)</f>
        <v>36372.93286028685</v>
      </c>
      <c r="F28" s="142">
        <f>SUM(F15:F27)</f>
        <v>12447.848449570847</v>
      </c>
      <c r="L28" s="158"/>
      <c r="M28" s="160"/>
      <c r="N28" s="160"/>
      <c r="O28" s="160"/>
      <c r="P28" s="160"/>
      <c r="Q28" s="160"/>
      <c r="R28" s="159"/>
    </row>
    <row r="29" spans="1:18" ht="15.75" thickBot="1">
      <c r="A29" s="143" t="s">
        <v>97</v>
      </c>
      <c r="B29" s="144">
        <f>B28</f>
        <v>33476.70166394845</v>
      </c>
      <c r="C29" s="144">
        <f>C28+B29</f>
        <v>72477.95630654233</v>
      </c>
      <c r="D29" s="144">
        <f>D28+C29</f>
        <v>103359.51852979494</v>
      </c>
      <c r="E29" s="144">
        <f>E28+D29</f>
        <v>139732.45139008178</v>
      </c>
      <c r="F29" s="145">
        <f>F28+E29</f>
        <v>152180.29983965264</v>
      </c>
      <c r="L29" s="159"/>
      <c r="M29" s="160"/>
      <c r="N29" s="159"/>
      <c r="O29" s="160"/>
      <c r="P29" s="160"/>
      <c r="Q29" s="160"/>
      <c r="R29" s="159"/>
    </row>
    <row r="30" spans="12:18" ht="15">
      <c r="L30" s="159"/>
      <c r="M30" s="159"/>
      <c r="N30" s="159"/>
      <c r="O30" s="160"/>
      <c r="P30" s="159"/>
      <c r="Q30" s="159"/>
      <c r="R30" s="159"/>
    </row>
    <row r="31" spans="12:18" ht="15.75" thickBot="1">
      <c r="L31" s="159"/>
      <c r="M31" s="159"/>
      <c r="N31" s="159"/>
      <c r="O31" s="160"/>
      <c r="P31" s="159"/>
      <c r="Q31" s="159"/>
      <c r="R31" s="159"/>
    </row>
    <row r="32" spans="2:18" ht="15.75" thickBot="1">
      <c r="B32" s="169" t="s">
        <v>102</v>
      </c>
      <c r="C32" s="170"/>
      <c r="D32" s="170"/>
      <c r="E32" s="170"/>
      <c r="F32" s="171"/>
      <c r="G32" s="146"/>
      <c r="L32" s="161"/>
      <c r="M32" s="159"/>
      <c r="N32" s="159"/>
      <c r="O32" s="159"/>
      <c r="P32" s="162"/>
      <c r="Q32" s="162"/>
      <c r="R32" s="162"/>
    </row>
    <row r="33" spans="1:18" ht="15.75" thickBot="1">
      <c r="A33" s="133" t="s">
        <v>101</v>
      </c>
      <c r="B33" s="164" t="s">
        <v>92</v>
      </c>
      <c r="C33" s="164" t="s">
        <v>93</v>
      </c>
      <c r="D33" s="164" t="s">
        <v>100</v>
      </c>
      <c r="E33" s="164" t="s">
        <v>94</v>
      </c>
      <c r="F33" s="164" t="s">
        <v>95</v>
      </c>
      <c r="G33" s="165" t="s">
        <v>11</v>
      </c>
      <c r="L33" s="161"/>
      <c r="M33" s="159"/>
      <c r="N33" s="159"/>
      <c r="O33" s="159"/>
      <c r="P33" s="162"/>
      <c r="Q33" s="162"/>
      <c r="R33" s="162"/>
    </row>
    <row r="34" spans="1:18" ht="15">
      <c r="A34" s="47">
        <v>2002</v>
      </c>
      <c r="B34" s="49">
        <f>'2002  PILS Recoveries'!J94</f>
        <v>6350.486080826203</v>
      </c>
      <c r="C34" s="49">
        <f>'2002  PILS Recoveries'!M94</f>
        <v>27126.215583122248</v>
      </c>
      <c r="D34" s="49">
        <f>'2002  PILS Recoveries'!N94</f>
        <v>0</v>
      </c>
      <c r="E34" s="49"/>
      <c r="F34" s="49"/>
      <c r="G34" s="166">
        <f>SUM(B34:F34)</f>
        <v>33476.70166394845</v>
      </c>
      <c r="L34" s="161"/>
      <c r="M34" s="159"/>
      <c r="N34" s="159"/>
      <c r="O34" s="159"/>
      <c r="P34" s="162"/>
      <c r="Q34" s="162"/>
      <c r="R34" s="162"/>
    </row>
    <row r="35" spans="1:18" ht="15">
      <c r="A35" s="16">
        <v>2003</v>
      </c>
      <c r="B35" s="25">
        <f>'2003 PILS Recoveries'!J109</f>
        <v>7398.486482593882</v>
      </c>
      <c r="C35" s="25"/>
      <c r="D35" s="25">
        <f>'2003 PILS Recoveries'!M109</f>
        <v>31602.768160000003</v>
      </c>
      <c r="E35" s="25"/>
      <c r="F35" s="25"/>
      <c r="G35" s="167">
        <f>SUM(B35:F35)</f>
        <v>39001.254642593885</v>
      </c>
      <c r="L35" s="161"/>
      <c r="M35" s="159"/>
      <c r="N35" s="159"/>
      <c r="O35" s="159"/>
      <c r="P35" s="162"/>
      <c r="Q35" s="162"/>
      <c r="R35" s="162"/>
    </row>
    <row r="36" spans="1:18" ht="15">
      <c r="A36" s="16">
        <v>2004</v>
      </c>
      <c r="B36" s="25">
        <f>'2004 PILS Recoveries'!J108</f>
        <v>1795.2372100732562</v>
      </c>
      <c r="C36" s="25"/>
      <c r="D36" s="25">
        <f>'2004 PILS Recoveries'!M108</f>
        <v>7668.388051478799</v>
      </c>
      <c r="E36" s="25">
        <f>'2004 PILS Recoveries'!O108</f>
        <v>21417.936961700543</v>
      </c>
      <c r="F36" s="25"/>
      <c r="G36" s="167">
        <f>SUM(B36:F36)</f>
        <v>30881.5622232526</v>
      </c>
      <c r="L36" s="161"/>
      <c r="M36" s="159"/>
      <c r="N36" s="159"/>
      <c r="O36" s="159"/>
      <c r="P36" s="162"/>
      <c r="Q36" s="162"/>
      <c r="R36" s="162"/>
    </row>
    <row r="37" spans="1:18" ht="15">
      <c r="A37" s="16">
        <v>2005</v>
      </c>
      <c r="B37" s="25"/>
      <c r="C37" s="25"/>
      <c r="D37" s="25"/>
      <c r="E37" s="25">
        <f>'2005 PILS Recoveries'!O108</f>
        <v>7409.5231342280795</v>
      </c>
      <c r="F37" s="25">
        <f>'2005 PILS Recoveries'!Q108</f>
        <v>28963.409726058773</v>
      </c>
      <c r="G37" s="167">
        <f>SUM(B37:F37)</f>
        <v>36372.932860286855</v>
      </c>
      <c r="L37" s="161"/>
      <c r="M37" s="159"/>
      <c r="N37" s="159"/>
      <c r="O37" s="159"/>
      <c r="P37" s="162"/>
      <c r="Q37" s="162"/>
      <c r="R37" s="162"/>
    </row>
    <row r="38" spans="1:18" ht="15.75" thickBot="1">
      <c r="A38" s="48">
        <v>2006</v>
      </c>
      <c r="B38" s="50"/>
      <c r="C38" s="50"/>
      <c r="D38" s="50"/>
      <c r="E38" s="50"/>
      <c r="F38" s="50">
        <f>'2006  PILS Recoveries'!Q108</f>
        <v>12447.848449570847</v>
      </c>
      <c r="G38" s="168">
        <f>SUM(B38:F38)</f>
        <v>12447.848449570847</v>
      </c>
      <c r="L38" s="161"/>
      <c r="M38" s="159"/>
      <c r="N38" s="159"/>
      <c r="O38" s="159"/>
      <c r="P38" s="162"/>
      <c r="Q38" s="162"/>
      <c r="R38" s="162"/>
    </row>
    <row r="39" spans="1:18" ht="15.75" thickBot="1">
      <c r="A39" s="130" t="s">
        <v>11</v>
      </c>
      <c r="B39" s="131">
        <f aca="true" t="shared" si="1" ref="B39:G39">SUM(B34:B38)</f>
        <v>15544.20977349334</v>
      </c>
      <c r="C39" s="131">
        <f t="shared" si="1"/>
        <v>27126.215583122248</v>
      </c>
      <c r="D39" s="131">
        <f t="shared" si="1"/>
        <v>39271.1562114788</v>
      </c>
      <c r="E39" s="131">
        <f t="shared" si="1"/>
        <v>28827.46009592862</v>
      </c>
      <c r="F39" s="131">
        <f t="shared" si="1"/>
        <v>41411.25817562962</v>
      </c>
      <c r="G39" s="131">
        <f t="shared" si="1"/>
        <v>152180.29983965264</v>
      </c>
      <c r="L39" s="159"/>
      <c r="M39" s="159"/>
      <c r="N39" s="159"/>
      <c r="O39" s="159"/>
      <c r="P39" s="162"/>
      <c r="Q39" s="162"/>
      <c r="R39" s="162"/>
    </row>
    <row r="40" spans="12:18" ht="15">
      <c r="L40" s="159"/>
      <c r="M40" s="159"/>
      <c r="N40" s="159"/>
      <c r="O40" s="160"/>
      <c r="P40" s="159"/>
      <c r="Q40" s="159"/>
      <c r="R40" s="159"/>
    </row>
    <row r="61" ht="15" hidden="1"/>
    <row r="62" ht="15" hidden="1"/>
    <row r="63" ht="15" hidden="1"/>
  </sheetData>
  <sheetProtection/>
  <printOptions/>
  <pageMargins left="0.7" right="0.7" top="0.75" bottom="0.75" header="0.3" footer="0.3"/>
  <pageSetup fitToHeight="1" fitToWidth="1" horizontalDpi="600" verticalDpi="600" orientation="landscape" scale="4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zoomScalePageLayoutView="0" workbookViewId="0" topLeftCell="A1">
      <selection activeCell="R72" sqref="R72"/>
    </sheetView>
  </sheetViews>
  <sheetFormatPr defaultColWidth="9.140625" defaultRowHeight="15"/>
  <cols>
    <col min="1" max="1" width="11.8515625" style="0" customWidth="1"/>
    <col min="2" max="2" width="10.28125" style="101" bestFit="1" customWidth="1"/>
    <col min="3" max="7" width="13.28125" style="0" bestFit="1" customWidth="1"/>
    <col min="8" max="8" width="1.7109375" style="0" customWidth="1"/>
    <col min="9" max="9" width="0.5625" style="0" customWidth="1"/>
    <col min="10" max="10" width="8.8515625" style="0" customWidth="1"/>
    <col min="11" max="11" width="14.28125" style="0" customWidth="1"/>
    <col min="12" max="12" width="9.00390625" style="0" bestFit="1" customWidth="1"/>
    <col min="16" max="16" width="10.421875" style="0" customWidth="1"/>
    <col min="19" max="19" width="10.421875" style="0" bestFit="1" customWidth="1"/>
  </cols>
  <sheetData>
    <row r="1" spans="3:7" ht="15">
      <c r="C1" s="72"/>
      <c r="D1" s="72"/>
      <c r="E1" s="72"/>
      <c r="F1" s="72"/>
      <c r="G1" s="72"/>
    </row>
    <row r="2" spans="1:16" ht="15">
      <c r="A2" s="76" t="s">
        <v>37</v>
      </c>
      <c r="B2" s="102"/>
      <c r="C2" s="69"/>
      <c r="D2" s="74" t="s">
        <v>30</v>
      </c>
      <c r="E2" s="75"/>
      <c r="F2" s="75"/>
      <c r="G2" s="73"/>
      <c r="J2" s="76" t="s">
        <v>52</v>
      </c>
      <c r="K2" s="75"/>
      <c r="L2" s="69"/>
      <c r="M2" s="74" t="s">
        <v>30</v>
      </c>
      <c r="N2" s="75"/>
      <c r="O2" s="75"/>
      <c r="P2" s="73"/>
    </row>
    <row r="3" spans="1:18" ht="15">
      <c r="A3" s="77" t="s">
        <v>31</v>
      </c>
      <c r="B3" s="103" t="s">
        <v>32</v>
      </c>
      <c r="C3" s="77">
        <v>2002</v>
      </c>
      <c r="D3" s="77">
        <v>2003</v>
      </c>
      <c r="E3" s="77">
        <v>2004</v>
      </c>
      <c r="F3" s="77">
        <v>2005</v>
      </c>
      <c r="G3" s="77">
        <v>2006</v>
      </c>
      <c r="J3" s="77" t="s">
        <v>31</v>
      </c>
      <c r="K3" s="77" t="s">
        <v>32</v>
      </c>
      <c r="L3" s="77">
        <v>2002</v>
      </c>
      <c r="M3" s="77">
        <v>2003</v>
      </c>
      <c r="N3" s="77">
        <v>2004</v>
      </c>
      <c r="O3" s="77">
        <v>2005</v>
      </c>
      <c r="P3" s="77">
        <v>2006</v>
      </c>
      <c r="Q3" s="28"/>
      <c r="R3" t="s">
        <v>110</v>
      </c>
    </row>
    <row r="4" spans="1:18" ht="15">
      <c r="A4" s="30" t="s">
        <v>39</v>
      </c>
      <c r="B4" s="104" t="s">
        <v>33</v>
      </c>
      <c r="C4" s="30"/>
      <c r="D4" s="32">
        <f>'[1]Summary'!$B$13/12</f>
        <v>932415.108994098</v>
      </c>
      <c r="E4" s="32">
        <f>'[1]Summary'!$C$13/12</f>
        <v>904107.5</v>
      </c>
      <c r="F4" s="32">
        <f>'[1]Summary'!$D$13/12</f>
        <v>927754.25</v>
      </c>
      <c r="G4" s="32">
        <f>'[1]Summary'!$E$13/12</f>
        <v>896911.8333333334</v>
      </c>
      <c r="J4" s="30" t="s">
        <v>39</v>
      </c>
      <c r="K4" s="30" t="s">
        <v>53</v>
      </c>
      <c r="L4" s="30"/>
      <c r="M4" s="32">
        <f>'[1]Summary'!B22/12</f>
        <v>1725.675</v>
      </c>
      <c r="N4" s="32">
        <f>'[1]Summary'!C22/12</f>
        <v>1353.6333333333334</v>
      </c>
      <c r="O4" s="32">
        <f>'[1]Summary'!D22/12</f>
        <v>1679.3833333333332</v>
      </c>
      <c r="P4" s="32">
        <f>'[1]Summary'!E22/12</f>
        <v>1568.075</v>
      </c>
      <c r="Q4" s="11"/>
      <c r="R4" t="s">
        <v>109</v>
      </c>
    </row>
    <row r="5" spans="1:17" ht="15">
      <c r="A5" s="30" t="s">
        <v>40</v>
      </c>
      <c r="B5" s="104" t="s">
        <v>33</v>
      </c>
      <c r="C5" s="30"/>
      <c r="D5" s="32">
        <f>D4</f>
        <v>932415.108994098</v>
      </c>
      <c r="E5" s="32">
        <f>E4</f>
        <v>904107.5</v>
      </c>
      <c r="F5" s="32">
        <f>F4</f>
        <v>927754.25</v>
      </c>
      <c r="G5" s="32">
        <f>G4</f>
        <v>896911.8333333334</v>
      </c>
      <c r="J5" s="30" t="s">
        <v>40</v>
      </c>
      <c r="K5" s="30" t="s">
        <v>53</v>
      </c>
      <c r="L5" s="30"/>
      <c r="M5" s="32">
        <f>M4</f>
        <v>1725.675</v>
      </c>
      <c r="N5" s="32">
        <f aca="true" t="shared" si="0" ref="N5:P15">N4</f>
        <v>1353.6333333333334</v>
      </c>
      <c r="O5" s="32">
        <f t="shared" si="0"/>
        <v>1679.3833333333332</v>
      </c>
      <c r="P5" s="32">
        <f t="shared" si="0"/>
        <v>1568.075</v>
      </c>
      <c r="Q5" s="11"/>
    </row>
    <row r="6" spans="1:17" ht="15">
      <c r="A6" s="30" t="s">
        <v>41</v>
      </c>
      <c r="B6" s="104" t="s">
        <v>33</v>
      </c>
      <c r="C6" s="43">
        <f>'[2]6-2 DEMAND, RATES (Input)'!$L$16/12</f>
        <v>946238.9166666666</v>
      </c>
      <c r="D6" s="32">
        <f aca="true" t="shared" si="1" ref="D6:F15">D5</f>
        <v>932415.108994098</v>
      </c>
      <c r="E6" s="32">
        <f t="shared" si="1"/>
        <v>904107.5</v>
      </c>
      <c r="F6" s="32">
        <f t="shared" si="1"/>
        <v>927754.25</v>
      </c>
      <c r="G6" s="32">
        <f>G5</f>
        <v>896911.8333333334</v>
      </c>
      <c r="J6" s="30" t="s">
        <v>41</v>
      </c>
      <c r="K6" s="30" t="s">
        <v>53</v>
      </c>
      <c r="L6" s="43">
        <f>'[2]6-2 DEMAND, RATES (Input)'!$P$66/12</f>
        <v>1055</v>
      </c>
      <c r="M6" s="32">
        <f aca="true" t="shared" si="2" ref="M6:M15">M5</f>
        <v>1725.675</v>
      </c>
      <c r="N6" s="32">
        <f t="shared" si="0"/>
        <v>1353.6333333333334</v>
      </c>
      <c r="O6" s="32">
        <f t="shared" si="0"/>
        <v>1679.3833333333332</v>
      </c>
      <c r="P6" s="32">
        <f t="shared" si="0"/>
        <v>1568.075</v>
      </c>
      <c r="Q6" s="11"/>
    </row>
    <row r="7" spans="1:17" ht="15">
      <c r="A7" s="30" t="s">
        <v>42</v>
      </c>
      <c r="B7" s="104" t="s">
        <v>33</v>
      </c>
      <c r="C7" s="43">
        <f>C6</f>
        <v>946238.9166666666</v>
      </c>
      <c r="D7" s="32">
        <f t="shared" si="1"/>
        <v>932415.108994098</v>
      </c>
      <c r="E7" s="32">
        <f t="shared" si="1"/>
        <v>904107.5</v>
      </c>
      <c r="F7" s="32">
        <f t="shared" si="1"/>
        <v>927754.25</v>
      </c>
      <c r="G7" s="32">
        <f>G6</f>
        <v>896911.8333333334</v>
      </c>
      <c r="J7" s="30" t="s">
        <v>42</v>
      </c>
      <c r="K7" s="30" t="s">
        <v>53</v>
      </c>
      <c r="L7" s="43">
        <f>L6</f>
        <v>1055</v>
      </c>
      <c r="M7" s="32">
        <f t="shared" si="2"/>
        <v>1725.675</v>
      </c>
      <c r="N7" s="32">
        <f t="shared" si="0"/>
        <v>1353.6333333333334</v>
      </c>
      <c r="O7" s="32">
        <f t="shared" si="0"/>
        <v>1679.3833333333332</v>
      </c>
      <c r="P7" s="32">
        <f t="shared" si="0"/>
        <v>1568.075</v>
      </c>
      <c r="Q7" s="11"/>
    </row>
    <row r="8" spans="1:17" ht="15">
      <c r="A8" s="30" t="s">
        <v>35</v>
      </c>
      <c r="B8" s="104" t="s">
        <v>33</v>
      </c>
      <c r="C8" s="43">
        <f>C7</f>
        <v>946238.9166666666</v>
      </c>
      <c r="D8" s="32">
        <f t="shared" si="1"/>
        <v>932415.108994098</v>
      </c>
      <c r="E8" s="32">
        <f t="shared" si="1"/>
        <v>904107.5</v>
      </c>
      <c r="F8" s="32">
        <f t="shared" si="1"/>
        <v>927754.25</v>
      </c>
      <c r="G8" s="32"/>
      <c r="J8" s="30" t="s">
        <v>35</v>
      </c>
      <c r="K8" s="30" t="s">
        <v>53</v>
      </c>
      <c r="L8" s="43">
        <f aca="true" t="shared" si="3" ref="L8:L15">L7</f>
        <v>1055</v>
      </c>
      <c r="M8" s="32">
        <f t="shared" si="2"/>
        <v>1725.675</v>
      </c>
      <c r="N8" s="32">
        <f t="shared" si="0"/>
        <v>1353.6333333333334</v>
      </c>
      <c r="O8" s="32">
        <f t="shared" si="0"/>
        <v>1679.3833333333332</v>
      </c>
      <c r="P8" s="32"/>
      <c r="Q8" s="11"/>
    </row>
    <row r="9" spans="1:17" ht="15">
      <c r="A9" s="30" t="s">
        <v>43</v>
      </c>
      <c r="B9" s="104" t="s">
        <v>33</v>
      </c>
      <c r="C9" s="43">
        <f aca="true" t="shared" si="4" ref="C9:C15">C8</f>
        <v>946238.9166666666</v>
      </c>
      <c r="D9" s="32">
        <f t="shared" si="1"/>
        <v>932415.108994098</v>
      </c>
      <c r="E9" s="32">
        <f t="shared" si="1"/>
        <v>904107.5</v>
      </c>
      <c r="F9" s="32">
        <f t="shared" si="1"/>
        <v>927754.25</v>
      </c>
      <c r="G9" s="32"/>
      <c r="J9" s="30" t="s">
        <v>43</v>
      </c>
      <c r="K9" s="30" t="s">
        <v>53</v>
      </c>
      <c r="L9" s="43">
        <f t="shared" si="3"/>
        <v>1055</v>
      </c>
      <c r="M9" s="32">
        <f t="shared" si="2"/>
        <v>1725.675</v>
      </c>
      <c r="N9" s="32">
        <f t="shared" si="0"/>
        <v>1353.6333333333334</v>
      </c>
      <c r="O9" s="32">
        <f t="shared" si="0"/>
        <v>1679.3833333333332</v>
      </c>
      <c r="P9" s="32"/>
      <c r="Q9" s="11"/>
    </row>
    <row r="10" spans="1:17" ht="15">
      <c r="A10" s="30" t="s">
        <v>44</v>
      </c>
      <c r="B10" s="104" t="s">
        <v>33</v>
      </c>
      <c r="C10" s="43">
        <f t="shared" si="4"/>
        <v>946238.9166666666</v>
      </c>
      <c r="D10" s="32">
        <f t="shared" si="1"/>
        <v>932415.108994098</v>
      </c>
      <c r="E10" s="32">
        <f t="shared" si="1"/>
        <v>904107.5</v>
      </c>
      <c r="F10" s="32">
        <f t="shared" si="1"/>
        <v>927754.25</v>
      </c>
      <c r="G10" s="32"/>
      <c r="J10" s="30" t="s">
        <v>44</v>
      </c>
      <c r="K10" s="30" t="s">
        <v>53</v>
      </c>
      <c r="L10" s="43">
        <f t="shared" si="3"/>
        <v>1055</v>
      </c>
      <c r="M10" s="32">
        <f t="shared" si="2"/>
        <v>1725.675</v>
      </c>
      <c r="N10" s="32">
        <f t="shared" si="0"/>
        <v>1353.6333333333334</v>
      </c>
      <c r="O10" s="32">
        <f t="shared" si="0"/>
        <v>1679.3833333333332</v>
      </c>
      <c r="P10" s="32"/>
      <c r="Q10" s="11"/>
    </row>
    <row r="11" spans="1:17" ht="15">
      <c r="A11" s="30" t="s">
        <v>45</v>
      </c>
      <c r="B11" s="104" t="s">
        <v>33</v>
      </c>
      <c r="C11" s="43">
        <f t="shared" si="4"/>
        <v>946238.9166666666</v>
      </c>
      <c r="D11" s="32">
        <f t="shared" si="1"/>
        <v>932415.108994098</v>
      </c>
      <c r="E11" s="32">
        <f t="shared" si="1"/>
        <v>904107.5</v>
      </c>
      <c r="F11" s="32">
        <f t="shared" si="1"/>
        <v>927754.25</v>
      </c>
      <c r="G11" s="32"/>
      <c r="J11" s="30" t="s">
        <v>45</v>
      </c>
      <c r="K11" s="30" t="s">
        <v>53</v>
      </c>
      <c r="L11" s="43">
        <f t="shared" si="3"/>
        <v>1055</v>
      </c>
      <c r="M11" s="32">
        <f t="shared" si="2"/>
        <v>1725.675</v>
      </c>
      <c r="N11" s="32">
        <f t="shared" si="0"/>
        <v>1353.6333333333334</v>
      </c>
      <c r="O11" s="32">
        <f t="shared" si="0"/>
        <v>1679.3833333333332</v>
      </c>
      <c r="P11" s="32"/>
      <c r="Q11" s="11"/>
    </row>
    <row r="12" spans="1:17" ht="15">
      <c r="A12" s="30" t="s">
        <v>46</v>
      </c>
      <c r="B12" s="104" t="s">
        <v>33</v>
      </c>
      <c r="C12" s="43">
        <f t="shared" si="4"/>
        <v>946238.9166666666</v>
      </c>
      <c r="D12" s="32">
        <f t="shared" si="1"/>
        <v>932415.108994098</v>
      </c>
      <c r="E12" s="32">
        <f t="shared" si="1"/>
        <v>904107.5</v>
      </c>
      <c r="F12" s="32">
        <f t="shared" si="1"/>
        <v>927754.25</v>
      </c>
      <c r="G12" s="32"/>
      <c r="J12" s="30" t="s">
        <v>46</v>
      </c>
      <c r="K12" s="30" t="s">
        <v>53</v>
      </c>
      <c r="L12" s="43">
        <f t="shared" si="3"/>
        <v>1055</v>
      </c>
      <c r="M12" s="32">
        <f t="shared" si="2"/>
        <v>1725.675</v>
      </c>
      <c r="N12" s="32">
        <f t="shared" si="0"/>
        <v>1353.6333333333334</v>
      </c>
      <c r="O12" s="32">
        <f t="shared" si="0"/>
        <v>1679.3833333333332</v>
      </c>
      <c r="P12" s="32"/>
      <c r="Q12" s="11"/>
    </row>
    <row r="13" spans="1:17" ht="15">
      <c r="A13" s="30" t="s">
        <v>47</v>
      </c>
      <c r="B13" s="104" t="s">
        <v>33</v>
      </c>
      <c r="C13" s="43">
        <f t="shared" si="4"/>
        <v>946238.9166666666</v>
      </c>
      <c r="D13" s="32">
        <f t="shared" si="1"/>
        <v>932415.108994098</v>
      </c>
      <c r="E13" s="32">
        <f t="shared" si="1"/>
        <v>904107.5</v>
      </c>
      <c r="F13" s="32">
        <f t="shared" si="1"/>
        <v>927754.25</v>
      </c>
      <c r="G13" s="32"/>
      <c r="J13" s="30" t="s">
        <v>47</v>
      </c>
      <c r="K13" s="30" t="s">
        <v>53</v>
      </c>
      <c r="L13" s="43">
        <f t="shared" si="3"/>
        <v>1055</v>
      </c>
      <c r="M13" s="32">
        <f t="shared" si="2"/>
        <v>1725.675</v>
      </c>
      <c r="N13" s="32">
        <f t="shared" si="0"/>
        <v>1353.6333333333334</v>
      </c>
      <c r="O13" s="32">
        <f t="shared" si="0"/>
        <v>1679.3833333333332</v>
      </c>
      <c r="P13" s="32"/>
      <c r="Q13" s="11"/>
    </row>
    <row r="14" spans="1:17" ht="15">
      <c r="A14" s="30" t="s">
        <v>48</v>
      </c>
      <c r="B14" s="104" t="s">
        <v>33</v>
      </c>
      <c r="C14" s="43">
        <f t="shared" si="4"/>
        <v>946238.9166666666</v>
      </c>
      <c r="D14" s="32">
        <f t="shared" si="1"/>
        <v>932415.108994098</v>
      </c>
      <c r="E14" s="32">
        <f t="shared" si="1"/>
        <v>904107.5</v>
      </c>
      <c r="F14" s="32">
        <f t="shared" si="1"/>
        <v>927754.25</v>
      </c>
      <c r="G14" s="32"/>
      <c r="J14" s="30" t="s">
        <v>48</v>
      </c>
      <c r="K14" s="30" t="s">
        <v>53</v>
      </c>
      <c r="L14" s="43">
        <f t="shared" si="3"/>
        <v>1055</v>
      </c>
      <c r="M14" s="32">
        <f t="shared" si="2"/>
        <v>1725.675</v>
      </c>
      <c r="N14" s="32">
        <f t="shared" si="0"/>
        <v>1353.6333333333334</v>
      </c>
      <c r="O14" s="32">
        <f t="shared" si="0"/>
        <v>1679.3833333333332</v>
      </c>
      <c r="P14" s="32"/>
      <c r="Q14" s="11"/>
    </row>
    <row r="15" spans="1:17" ht="15">
      <c r="A15" s="30" t="s">
        <v>49</v>
      </c>
      <c r="B15" s="104" t="s">
        <v>33</v>
      </c>
      <c r="C15" s="43">
        <f t="shared" si="4"/>
        <v>946238.9166666666</v>
      </c>
      <c r="D15" s="32">
        <f t="shared" si="1"/>
        <v>932415.108994098</v>
      </c>
      <c r="E15" s="32">
        <f t="shared" si="1"/>
        <v>904107.5</v>
      </c>
      <c r="F15" s="32">
        <f t="shared" si="1"/>
        <v>927754.25</v>
      </c>
      <c r="G15" s="32"/>
      <c r="J15" s="30" t="s">
        <v>49</v>
      </c>
      <c r="K15" s="30" t="s">
        <v>53</v>
      </c>
      <c r="L15" s="43">
        <f t="shared" si="3"/>
        <v>1055</v>
      </c>
      <c r="M15" s="32">
        <f t="shared" si="2"/>
        <v>1725.675</v>
      </c>
      <c r="N15" s="32">
        <f t="shared" si="0"/>
        <v>1353.6333333333334</v>
      </c>
      <c r="O15" s="32">
        <f t="shared" si="0"/>
        <v>1679.3833333333332</v>
      </c>
      <c r="P15" s="32"/>
      <c r="Q15" s="11"/>
    </row>
    <row r="16" spans="1:17" ht="15">
      <c r="A16" s="30" t="s">
        <v>38</v>
      </c>
      <c r="B16" s="104" t="s">
        <v>33</v>
      </c>
      <c r="C16" s="43"/>
      <c r="D16" s="43"/>
      <c r="E16" s="43"/>
      <c r="F16" s="43"/>
      <c r="G16" s="43"/>
      <c r="J16" s="30" t="s">
        <v>38</v>
      </c>
      <c r="K16" s="30" t="s">
        <v>53</v>
      </c>
      <c r="L16" s="43"/>
      <c r="M16" s="32"/>
      <c r="N16" s="32"/>
      <c r="O16" s="32"/>
      <c r="P16" s="43"/>
      <c r="Q16" s="11"/>
    </row>
    <row r="17" spans="1:17" ht="15">
      <c r="A17" s="44" t="s">
        <v>11</v>
      </c>
      <c r="B17" s="105"/>
      <c r="C17" s="45">
        <f>SUM(C4:C16)</f>
        <v>9462389.166666666</v>
      </c>
      <c r="D17" s="45">
        <f>SUM(D4:D16)</f>
        <v>11188981.307929179</v>
      </c>
      <c r="E17" s="45">
        <f>SUM(E4:E16)</f>
        <v>10849290</v>
      </c>
      <c r="F17" s="45">
        <f>SUM(F4:F16)</f>
        <v>11133051</v>
      </c>
      <c r="G17" s="45">
        <f>SUM(G4:G16)</f>
        <v>3587647.3333333335</v>
      </c>
      <c r="J17" s="44" t="s">
        <v>11</v>
      </c>
      <c r="K17" s="44"/>
      <c r="L17" s="45">
        <f>SUM(L4:L16)</f>
        <v>10550</v>
      </c>
      <c r="M17" s="45">
        <f>SUM(M4:M16)</f>
        <v>20708.099999999995</v>
      </c>
      <c r="N17" s="45">
        <f>SUM(N4:N16)</f>
        <v>16243.6</v>
      </c>
      <c r="O17" s="45">
        <f>SUM(O4:O15)</f>
        <v>20152.6</v>
      </c>
      <c r="P17" s="45">
        <f>SUM(P4:P16)</f>
        <v>6272.3</v>
      </c>
      <c r="Q17" s="11"/>
    </row>
    <row r="18" spans="1:17" ht="15">
      <c r="A18" s="51" t="s">
        <v>79</v>
      </c>
      <c r="B18" s="106"/>
      <c r="C18" s="99">
        <f>C17/10</f>
        <v>946238.9166666666</v>
      </c>
      <c r="D18" s="99">
        <f>D17/12</f>
        <v>932415.1089940983</v>
      </c>
      <c r="E18" s="99">
        <f>E17/12</f>
        <v>904107.5</v>
      </c>
      <c r="F18" s="99">
        <f>F17/12</f>
        <v>927754.25</v>
      </c>
      <c r="G18" s="100">
        <f>G17/4</f>
        <v>896911.8333333334</v>
      </c>
      <c r="I18" s="1"/>
      <c r="J18" s="51" t="s">
        <v>79</v>
      </c>
      <c r="K18" s="79"/>
      <c r="L18" s="99">
        <f>L17/10</f>
        <v>1055</v>
      </c>
      <c r="M18" s="99">
        <f>M17/12</f>
        <v>1725.6749999999995</v>
      </c>
      <c r="N18" s="99">
        <f>N17/12</f>
        <v>1353.6333333333334</v>
      </c>
      <c r="O18" s="99">
        <f>O17/12</f>
        <v>1679.3833333333332</v>
      </c>
      <c r="P18" s="100">
        <f>P17/4</f>
        <v>1568.075</v>
      </c>
      <c r="Q18" s="28"/>
    </row>
    <row r="19" spans="1:17" ht="19.5" customHeight="1">
      <c r="A19" s="79"/>
      <c r="B19" s="106"/>
      <c r="C19" s="99"/>
      <c r="D19" s="99"/>
      <c r="E19" s="99"/>
      <c r="F19" s="99"/>
      <c r="G19" s="99"/>
      <c r="I19" s="1"/>
      <c r="J19" s="79"/>
      <c r="K19" s="79"/>
      <c r="L19" s="99"/>
      <c r="M19" s="99"/>
      <c r="N19" s="99"/>
      <c r="O19" s="99"/>
      <c r="P19" s="99"/>
      <c r="Q19" s="28"/>
    </row>
    <row r="20" spans="1:16" ht="15">
      <c r="A20" s="76" t="s">
        <v>37</v>
      </c>
      <c r="B20" s="102"/>
      <c r="C20" s="69"/>
      <c r="D20" s="74" t="s">
        <v>30</v>
      </c>
      <c r="E20" s="75"/>
      <c r="F20" s="75"/>
      <c r="G20" s="73"/>
      <c r="J20" s="76" t="s">
        <v>52</v>
      </c>
      <c r="K20" s="75"/>
      <c r="L20" s="69"/>
      <c r="M20" s="74" t="s">
        <v>30</v>
      </c>
      <c r="N20" s="75"/>
      <c r="O20" s="75"/>
      <c r="P20" s="73"/>
    </row>
    <row r="21" spans="1:17" ht="15">
      <c r="A21" s="77" t="s">
        <v>31</v>
      </c>
      <c r="B21" s="103" t="s">
        <v>32</v>
      </c>
      <c r="C21" s="77">
        <v>2002</v>
      </c>
      <c r="D21" s="77">
        <v>2003</v>
      </c>
      <c r="E21" s="77">
        <v>2004</v>
      </c>
      <c r="F21" s="77">
        <v>2005</v>
      </c>
      <c r="G21" s="77">
        <v>2006</v>
      </c>
      <c r="J21" s="77" t="s">
        <v>31</v>
      </c>
      <c r="K21" s="77" t="s">
        <v>32</v>
      </c>
      <c r="L21" s="77">
        <v>2002</v>
      </c>
      <c r="M21" s="77">
        <v>2003</v>
      </c>
      <c r="N21" s="77">
        <v>2004</v>
      </c>
      <c r="O21" s="77">
        <v>2005</v>
      </c>
      <c r="P21" s="77">
        <v>2006</v>
      </c>
      <c r="Q21" s="28"/>
    </row>
    <row r="22" spans="1:17" ht="15">
      <c r="A22" s="30" t="s">
        <v>39</v>
      </c>
      <c r="B22" s="104" t="s">
        <v>34</v>
      </c>
      <c r="C22" s="30"/>
      <c r="D22" s="32">
        <f>'[1]Summary'!B17/12</f>
        <v>513865.7052219657</v>
      </c>
      <c r="E22" s="32">
        <f>'[1]Summary'!C17/12</f>
        <v>469401.8333333333</v>
      </c>
      <c r="F22" s="32">
        <f>'[1]Summary'!D17/12</f>
        <v>472990.5833333333</v>
      </c>
      <c r="G22" s="32">
        <f>'[1]Summary'!E17/12</f>
        <v>458044.8333333333</v>
      </c>
      <c r="I22" s="1"/>
      <c r="J22" s="30" t="s">
        <v>39</v>
      </c>
      <c r="K22" s="30" t="s">
        <v>111</v>
      </c>
      <c r="L22" s="30"/>
      <c r="M22" s="32">
        <f>'[2]6-2 DEMAND, RATES (Input)'!$Q$86/12</f>
        <v>3041.6666666666665</v>
      </c>
      <c r="N22" s="32">
        <f>'[2]6-2 DEMAND, RATES (Input)'!$R$86/12</f>
        <v>2024.5833333333333</v>
      </c>
      <c r="O22" s="32">
        <f>'[1]Data Input'!$R$118/12</f>
        <v>2824.691666666667</v>
      </c>
      <c r="P22" s="32">
        <f>'[1]Data Input'!$R$130/12</f>
        <v>2833.1083333333336</v>
      </c>
      <c r="Q22" s="28"/>
    </row>
    <row r="23" spans="1:17" ht="15">
      <c r="A23" s="30" t="s">
        <v>40</v>
      </c>
      <c r="B23" s="104" t="s">
        <v>34</v>
      </c>
      <c r="C23" s="30"/>
      <c r="D23" s="32">
        <f>D22</f>
        <v>513865.7052219657</v>
      </c>
      <c r="E23" s="32">
        <f>E22</f>
        <v>469401.8333333333</v>
      </c>
      <c r="F23" s="32">
        <f>F22</f>
        <v>472990.5833333333</v>
      </c>
      <c r="G23" s="32">
        <f>G22</f>
        <v>458044.8333333333</v>
      </c>
      <c r="I23" s="1"/>
      <c r="J23" s="30" t="s">
        <v>40</v>
      </c>
      <c r="K23" s="30" t="s">
        <v>111</v>
      </c>
      <c r="L23" s="30"/>
      <c r="M23" s="32">
        <f>M22</f>
        <v>3041.6666666666665</v>
      </c>
      <c r="N23" s="32">
        <f aca="true" t="shared" si="5" ref="N23:N33">N22</f>
        <v>2024.5833333333333</v>
      </c>
      <c r="O23" s="32">
        <f aca="true" t="shared" si="6" ref="O23:O33">O22</f>
        <v>2824.691666666667</v>
      </c>
      <c r="P23" s="32">
        <f>P22</f>
        <v>2833.1083333333336</v>
      </c>
      <c r="Q23" s="28"/>
    </row>
    <row r="24" spans="1:17" ht="15">
      <c r="A24" s="30" t="s">
        <v>41</v>
      </c>
      <c r="B24" s="104" t="s">
        <v>34</v>
      </c>
      <c r="C24" s="43">
        <f>'[2]6-2 DEMAND, RATES (Input)'!$L$54/12</f>
        <v>715858.4166666666</v>
      </c>
      <c r="D24" s="32">
        <f aca="true" t="shared" si="7" ref="D24:D33">D23</f>
        <v>513865.7052219657</v>
      </c>
      <c r="E24" s="32">
        <f aca="true" t="shared" si="8" ref="E24:E33">E23</f>
        <v>469401.8333333333</v>
      </c>
      <c r="F24" s="32">
        <f aca="true" t="shared" si="9" ref="F24:F33">F23</f>
        <v>472990.5833333333</v>
      </c>
      <c r="G24" s="32">
        <f>G23</f>
        <v>458044.8333333333</v>
      </c>
      <c r="J24" s="30" t="s">
        <v>41</v>
      </c>
      <c r="K24" s="30" t="s">
        <v>111</v>
      </c>
      <c r="L24" s="43">
        <f>'[2]6-2 DEMAND, RATES (Input)'!$P$86/12</f>
        <v>3769.5</v>
      </c>
      <c r="M24" s="32">
        <f aca="true" t="shared" si="10" ref="M24:M33">M23</f>
        <v>3041.6666666666665</v>
      </c>
      <c r="N24" s="32">
        <f t="shared" si="5"/>
        <v>2024.5833333333333</v>
      </c>
      <c r="O24" s="32">
        <f t="shared" si="6"/>
        <v>2824.691666666667</v>
      </c>
      <c r="P24" s="32">
        <f>P23</f>
        <v>2833.1083333333336</v>
      </c>
      <c r="Q24" s="11"/>
    </row>
    <row r="25" spans="1:17" ht="15">
      <c r="A25" s="30" t="s">
        <v>42</v>
      </c>
      <c r="B25" s="104" t="s">
        <v>34</v>
      </c>
      <c r="C25" s="43">
        <f>C24</f>
        <v>715858.4166666666</v>
      </c>
      <c r="D25" s="32">
        <f t="shared" si="7"/>
        <v>513865.7052219657</v>
      </c>
      <c r="E25" s="32">
        <f t="shared" si="8"/>
        <v>469401.8333333333</v>
      </c>
      <c r="F25" s="32">
        <f t="shared" si="9"/>
        <v>472990.5833333333</v>
      </c>
      <c r="G25" s="32">
        <f>G24</f>
        <v>458044.8333333333</v>
      </c>
      <c r="J25" s="30" t="s">
        <v>42</v>
      </c>
      <c r="K25" s="30" t="s">
        <v>111</v>
      </c>
      <c r="L25" s="43">
        <f>L24</f>
        <v>3769.5</v>
      </c>
      <c r="M25" s="32">
        <f t="shared" si="10"/>
        <v>3041.6666666666665</v>
      </c>
      <c r="N25" s="32">
        <f t="shared" si="5"/>
        <v>2024.5833333333333</v>
      </c>
      <c r="O25" s="32">
        <f t="shared" si="6"/>
        <v>2824.691666666667</v>
      </c>
      <c r="P25" s="32">
        <f>P24</f>
        <v>2833.1083333333336</v>
      </c>
      <c r="Q25" s="11"/>
    </row>
    <row r="26" spans="1:17" ht="15">
      <c r="A26" s="30" t="s">
        <v>35</v>
      </c>
      <c r="B26" s="104" t="s">
        <v>34</v>
      </c>
      <c r="C26" s="43">
        <f>C25</f>
        <v>715858.4166666666</v>
      </c>
      <c r="D26" s="32">
        <f t="shared" si="7"/>
        <v>513865.7052219657</v>
      </c>
      <c r="E26" s="32">
        <f t="shared" si="8"/>
        <v>469401.8333333333</v>
      </c>
      <c r="F26" s="32">
        <f t="shared" si="9"/>
        <v>472990.5833333333</v>
      </c>
      <c r="G26" s="31"/>
      <c r="J26" s="30" t="s">
        <v>35</v>
      </c>
      <c r="K26" s="30" t="s">
        <v>111</v>
      </c>
      <c r="L26" s="43">
        <f aca="true" t="shared" si="11" ref="L26:L33">L25</f>
        <v>3769.5</v>
      </c>
      <c r="M26" s="32">
        <f t="shared" si="10"/>
        <v>3041.6666666666665</v>
      </c>
      <c r="N26" s="32">
        <f t="shared" si="5"/>
        <v>2024.5833333333333</v>
      </c>
      <c r="O26" s="32">
        <f t="shared" si="6"/>
        <v>2824.691666666667</v>
      </c>
      <c r="P26" s="32"/>
      <c r="Q26" s="11"/>
    </row>
    <row r="27" spans="1:17" ht="15">
      <c r="A27" s="30" t="s">
        <v>43</v>
      </c>
      <c r="B27" s="104" t="s">
        <v>34</v>
      </c>
      <c r="C27" s="43">
        <f aca="true" t="shared" si="12" ref="C27:C33">C26</f>
        <v>715858.4166666666</v>
      </c>
      <c r="D27" s="32">
        <f t="shared" si="7"/>
        <v>513865.7052219657</v>
      </c>
      <c r="E27" s="32">
        <f t="shared" si="8"/>
        <v>469401.8333333333</v>
      </c>
      <c r="F27" s="32">
        <f t="shared" si="9"/>
        <v>472990.5833333333</v>
      </c>
      <c r="G27" s="31"/>
      <c r="J27" s="30" t="s">
        <v>43</v>
      </c>
      <c r="K27" s="30" t="s">
        <v>111</v>
      </c>
      <c r="L27" s="43">
        <f t="shared" si="11"/>
        <v>3769.5</v>
      </c>
      <c r="M27" s="32">
        <f t="shared" si="10"/>
        <v>3041.6666666666665</v>
      </c>
      <c r="N27" s="32">
        <f t="shared" si="5"/>
        <v>2024.5833333333333</v>
      </c>
      <c r="O27" s="32">
        <f t="shared" si="6"/>
        <v>2824.691666666667</v>
      </c>
      <c r="P27" s="32"/>
      <c r="Q27" s="11"/>
    </row>
    <row r="28" spans="1:17" ht="15">
      <c r="A28" s="30" t="s">
        <v>44</v>
      </c>
      <c r="B28" s="104" t="s">
        <v>34</v>
      </c>
      <c r="C28" s="43">
        <f t="shared" si="12"/>
        <v>715858.4166666666</v>
      </c>
      <c r="D28" s="32">
        <f t="shared" si="7"/>
        <v>513865.7052219657</v>
      </c>
      <c r="E28" s="32">
        <f t="shared" si="8"/>
        <v>469401.8333333333</v>
      </c>
      <c r="F28" s="32">
        <f t="shared" si="9"/>
        <v>472990.5833333333</v>
      </c>
      <c r="G28" s="31"/>
      <c r="H28" s="42"/>
      <c r="I28" s="21"/>
      <c r="J28" s="30" t="s">
        <v>44</v>
      </c>
      <c r="K28" s="30" t="s">
        <v>111</v>
      </c>
      <c r="L28" s="43">
        <f t="shared" si="11"/>
        <v>3769.5</v>
      </c>
      <c r="M28" s="32">
        <f t="shared" si="10"/>
        <v>3041.6666666666665</v>
      </c>
      <c r="N28" s="32">
        <f t="shared" si="5"/>
        <v>2024.5833333333333</v>
      </c>
      <c r="O28" s="32">
        <f t="shared" si="6"/>
        <v>2824.691666666667</v>
      </c>
      <c r="P28" s="32"/>
      <c r="Q28" s="11"/>
    </row>
    <row r="29" spans="1:17" ht="15">
      <c r="A29" s="30" t="s">
        <v>45</v>
      </c>
      <c r="B29" s="104" t="s">
        <v>34</v>
      </c>
      <c r="C29" s="43">
        <f t="shared" si="12"/>
        <v>715858.4166666666</v>
      </c>
      <c r="D29" s="32">
        <f t="shared" si="7"/>
        <v>513865.7052219657</v>
      </c>
      <c r="E29" s="32">
        <f t="shared" si="8"/>
        <v>469401.8333333333</v>
      </c>
      <c r="F29" s="32">
        <f t="shared" si="9"/>
        <v>472990.5833333333</v>
      </c>
      <c r="G29" s="31"/>
      <c r="H29" s="42"/>
      <c r="I29" s="3"/>
      <c r="J29" s="30" t="s">
        <v>45</v>
      </c>
      <c r="K29" s="30" t="s">
        <v>111</v>
      </c>
      <c r="L29" s="43">
        <f t="shared" si="11"/>
        <v>3769.5</v>
      </c>
      <c r="M29" s="32">
        <f t="shared" si="10"/>
        <v>3041.6666666666665</v>
      </c>
      <c r="N29" s="32">
        <f t="shared" si="5"/>
        <v>2024.5833333333333</v>
      </c>
      <c r="O29" s="32">
        <f t="shared" si="6"/>
        <v>2824.691666666667</v>
      </c>
      <c r="P29" s="32"/>
      <c r="Q29" s="11"/>
    </row>
    <row r="30" spans="1:17" ht="15">
      <c r="A30" s="30" t="s">
        <v>46</v>
      </c>
      <c r="B30" s="104" t="s">
        <v>34</v>
      </c>
      <c r="C30" s="43">
        <f t="shared" si="12"/>
        <v>715858.4166666666</v>
      </c>
      <c r="D30" s="32">
        <f t="shared" si="7"/>
        <v>513865.7052219657</v>
      </c>
      <c r="E30" s="32">
        <f t="shared" si="8"/>
        <v>469401.8333333333</v>
      </c>
      <c r="F30" s="32">
        <f t="shared" si="9"/>
        <v>472990.5833333333</v>
      </c>
      <c r="G30" s="31"/>
      <c r="I30" s="3"/>
      <c r="J30" s="30" t="s">
        <v>46</v>
      </c>
      <c r="K30" s="30" t="s">
        <v>111</v>
      </c>
      <c r="L30" s="43">
        <f t="shared" si="11"/>
        <v>3769.5</v>
      </c>
      <c r="M30" s="32">
        <f t="shared" si="10"/>
        <v>3041.6666666666665</v>
      </c>
      <c r="N30" s="32">
        <f t="shared" si="5"/>
        <v>2024.5833333333333</v>
      </c>
      <c r="O30" s="32">
        <f t="shared" si="6"/>
        <v>2824.691666666667</v>
      </c>
      <c r="P30" s="32"/>
      <c r="Q30" s="11"/>
    </row>
    <row r="31" spans="1:17" ht="15">
      <c r="A31" s="30" t="s">
        <v>47</v>
      </c>
      <c r="B31" s="104" t="s">
        <v>34</v>
      </c>
      <c r="C31" s="43">
        <f t="shared" si="12"/>
        <v>715858.4166666666</v>
      </c>
      <c r="D31" s="32">
        <f t="shared" si="7"/>
        <v>513865.7052219657</v>
      </c>
      <c r="E31" s="32">
        <f t="shared" si="8"/>
        <v>469401.8333333333</v>
      </c>
      <c r="F31" s="32">
        <f t="shared" si="9"/>
        <v>472990.5833333333</v>
      </c>
      <c r="G31" s="31"/>
      <c r="J31" s="30" t="s">
        <v>47</v>
      </c>
      <c r="K31" s="30" t="s">
        <v>111</v>
      </c>
      <c r="L31" s="43">
        <f t="shared" si="11"/>
        <v>3769.5</v>
      </c>
      <c r="M31" s="32">
        <f t="shared" si="10"/>
        <v>3041.6666666666665</v>
      </c>
      <c r="N31" s="32">
        <f t="shared" si="5"/>
        <v>2024.5833333333333</v>
      </c>
      <c r="O31" s="32">
        <f t="shared" si="6"/>
        <v>2824.691666666667</v>
      </c>
      <c r="P31" s="32"/>
      <c r="Q31" s="11"/>
    </row>
    <row r="32" spans="1:17" ht="15">
      <c r="A32" s="30" t="s">
        <v>48</v>
      </c>
      <c r="B32" s="104" t="s">
        <v>34</v>
      </c>
      <c r="C32" s="43">
        <f t="shared" si="12"/>
        <v>715858.4166666666</v>
      </c>
      <c r="D32" s="32">
        <f t="shared" si="7"/>
        <v>513865.7052219657</v>
      </c>
      <c r="E32" s="32">
        <f t="shared" si="8"/>
        <v>469401.8333333333</v>
      </c>
      <c r="F32" s="32">
        <f t="shared" si="9"/>
        <v>472990.5833333333</v>
      </c>
      <c r="G32" s="31"/>
      <c r="J32" s="30" t="s">
        <v>48</v>
      </c>
      <c r="K32" s="30" t="s">
        <v>111</v>
      </c>
      <c r="L32" s="43">
        <f t="shared" si="11"/>
        <v>3769.5</v>
      </c>
      <c r="M32" s="32">
        <f t="shared" si="10"/>
        <v>3041.6666666666665</v>
      </c>
      <c r="N32" s="32">
        <f t="shared" si="5"/>
        <v>2024.5833333333333</v>
      </c>
      <c r="O32" s="32">
        <f t="shared" si="6"/>
        <v>2824.691666666667</v>
      </c>
      <c r="P32" s="32"/>
      <c r="Q32" s="11"/>
    </row>
    <row r="33" spans="1:17" ht="15">
      <c r="A33" s="30" t="s">
        <v>49</v>
      </c>
      <c r="B33" s="104" t="s">
        <v>34</v>
      </c>
      <c r="C33" s="43">
        <f t="shared" si="12"/>
        <v>715858.4166666666</v>
      </c>
      <c r="D33" s="32">
        <f t="shared" si="7"/>
        <v>513865.7052219657</v>
      </c>
      <c r="E33" s="32">
        <f t="shared" si="8"/>
        <v>469401.8333333333</v>
      </c>
      <c r="F33" s="32">
        <f t="shared" si="9"/>
        <v>472990.5833333333</v>
      </c>
      <c r="G33" s="31"/>
      <c r="J33" s="30" t="s">
        <v>49</v>
      </c>
      <c r="K33" s="30" t="s">
        <v>111</v>
      </c>
      <c r="L33" s="43">
        <f t="shared" si="11"/>
        <v>3769.5</v>
      </c>
      <c r="M33" s="32">
        <f t="shared" si="10"/>
        <v>3041.6666666666665</v>
      </c>
      <c r="N33" s="32">
        <f t="shared" si="5"/>
        <v>2024.5833333333333</v>
      </c>
      <c r="O33" s="32">
        <f t="shared" si="6"/>
        <v>2824.691666666667</v>
      </c>
      <c r="P33" s="32"/>
      <c r="Q33" s="11"/>
    </row>
    <row r="34" spans="1:17" ht="15">
      <c r="A34" s="30" t="s">
        <v>38</v>
      </c>
      <c r="B34" s="104"/>
      <c r="C34" s="43"/>
      <c r="D34" s="31"/>
      <c r="E34" s="31"/>
      <c r="F34" s="31"/>
      <c r="G34" s="31"/>
      <c r="J34" s="30" t="s">
        <v>38</v>
      </c>
      <c r="K34" s="30" t="s">
        <v>111</v>
      </c>
      <c r="L34" s="43"/>
      <c r="M34" s="31"/>
      <c r="N34" s="31"/>
      <c r="O34" s="31"/>
      <c r="P34" s="31"/>
      <c r="Q34" s="11"/>
    </row>
    <row r="35" spans="1:17" ht="15">
      <c r="A35" s="44" t="s">
        <v>11</v>
      </c>
      <c r="B35" s="105"/>
      <c r="C35" s="46">
        <f>SUM(C22:C34)</f>
        <v>7158584.166666668</v>
      </c>
      <c r="D35" s="45">
        <f>SUM(D22:D34)</f>
        <v>6166388.46266359</v>
      </c>
      <c r="E35" s="45">
        <f>SUM(E22:E34)</f>
        <v>5632821.999999999</v>
      </c>
      <c r="F35" s="45">
        <f>SUM(F22:F34)</f>
        <v>5675886.999999999</v>
      </c>
      <c r="G35" s="45">
        <f>SUM(G22:G34)</f>
        <v>1832179.3333333333</v>
      </c>
      <c r="J35" s="44" t="s">
        <v>11</v>
      </c>
      <c r="K35" s="44"/>
      <c r="L35" s="45">
        <f>SUM(L22:L34)</f>
        <v>37695</v>
      </c>
      <c r="M35" s="45">
        <f>SUM(M22:M34)</f>
        <v>36500</v>
      </c>
      <c r="N35" s="45">
        <f>SUM(N22:N34)</f>
        <v>24294.999999999996</v>
      </c>
      <c r="O35" s="45">
        <f>SUM(O22:O34)</f>
        <v>33896.299999999996</v>
      </c>
      <c r="P35" s="45">
        <f>SUM(P22:P34)</f>
        <v>11332.433333333334</v>
      </c>
      <c r="Q35" s="11"/>
    </row>
    <row r="36" spans="1:17" ht="15">
      <c r="A36" s="51" t="s">
        <v>79</v>
      </c>
      <c r="B36" s="106"/>
      <c r="C36" s="99">
        <f>C35/10</f>
        <v>715858.4166666667</v>
      </c>
      <c r="D36" s="99">
        <f>D35/12</f>
        <v>513865.70522196585</v>
      </c>
      <c r="E36" s="99">
        <f>E35/12</f>
        <v>469401.83333333326</v>
      </c>
      <c r="F36" s="99">
        <f>F35/12</f>
        <v>472990.58333333326</v>
      </c>
      <c r="G36" s="100">
        <f>G35/4</f>
        <v>458044.8333333333</v>
      </c>
      <c r="I36" s="1"/>
      <c r="J36" s="51" t="s">
        <v>79</v>
      </c>
      <c r="K36" s="79"/>
      <c r="L36" s="99">
        <f>L35/10</f>
        <v>3769.5</v>
      </c>
      <c r="M36" s="99">
        <f>M35/12</f>
        <v>3041.6666666666665</v>
      </c>
      <c r="N36" s="99">
        <f>N35/12</f>
        <v>2024.583333333333</v>
      </c>
      <c r="O36" s="99">
        <f>O35/12</f>
        <v>2824.691666666666</v>
      </c>
      <c r="P36" s="100">
        <f>P35/4</f>
        <v>2833.1083333333336</v>
      </c>
      <c r="Q36" s="28"/>
    </row>
    <row r="37" spans="3:17" ht="18" customHeight="1">
      <c r="C37" s="99"/>
      <c r="G37" s="99"/>
      <c r="L37" s="99"/>
      <c r="M37" s="27"/>
      <c r="N37" s="29"/>
      <c r="O37" s="11"/>
      <c r="P37" s="99"/>
      <c r="Q37" s="11"/>
    </row>
    <row r="38" spans="1:16" ht="15">
      <c r="A38" s="76" t="s">
        <v>37</v>
      </c>
      <c r="B38" s="102"/>
      <c r="C38" s="69"/>
      <c r="D38" s="74" t="s">
        <v>30</v>
      </c>
      <c r="E38" s="75"/>
      <c r="F38" s="75"/>
      <c r="G38" s="73"/>
      <c r="J38" s="76" t="s">
        <v>52</v>
      </c>
      <c r="K38" s="75"/>
      <c r="L38" s="69"/>
      <c r="M38" s="74" t="s">
        <v>30</v>
      </c>
      <c r="N38" s="75"/>
      <c r="O38" s="75"/>
      <c r="P38" s="73"/>
    </row>
    <row r="39" spans="1:17" ht="15">
      <c r="A39" s="77" t="s">
        <v>31</v>
      </c>
      <c r="B39" s="103" t="s">
        <v>32</v>
      </c>
      <c r="C39" s="77">
        <v>2002</v>
      </c>
      <c r="D39" s="77">
        <v>2003</v>
      </c>
      <c r="E39" s="77">
        <v>2004</v>
      </c>
      <c r="F39" s="77">
        <v>2005</v>
      </c>
      <c r="G39" s="77">
        <v>2006</v>
      </c>
      <c r="J39" s="77" t="s">
        <v>31</v>
      </c>
      <c r="K39" s="77" t="s">
        <v>32</v>
      </c>
      <c r="L39" s="77">
        <v>2002</v>
      </c>
      <c r="M39" s="77">
        <v>2003</v>
      </c>
      <c r="N39" s="77">
        <v>2004</v>
      </c>
      <c r="O39" s="77">
        <v>2005</v>
      </c>
      <c r="P39" s="77">
        <v>2006</v>
      </c>
      <c r="Q39" s="28"/>
    </row>
    <row r="40" spans="1:17" ht="15">
      <c r="A40" s="30" t="s">
        <v>39</v>
      </c>
      <c r="B40" s="104" t="s">
        <v>8</v>
      </c>
      <c r="C40" s="43"/>
      <c r="D40" s="43"/>
      <c r="E40" s="43"/>
      <c r="F40" s="31"/>
      <c r="G40" s="31"/>
      <c r="J40" s="30" t="s">
        <v>39</v>
      </c>
      <c r="K40" s="30" t="s">
        <v>55</v>
      </c>
      <c r="L40" s="30"/>
      <c r="M40" s="32">
        <f>'[1]Summary'!B37/12</f>
        <v>133.43333333333334</v>
      </c>
      <c r="N40" s="32">
        <f>'[1]Summary'!C37/12</f>
        <v>130.21461666666667</v>
      </c>
      <c r="O40" s="32">
        <f>'[1]Summary'!D37/12</f>
        <v>125.95833333333333</v>
      </c>
      <c r="P40" s="32">
        <f>'[1]Summary'!E37/12</f>
        <v>121.86666666666667</v>
      </c>
      <c r="Q40" s="11"/>
    </row>
    <row r="41" spans="1:17" ht="15">
      <c r="A41" s="30" t="s">
        <v>40</v>
      </c>
      <c r="B41" s="104" t="s">
        <v>8</v>
      </c>
      <c r="C41" s="43"/>
      <c r="D41" s="43"/>
      <c r="E41" s="43"/>
      <c r="F41" s="31"/>
      <c r="G41" s="31"/>
      <c r="J41" s="30" t="s">
        <v>40</v>
      </c>
      <c r="K41" s="30" t="s">
        <v>55</v>
      </c>
      <c r="L41" s="30"/>
      <c r="M41" s="32">
        <f>M40</f>
        <v>133.43333333333334</v>
      </c>
      <c r="N41" s="32">
        <f aca="true" t="shared" si="13" ref="N41:P51">N40</f>
        <v>130.21461666666667</v>
      </c>
      <c r="O41" s="32">
        <f t="shared" si="13"/>
        <v>125.95833333333333</v>
      </c>
      <c r="P41" s="32">
        <f t="shared" si="13"/>
        <v>121.86666666666667</v>
      </c>
      <c r="Q41" s="11"/>
    </row>
    <row r="42" spans="1:17" ht="15">
      <c r="A42" s="30" t="s">
        <v>41</v>
      </c>
      <c r="B42" s="104" t="s">
        <v>8</v>
      </c>
      <c r="C42" s="43"/>
      <c r="D42" s="43"/>
      <c r="E42" s="43"/>
      <c r="F42" s="31"/>
      <c r="G42" s="31"/>
      <c r="J42" s="30" t="s">
        <v>41</v>
      </c>
      <c r="K42" s="30" t="s">
        <v>55</v>
      </c>
      <c r="L42" s="43">
        <f>'[2]6-2 DEMAND, RATES (Input)'!$P$103/12</f>
        <v>125.33333333333333</v>
      </c>
      <c r="M42" s="32">
        <f aca="true" t="shared" si="14" ref="M42:M51">M41</f>
        <v>133.43333333333334</v>
      </c>
      <c r="N42" s="32">
        <f t="shared" si="13"/>
        <v>130.21461666666667</v>
      </c>
      <c r="O42" s="32">
        <f t="shared" si="13"/>
        <v>125.95833333333333</v>
      </c>
      <c r="P42" s="32">
        <f t="shared" si="13"/>
        <v>121.86666666666667</v>
      </c>
      <c r="Q42" s="11"/>
    </row>
    <row r="43" spans="1:17" ht="15">
      <c r="A43" s="30" t="s">
        <v>42</v>
      </c>
      <c r="B43" s="104" t="s">
        <v>8</v>
      </c>
      <c r="C43" s="43"/>
      <c r="D43" s="43"/>
      <c r="E43" s="43"/>
      <c r="F43" s="31"/>
      <c r="G43" s="31"/>
      <c r="J43" s="30" t="s">
        <v>42</v>
      </c>
      <c r="K43" s="30" t="s">
        <v>55</v>
      </c>
      <c r="L43" s="43">
        <f>L42</f>
        <v>125.33333333333333</v>
      </c>
      <c r="M43" s="32">
        <f t="shared" si="14"/>
        <v>133.43333333333334</v>
      </c>
      <c r="N43" s="32">
        <f t="shared" si="13"/>
        <v>130.21461666666667</v>
      </c>
      <c r="O43" s="32">
        <f t="shared" si="13"/>
        <v>125.95833333333333</v>
      </c>
      <c r="P43" s="32">
        <f t="shared" si="13"/>
        <v>121.86666666666667</v>
      </c>
      <c r="Q43" s="11"/>
    </row>
    <row r="44" spans="1:17" ht="15.75" customHeight="1">
      <c r="A44" s="30" t="s">
        <v>35</v>
      </c>
      <c r="B44" s="104" t="s">
        <v>8</v>
      </c>
      <c r="C44" s="43"/>
      <c r="D44" s="43"/>
      <c r="E44" s="43"/>
      <c r="F44" s="31"/>
      <c r="G44" s="31">
        <f>-G52</f>
        <v>0</v>
      </c>
      <c r="J44" s="30" t="s">
        <v>35</v>
      </c>
      <c r="K44" s="30" t="s">
        <v>55</v>
      </c>
      <c r="L44" s="43">
        <f aca="true" t="shared" si="15" ref="L44:L51">L43</f>
        <v>125.33333333333333</v>
      </c>
      <c r="M44" s="32">
        <f t="shared" si="14"/>
        <v>133.43333333333334</v>
      </c>
      <c r="N44" s="32">
        <f t="shared" si="13"/>
        <v>130.21461666666667</v>
      </c>
      <c r="O44" s="32">
        <f t="shared" si="13"/>
        <v>125.95833333333333</v>
      </c>
      <c r="P44" s="32"/>
      <c r="Q44" s="11"/>
    </row>
    <row r="45" spans="1:17" s="1" customFormat="1" ht="15">
      <c r="A45" s="30" t="s">
        <v>43</v>
      </c>
      <c r="B45" s="104" t="s">
        <v>8</v>
      </c>
      <c r="C45" s="43"/>
      <c r="D45" s="43"/>
      <c r="E45" s="43"/>
      <c r="F45" s="31"/>
      <c r="G45" s="31"/>
      <c r="J45" s="30" t="s">
        <v>43</v>
      </c>
      <c r="K45" s="30" t="s">
        <v>55</v>
      </c>
      <c r="L45" s="43">
        <f t="shared" si="15"/>
        <v>125.33333333333333</v>
      </c>
      <c r="M45" s="32">
        <f t="shared" si="14"/>
        <v>133.43333333333334</v>
      </c>
      <c r="N45" s="32">
        <f t="shared" si="13"/>
        <v>130.21461666666667</v>
      </c>
      <c r="O45" s="32">
        <f t="shared" si="13"/>
        <v>125.95833333333333</v>
      </c>
      <c r="P45" s="32"/>
      <c r="Q45" s="41"/>
    </row>
    <row r="46" spans="1:17" s="1" customFormat="1" ht="15">
      <c r="A46" s="30" t="s">
        <v>44</v>
      </c>
      <c r="B46" s="104" t="s">
        <v>8</v>
      </c>
      <c r="C46" s="43"/>
      <c r="D46" s="43"/>
      <c r="E46" s="43"/>
      <c r="F46" s="31"/>
      <c r="G46" s="31"/>
      <c r="J46" s="30" t="s">
        <v>44</v>
      </c>
      <c r="K46" s="30" t="s">
        <v>55</v>
      </c>
      <c r="L46" s="43">
        <f t="shared" si="15"/>
        <v>125.33333333333333</v>
      </c>
      <c r="M46" s="32">
        <f t="shared" si="14"/>
        <v>133.43333333333334</v>
      </c>
      <c r="N46" s="32">
        <f t="shared" si="13"/>
        <v>130.21461666666667</v>
      </c>
      <c r="O46" s="32">
        <f t="shared" si="13"/>
        <v>125.95833333333333</v>
      </c>
      <c r="P46" s="32"/>
      <c r="Q46" s="41"/>
    </row>
    <row r="47" spans="1:17" ht="15">
      <c r="A47" s="30" t="s">
        <v>45</v>
      </c>
      <c r="B47" s="104" t="s">
        <v>8</v>
      </c>
      <c r="C47" s="43"/>
      <c r="D47" s="43"/>
      <c r="E47" s="43"/>
      <c r="F47" s="31"/>
      <c r="G47" s="31"/>
      <c r="J47" s="30" t="s">
        <v>45</v>
      </c>
      <c r="K47" s="30" t="s">
        <v>55</v>
      </c>
      <c r="L47" s="43">
        <f t="shared" si="15"/>
        <v>125.33333333333333</v>
      </c>
      <c r="M47" s="32">
        <f t="shared" si="14"/>
        <v>133.43333333333334</v>
      </c>
      <c r="N47" s="32">
        <f t="shared" si="13"/>
        <v>130.21461666666667</v>
      </c>
      <c r="O47" s="32">
        <f t="shared" si="13"/>
        <v>125.95833333333333</v>
      </c>
      <c r="P47" s="32"/>
      <c r="Q47" s="11"/>
    </row>
    <row r="48" spans="1:17" ht="15">
      <c r="A48" s="30" t="s">
        <v>46</v>
      </c>
      <c r="B48" s="104" t="s">
        <v>8</v>
      </c>
      <c r="C48" s="43"/>
      <c r="D48" s="43"/>
      <c r="E48" s="43"/>
      <c r="F48" s="31"/>
      <c r="G48" s="31"/>
      <c r="J48" s="30" t="s">
        <v>46</v>
      </c>
      <c r="K48" s="30" t="s">
        <v>55</v>
      </c>
      <c r="L48" s="43">
        <f t="shared" si="15"/>
        <v>125.33333333333333</v>
      </c>
      <c r="M48" s="32">
        <f t="shared" si="14"/>
        <v>133.43333333333334</v>
      </c>
      <c r="N48" s="32">
        <f t="shared" si="13"/>
        <v>130.21461666666667</v>
      </c>
      <c r="O48" s="32">
        <f t="shared" si="13"/>
        <v>125.95833333333333</v>
      </c>
      <c r="P48" s="32"/>
      <c r="Q48" s="11"/>
    </row>
    <row r="49" spans="1:17" ht="15">
      <c r="A49" s="30" t="s">
        <v>47</v>
      </c>
      <c r="B49" s="104" t="s">
        <v>8</v>
      </c>
      <c r="C49" s="43"/>
      <c r="D49" s="43"/>
      <c r="E49" s="43"/>
      <c r="F49" s="31"/>
      <c r="G49" s="31"/>
      <c r="J49" s="30" t="s">
        <v>47</v>
      </c>
      <c r="K49" s="30" t="s">
        <v>55</v>
      </c>
      <c r="L49" s="43">
        <f t="shared" si="15"/>
        <v>125.33333333333333</v>
      </c>
      <c r="M49" s="32">
        <f t="shared" si="14"/>
        <v>133.43333333333334</v>
      </c>
      <c r="N49" s="32">
        <f t="shared" si="13"/>
        <v>130.21461666666667</v>
      </c>
      <c r="O49" s="32">
        <f t="shared" si="13"/>
        <v>125.95833333333333</v>
      </c>
      <c r="P49" s="32"/>
      <c r="Q49" s="11"/>
    </row>
    <row r="50" spans="1:17" ht="15">
      <c r="A50" s="30" t="s">
        <v>48</v>
      </c>
      <c r="B50" s="104" t="s">
        <v>8</v>
      </c>
      <c r="C50" s="43"/>
      <c r="D50" s="43"/>
      <c r="E50" s="43"/>
      <c r="F50" s="31"/>
      <c r="G50" s="31"/>
      <c r="J50" s="30" t="s">
        <v>48</v>
      </c>
      <c r="K50" s="30" t="s">
        <v>55</v>
      </c>
      <c r="L50" s="43">
        <f t="shared" si="15"/>
        <v>125.33333333333333</v>
      </c>
      <c r="M50" s="32">
        <f t="shared" si="14"/>
        <v>133.43333333333334</v>
      </c>
      <c r="N50" s="32">
        <f t="shared" si="13"/>
        <v>130.21461666666667</v>
      </c>
      <c r="O50" s="32">
        <f t="shared" si="13"/>
        <v>125.95833333333333</v>
      </c>
      <c r="P50" s="32"/>
      <c r="Q50" s="11"/>
    </row>
    <row r="51" spans="1:17" ht="15">
      <c r="A51" s="30" t="s">
        <v>49</v>
      </c>
      <c r="B51" s="104" t="s">
        <v>8</v>
      </c>
      <c r="C51" s="43"/>
      <c r="D51" s="43"/>
      <c r="E51" s="43"/>
      <c r="F51" s="31"/>
      <c r="G51" s="31"/>
      <c r="J51" s="30" t="s">
        <v>49</v>
      </c>
      <c r="K51" s="30" t="s">
        <v>55</v>
      </c>
      <c r="L51" s="43">
        <f t="shared" si="15"/>
        <v>125.33333333333333</v>
      </c>
      <c r="M51" s="32">
        <f t="shared" si="14"/>
        <v>133.43333333333334</v>
      </c>
      <c r="N51" s="32">
        <f t="shared" si="13"/>
        <v>130.21461666666667</v>
      </c>
      <c r="O51" s="32">
        <f t="shared" si="13"/>
        <v>125.95833333333333</v>
      </c>
      <c r="P51" s="32"/>
      <c r="Q51" s="11"/>
    </row>
    <row r="52" spans="1:17" ht="15">
      <c r="A52" s="30" t="s">
        <v>38</v>
      </c>
      <c r="B52" s="104" t="s">
        <v>8</v>
      </c>
      <c r="C52" s="43"/>
      <c r="D52" s="31"/>
      <c r="E52" s="31"/>
      <c r="F52" s="31"/>
      <c r="G52" s="31">
        <v>0</v>
      </c>
      <c r="J52" s="30" t="s">
        <v>38</v>
      </c>
      <c r="K52" s="30" t="s">
        <v>55</v>
      </c>
      <c r="L52" s="43"/>
      <c r="M52" s="30"/>
      <c r="N52" s="32"/>
      <c r="O52" s="32"/>
      <c r="P52" s="43"/>
      <c r="Q52" s="11"/>
    </row>
    <row r="53" spans="1:17" ht="15">
      <c r="A53" s="44" t="s">
        <v>11</v>
      </c>
      <c r="B53" s="105"/>
      <c r="C53" s="46">
        <f>SUM(C40:C52)</f>
        <v>0</v>
      </c>
      <c r="D53" s="45">
        <f>SUM(D40:D52)</f>
        <v>0</v>
      </c>
      <c r="E53" s="45">
        <f>SUM(E40:E52)</f>
        <v>0</v>
      </c>
      <c r="F53" s="45">
        <f>SUM(F40:F51)</f>
        <v>0</v>
      </c>
      <c r="G53" s="45">
        <f>SUM(G40:G52)</f>
        <v>0</v>
      </c>
      <c r="J53" s="44" t="s">
        <v>11</v>
      </c>
      <c r="K53" s="44"/>
      <c r="L53" s="45">
        <f>SUM(L40:L52)</f>
        <v>1253.3333333333333</v>
      </c>
      <c r="M53" s="45">
        <f>SUM(M40:M52)</f>
        <v>1601.2000000000005</v>
      </c>
      <c r="N53" s="45">
        <f>SUM(N40:N52)</f>
        <v>1562.5754</v>
      </c>
      <c r="O53" s="45">
        <f>SUM(O40:O51)</f>
        <v>1511.4999999999998</v>
      </c>
      <c r="P53" s="45">
        <f>SUM(P40:P52)</f>
        <v>487.4666666666667</v>
      </c>
      <c r="Q53" s="11"/>
    </row>
    <row r="54" spans="1:17" ht="15">
      <c r="A54" s="51" t="s">
        <v>79</v>
      </c>
      <c r="B54" s="106"/>
      <c r="C54" s="99">
        <f>C53/10</f>
        <v>0</v>
      </c>
      <c r="D54" s="99">
        <f>D53/12</f>
        <v>0</v>
      </c>
      <c r="E54" s="99">
        <f>E53/12</f>
        <v>0</v>
      </c>
      <c r="F54" s="99">
        <f>F53/12</f>
        <v>0</v>
      </c>
      <c r="G54" s="100">
        <f>G53/4</f>
        <v>0</v>
      </c>
      <c r="I54" s="1"/>
      <c r="J54" s="51" t="s">
        <v>79</v>
      </c>
      <c r="K54" s="79"/>
      <c r="L54" s="99">
        <f>L53/10</f>
        <v>125.33333333333333</v>
      </c>
      <c r="M54" s="99">
        <f>M53/12</f>
        <v>133.43333333333337</v>
      </c>
      <c r="N54" s="99">
        <f>N53/12</f>
        <v>130.21461666666667</v>
      </c>
      <c r="O54" s="99">
        <f>O53/12</f>
        <v>125.95833333333331</v>
      </c>
      <c r="P54" s="100">
        <f>P53/4</f>
        <v>121.86666666666667</v>
      </c>
      <c r="Q54" s="11"/>
    </row>
    <row r="55" spans="10:17" ht="18" customHeight="1">
      <c r="J55" s="79"/>
      <c r="K55" s="79"/>
      <c r="L55" s="99"/>
      <c r="M55" s="27"/>
      <c r="N55" s="29"/>
      <c r="O55" s="11"/>
      <c r="P55" s="99"/>
      <c r="Q55" s="11"/>
    </row>
    <row r="56" spans="10:17" ht="15">
      <c r="J56" s="76" t="s">
        <v>52</v>
      </c>
      <c r="K56" s="75"/>
      <c r="L56" s="69"/>
      <c r="M56" s="74" t="s">
        <v>30</v>
      </c>
      <c r="N56" s="75"/>
      <c r="O56" s="75"/>
      <c r="P56" s="73"/>
      <c r="Q56" s="11"/>
    </row>
    <row r="57" spans="1:17" ht="15">
      <c r="A57" s="119" t="s">
        <v>54</v>
      </c>
      <c r="B57" s="120"/>
      <c r="C57" s="121">
        <f>C17+C35+C53</f>
        <v>16620973.333333334</v>
      </c>
      <c r="D57" s="121">
        <f>D17+D35+D53</f>
        <v>17355369.770592768</v>
      </c>
      <c r="E57" s="121">
        <f>E17+E35+E53</f>
        <v>16482112</v>
      </c>
      <c r="F57" s="121">
        <f>F17+F35+F53</f>
        <v>16808938</v>
      </c>
      <c r="G57" s="121">
        <f>G17+G35+G53</f>
        <v>5419826.666666667</v>
      </c>
      <c r="J57" s="77" t="s">
        <v>31</v>
      </c>
      <c r="K57" s="77" t="s">
        <v>32</v>
      </c>
      <c r="L57" s="77">
        <v>2002</v>
      </c>
      <c r="M57" s="77">
        <v>2003</v>
      </c>
      <c r="N57" s="77">
        <v>2004</v>
      </c>
      <c r="O57" s="77">
        <v>2005</v>
      </c>
      <c r="P57" s="77">
        <v>2006</v>
      </c>
      <c r="Q57" s="11"/>
    </row>
    <row r="58" spans="10:17" ht="15">
      <c r="J58" s="30" t="s">
        <v>39</v>
      </c>
      <c r="K58" s="30" t="s">
        <v>56</v>
      </c>
      <c r="L58" s="43"/>
      <c r="M58" s="210">
        <f>3/12</f>
        <v>0.25</v>
      </c>
      <c r="N58" s="210">
        <f>3/12</f>
        <v>0.25</v>
      </c>
      <c r="O58" s="210">
        <f>3/12</f>
        <v>0.25</v>
      </c>
      <c r="P58" s="210">
        <f aca="true" t="shared" si="16" ref="L58:P69">3/12</f>
        <v>0.25</v>
      </c>
      <c r="Q58" s="11"/>
    </row>
    <row r="59" spans="1:17" ht="15">
      <c r="A59" s="3"/>
      <c r="B59" s="107"/>
      <c r="C59" s="3"/>
      <c r="D59" s="3"/>
      <c r="E59" s="3"/>
      <c r="F59" s="3"/>
      <c r="J59" s="30" t="s">
        <v>40</v>
      </c>
      <c r="K59" s="30" t="s">
        <v>56</v>
      </c>
      <c r="L59" s="43"/>
      <c r="M59" s="210">
        <f t="shared" si="16"/>
        <v>0.25</v>
      </c>
      <c r="N59" s="210">
        <f t="shared" si="16"/>
        <v>0.25</v>
      </c>
      <c r="O59" s="210">
        <f t="shared" si="16"/>
        <v>0.25</v>
      </c>
      <c r="P59" s="210">
        <f t="shared" si="16"/>
        <v>0.25</v>
      </c>
      <c r="Q59" s="11"/>
    </row>
    <row r="60" spans="1:17" ht="15">
      <c r="A60" s="119" t="s">
        <v>82</v>
      </c>
      <c r="B60" s="120"/>
      <c r="C60" s="122">
        <f>L35+L17+L71+L53</f>
        <v>49500.833333333336</v>
      </c>
      <c r="D60" s="122">
        <f>M35+M17+M71+M53</f>
        <v>58812.29999999999</v>
      </c>
      <c r="E60" s="122">
        <f>N35+N17+N71+N53</f>
        <v>42104.1754</v>
      </c>
      <c r="F60" s="122">
        <f>O35+O17+O71+O53</f>
        <v>55563.399999999994</v>
      </c>
      <c r="G60" s="122">
        <f>P35+P17+P71+P53</f>
        <v>18093.2</v>
      </c>
      <c r="J60" s="30" t="s">
        <v>41</v>
      </c>
      <c r="K60" s="30" t="s">
        <v>56</v>
      </c>
      <c r="L60" s="210">
        <f>3/12</f>
        <v>0.25</v>
      </c>
      <c r="M60" s="210">
        <f t="shared" si="16"/>
        <v>0.25</v>
      </c>
      <c r="N60" s="210">
        <f t="shared" si="16"/>
        <v>0.25</v>
      </c>
      <c r="O60" s="210">
        <f t="shared" si="16"/>
        <v>0.25</v>
      </c>
      <c r="P60" s="210">
        <f t="shared" si="16"/>
        <v>0.25</v>
      </c>
      <c r="Q60" s="11"/>
    </row>
    <row r="61" spans="1:16" ht="15">
      <c r="A61" s="3"/>
      <c r="B61" s="108"/>
      <c r="C61" s="70"/>
      <c r="D61" s="68"/>
      <c r="E61" s="68"/>
      <c r="F61" s="68"/>
      <c r="G61" s="67"/>
      <c r="J61" s="30" t="s">
        <v>42</v>
      </c>
      <c r="K61" s="30" t="s">
        <v>56</v>
      </c>
      <c r="L61" s="210">
        <f t="shared" si="16"/>
        <v>0.25</v>
      </c>
      <c r="M61" s="210">
        <f t="shared" si="16"/>
        <v>0.25</v>
      </c>
      <c r="N61" s="210">
        <f t="shared" si="16"/>
        <v>0.25</v>
      </c>
      <c r="O61" s="210">
        <f t="shared" si="16"/>
        <v>0.25</v>
      </c>
      <c r="P61" s="210">
        <f t="shared" si="16"/>
        <v>0.25</v>
      </c>
    </row>
    <row r="62" spans="1:16" ht="15">
      <c r="A62" s="3"/>
      <c r="B62" s="108"/>
      <c r="C62" s="70"/>
      <c r="D62" s="68"/>
      <c r="E62" s="68"/>
      <c r="F62" s="68"/>
      <c r="G62" s="67"/>
      <c r="J62" s="30" t="s">
        <v>35</v>
      </c>
      <c r="K62" s="30" t="s">
        <v>56</v>
      </c>
      <c r="L62" s="210">
        <f t="shared" si="16"/>
        <v>0.25</v>
      </c>
      <c r="M62" s="210">
        <f t="shared" si="16"/>
        <v>0.25</v>
      </c>
      <c r="N62" s="210">
        <f t="shared" si="16"/>
        <v>0.25</v>
      </c>
      <c r="O62" s="210">
        <f t="shared" si="16"/>
        <v>0.25</v>
      </c>
      <c r="P62" s="31"/>
    </row>
    <row r="63" spans="1:16" ht="15">
      <c r="A63" s="3"/>
      <c r="B63" s="108"/>
      <c r="C63" s="70"/>
      <c r="D63" s="68"/>
      <c r="E63" s="68"/>
      <c r="F63" s="68"/>
      <c r="G63" s="67"/>
      <c r="J63" s="30" t="s">
        <v>43</v>
      </c>
      <c r="K63" s="30" t="s">
        <v>56</v>
      </c>
      <c r="L63" s="210">
        <f t="shared" si="16"/>
        <v>0.25</v>
      </c>
      <c r="M63" s="210">
        <f t="shared" si="16"/>
        <v>0.25</v>
      </c>
      <c r="N63" s="210">
        <f t="shared" si="16"/>
        <v>0.25</v>
      </c>
      <c r="O63" s="210">
        <f t="shared" si="16"/>
        <v>0.25</v>
      </c>
      <c r="P63" s="31"/>
    </row>
    <row r="64" spans="1:16" ht="15">
      <c r="A64" s="3"/>
      <c r="B64" s="108"/>
      <c r="C64" s="70"/>
      <c r="D64" s="68"/>
      <c r="E64" s="68"/>
      <c r="F64" s="68"/>
      <c r="G64" s="67"/>
      <c r="J64" s="30" t="s">
        <v>44</v>
      </c>
      <c r="K64" s="30" t="s">
        <v>56</v>
      </c>
      <c r="L64" s="210">
        <f t="shared" si="16"/>
        <v>0.25</v>
      </c>
      <c r="M64" s="210">
        <f t="shared" si="16"/>
        <v>0.25</v>
      </c>
      <c r="N64" s="210">
        <f t="shared" si="16"/>
        <v>0.25</v>
      </c>
      <c r="O64" s="210">
        <f t="shared" si="16"/>
        <v>0.25</v>
      </c>
      <c r="P64" s="31"/>
    </row>
    <row r="65" spans="1:16" ht="15">
      <c r="A65" s="3"/>
      <c r="B65" s="108"/>
      <c r="C65" s="70"/>
      <c r="D65" s="68"/>
      <c r="E65" s="68"/>
      <c r="F65" s="68"/>
      <c r="G65" s="67"/>
      <c r="J65" s="30" t="s">
        <v>45</v>
      </c>
      <c r="K65" s="30" t="s">
        <v>56</v>
      </c>
      <c r="L65" s="210">
        <f t="shared" si="16"/>
        <v>0.25</v>
      </c>
      <c r="M65" s="210">
        <f t="shared" si="16"/>
        <v>0.25</v>
      </c>
      <c r="N65" s="210">
        <f t="shared" si="16"/>
        <v>0.25</v>
      </c>
      <c r="O65" s="210">
        <f t="shared" si="16"/>
        <v>0.25</v>
      </c>
      <c r="P65" s="31"/>
    </row>
    <row r="66" spans="1:16" ht="15">
      <c r="A66" s="3"/>
      <c r="B66" s="108"/>
      <c r="C66" s="70"/>
      <c r="D66" s="68"/>
      <c r="E66" s="68"/>
      <c r="F66" s="68"/>
      <c r="G66" s="67"/>
      <c r="J66" s="30" t="s">
        <v>46</v>
      </c>
      <c r="K66" s="30" t="s">
        <v>56</v>
      </c>
      <c r="L66" s="210">
        <f t="shared" si="16"/>
        <v>0.25</v>
      </c>
      <c r="M66" s="210">
        <f t="shared" si="16"/>
        <v>0.25</v>
      </c>
      <c r="N66" s="210">
        <f t="shared" si="16"/>
        <v>0.25</v>
      </c>
      <c r="O66" s="210">
        <f t="shared" si="16"/>
        <v>0.25</v>
      </c>
      <c r="P66" s="31"/>
    </row>
    <row r="67" spans="1:16" ht="15">
      <c r="A67" s="3"/>
      <c r="B67" s="108"/>
      <c r="C67" s="70"/>
      <c r="D67" s="68"/>
      <c r="E67" s="68"/>
      <c r="F67" s="68"/>
      <c r="G67" s="67"/>
      <c r="J67" s="30" t="s">
        <v>47</v>
      </c>
      <c r="K67" s="30" t="s">
        <v>56</v>
      </c>
      <c r="L67" s="210">
        <f t="shared" si="16"/>
        <v>0.25</v>
      </c>
      <c r="M67" s="210">
        <f t="shared" si="16"/>
        <v>0.25</v>
      </c>
      <c r="N67" s="210">
        <f t="shared" si="16"/>
        <v>0.25</v>
      </c>
      <c r="O67" s="210">
        <f t="shared" si="16"/>
        <v>0.25</v>
      </c>
      <c r="P67" s="31"/>
    </row>
    <row r="68" spans="1:16" ht="15">
      <c r="A68" s="3"/>
      <c r="B68" s="108"/>
      <c r="C68" s="70"/>
      <c r="D68" s="68"/>
      <c r="E68" s="68"/>
      <c r="F68" s="68"/>
      <c r="G68" s="67"/>
      <c r="J68" s="30" t="s">
        <v>48</v>
      </c>
      <c r="K68" s="30" t="s">
        <v>56</v>
      </c>
      <c r="L68" s="210">
        <f t="shared" si="16"/>
        <v>0.25</v>
      </c>
      <c r="M68" s="210">
        <f t="shared" si="16"/>
        <v>0.25</v>
      </c>
      <c r="N68" s="210">
        <f t="shared" si="16"/>
        <v>0.25</v>
      </c>
      <c r="O68" s="210">
        <f t="shared" si="16"/>
        <v>0.25</v>
      </c>
      <c r="P68" s="31"/>
    </row>
    <row r="69" spans="1:16" ht="15">
      <c r="A69" s="3"/>
      <c r="B69" s="108"/>
      <c r="C69" s="70"/>
      <c r="D69" s="68"/>
      <c r="E69" s="68"/>
      <c r="F69" s="68"/>
      <c r="G69" s="67"/>
      <c r="J69" s="30" t="s">
        <v>49</v>
      </c>
      <c r="K69" s="30" t="s">
        <v>56</v>
      </c>
      <c r="L69" s="210">
        <f t="shared" si="16"/>
        <v>0.25</v>
      </c>
      <c r="M69" s="210">
        <f t="shared" si="16"/>
        <v>0.25</v>
      </c>
      <c r="N69" s="210">
        <f t="shared" si="16"/>
        <v>0.25</v>
      </c>
      <c r="O69" s="210">
        <f t="shared" si="16"/>
        <v>0.25</v>
      </c>
      <c r="P69" s="31"/>
    </row>
    <row r="70" spans="1:16" ht="15">
      <c r="A70" s="3"/>
      <c r="B70" s="108"/>
      <c r="C70" s="70"/>
      <c r="D70" s="68"/>
      <c r="E70" s="68"/>
      <c r="F70" s="68"/>
      <c r="G70" s="67"/>
      <c r="J70" s="30" t="s">
        <v>38</v>
      </c>
      <c r="K70" s="30" t="s">
        <v>56</v>
      </c>
      <c r="L70" s="43"/>
      <c r="M70" s="31"/>
      <c r="N70" s="31"/>
      <c r="O70" s="31"/>
      <c r="P70" s="31"/>
    </row>
    <row r="71" spans="1:16" ht="15">
      <c r="A71" s="3"/>
      <c r="B71" s="108"/>
      <c r="C71" s="70"/>
      <c r="D71" s="68"/>
      <c r="E71" s="68"/>
      <c r="F71" s="68"/>
      <c r="G71" s="67"/>
      <c r="J71" s="44" t="s">
        <v>11</v>
      </c>
      <c r="K71" s="44"/>
      <c r="L71" s="45">
        <f>SUM(L58:L70)</f>
        <v>2.5</v>
      </c>
      <c r="M71" s="45">
        <f>SUM(M58:M70)</f>
        <v>3</v>
      </c>
      <c r="N71" s="45">
        <f>SUM(N58:N70)</f>
        <v>3</v>
      </c>
      <c r="O71" s="45">
        <f>SUM(O58:O70)</f>
        <v>3</v>
      </c>
      <c r="P71" s="45">
        <f>SUM(P58:P70)</f>
        <v>1</v>
      </c>
    </row>
    <row r="72" spans="1:16" ht="15">
      <c r="A72" s="3"/>
      <c r="B72" s="108"/>
      <c r="C72" s="70"/>
      <c r="D72" s="68"/>
      <c r="E72" s="68"/>
      <c r="F72" s="68"/>
      <c r="G72" s="67"/>
      <c r="J72" s="51" t="s">
        <v>79</v>
      </c>
      <c r="K72" s="79"/>
      <c r="L72" s="99">
        <f>L71/10</f>
        <v>0.25</v>
      </c>
      <c r="M72" s="99">
        <f>M71/12</f>
        <v>0.25</v>
      </c>
      <c r="N72" s="99">
        <f>N71/12</f>
        <v>0.25</v>
      </c>
      <c r="O72" s="99">
        <f>O71/12</f>
        <v>0.25</v>
      </c>
      <c r="P72" s="100">
        <f>P71/4</f>
        <v>0.25</v>
      </c>
    </row>
    <row r="73" spans="1:6" ht="15">
      <c r="A73" s="3"/>
      <c r="B73" s="108"/>
      <c r="C73" s="70"/>
      <c r="D73" s="68"/>
      <c r="E73" s="68"/>
      <c r="F73" s="3"/>
    </row>
    <row r="74" spans="1:6" ht="15">
      <c r="A74" s="3"/>
      <c r="B74" s="107"/>
      <c r="C74" s="3"/>
      <c r="D74" s="3"/>
      <c r="E74" s="3"/>
      <c r="F74" s="3"/>
    </row>
    <row r="75" spans="1:6" ht="15">
      <c r="A75" s="3"/>
      <c r="B75" s="107"/>
      <c r="C75" s="3"/>
      <c r="D75" s="3"/>
      <c r="E75" s="3"/>
      <c r="F75" s="3"/>
    </row>
    <row r="76" spans="1:6" ht="15">
      <c r="A76" s="3"/>
      <c r="B76" s="107"/>
      <c r="C76" s="3"/>
      <c r="D76" s="3"/>
      <c r="E76" s="3"/>
      <c r="F76" s="3"/>
    </row>
    <row r="77" spans="1:6" ht="4.5" customHeight="1">
      <c r="A77" s="3"/>
      <c r="B77" s="107"/>
      <c r="C77" s="3"/>
      <c r="D77" s="3"/>
      <c r="E77" s="3"/>
      <c r="F77" s="3"/>
    </row>
    <row r="78" spans="1:6" ht="15">
      <c r="A78" s="3"/>
      <c r="B78" s="109"/>
      <c r="C78" s="70"/>
      <c r="D78" s="68"/>
      <c r="E78" s="68"/>
      <c r="F78" s="3"/>
    </row>
    <row r="79" spans="1:6" ht="15">
      <c r="A79" s="3"/>
      <c r="B79" s="109"/>
      <c r="C79" s="70"/>
      <c r="D79" s="68"/>
      <c r="E79" s="68"/>
      <c r="F79" s="3"/>
    </row>
    <row r="80" spans="1:6" ht="15">
      <c r="A80" s="3"/>
      <c r="B80" s="109"/>
      <c r="C80" s="70"/>
      <c r="D80" s="68"/>
      <c r="E80" s="68"/>
      <c r="F80" s="3"/>
    </row>
    <row r="81" spans="1:6" ht="15">
      <c r="A81" s="3"/>
      <c r="B81" s="109"/>
      <c r="C81" s="70"/>
      <c r="D81" s="68"/>
      <c r="E81" s="68"/>
      <c r="F81" s="3"/>
    </row>
    <row r="82" spans="1:6" ht="15">
      <c r="A82" s="3"/>
      <c r="B82" s="109"/>
      <c r="C82" s="70"/>
      <c r="D82" s="68"/>
      <c r="E82" s="68"/>
      <c r="F82" s="3"/>
    </row>
    <row r="83" spans="1:6" ht="15">
      <c r="A83" s="3"/>
      <c r="B83" s="109"/>
      <c r="C83" s="70"/>
      <c r="D83" s="68"/>
      <c r="E83" s="68"/>
      <c r="F83" s="3"/>
    </row>
    <row r="84" spans="1:6" ht="15">
      <c r="A84" s="3"/>
      <c r="B84" s="109"/>
      <c r="C84" s="70"/>
      <c r="D84" s="68"/>
      <c r="E84" s="68"/>
      <c r="F84" s="3"/>
    </row>
    <row r="85" spans="1:6" ht="15">
      <c r="A85" s="3"/>
      <c r="B85" s="109"/>
      <c r="C85" s="70"/>
      <c r="D85" s="68"/>
      <c r="E85" s="68"/>
      <c r="F85" s="3"/>
    </row>
    <row r="86" spans="1:6" ht="15">
      <c r="A86" s="3"/>
      <c r="B86" s="109"/>
      <c r="C86" s="70"/>
      <c r="D86" s="68"/>
      <c r="E86" s="68"/>
      <c r="F86" s="3"/>
    </row>
    <row r="87" spans="1:6" ht="15">
      <c r="A87" s="3"/>
      <c r="B87" s="109"/>
      <c r="C87" s="70"/>
      <c r="D87" s="68"/>
      <c r="E87" s="68"/>
      <c r="F87" s="3"/>
    </row>
    <row r="88" spans="1:6" ht="15">
      <c r="A88" s="3"/>
      <c r="B88" s="109"/>
      <c r="C88" s="70"/>
      <c r="D88" s="68"/>
      <c r="E88" s="68"/>
      <c r="F88" s="3"/>
    </row>
    <row r="89" spans="1:6" ht="15">
      <c r="A89" s="3"/>
      <c r="B89" s="109"/>
      <c r="C89" s="70"/>
      <c r="D89" s="68"/>
      <c r="E89" s="68"/>
      <c r="F89" s="3"/>
    </row>
    <row r="90" spans="1:6" ht="15">
      <c r="A90" s="3"/>
      <c r="B90" s="108"/>
      <c r="C90" s="70"/>
      <c r="D90" s="68"/>
      <c r="E90" s="68"/>
      <c r="F90" s="3"/>
    </row>
    <row r="91" spans="1:6" ht="15">
      <c r="A91" s="3"/>
      <c r="B91" s="107"/>
      <c r="C91" s="3"/>
      <c r="D91" s="3"/>
      <c r="E91" s="3"/>
      <c r="F91" s="3"/>
    </row>
    <row r="92" spans="1:6" ht="15">
      <c r="A92" s="3"/>
      <c r="B92" s="107"/>
      <c r="C92" s="3"/>
      <c r="D92" s="3"/>
      <c r="E92" s="3"/>
      <c r="F92" s="3"/>
    </row>
    <row r="93" spans="1:6" ht="15">
      <c r="A93" s="3"/>
      <c r="B93" s="107"/>
      <c r="C93" s="3"/>
      <c r="D93" s="3"/>
      <c r="E93" s="3"/>
      <c r="F93" s="3"/>
    </row>
  </sheetData>
  <sheetProtection/>
  <printOptions/>
  <pageMargins left="0" right="0" top="0.5" bottom="0.1" header="0.3" footer="0.3"/>
  <pageSetup fitToHeight="1" fitToWidth="1" horizontalDpi="600" verticalDpi="600" orientation="portrait" scale="69" r:id="rId1"/>
  <headerFooter alignWithMargins="0">
    <oddHeader>&amp;C&amp;F&amp;A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2"/>
  <sheetViews>
    <sheetView showGridLines="0" zoomScalePageLayoutView="0" workbookViewId="0" topLeftCell="A78">
      <selection activeCell="H43" sqref="H43"/>
    </sheetView>
  </sheetViews>
  <sheetFormatPr defaultColWidth="9.140625" defaultRowHeight="15"/>
  <cols>
    <col min="1" max="1" width="22.8515625" style="0" bestFit="1" customWidth="1"/>
    <col min="2" max="2" width="5.00390625" style="0" bestFit="1" customWidth="1"/>
    <col min="3" max="3" width="8.57421875" style="0" bestFit="1" customWidth="1"/>
    <col min="4" max="4" width="10.421875" style="0" bestFit="1" customWidth="1"/>
    <col min="5" max="5" width="7.57421875" style="0" hidden="1" customWidth="1"/>
    <col min="6" max="6" width="12.57421875" style="0" bestFit="1" customWidth="1"/>
    <col min="7" max="7" width="9.00390625" style="0" bestFit="1" customWidth="1"/>
    <col min="8" max="8" width="11.28125" style="0" bestFit="1" customWidth="1"/>
    <col min="9" max="9" width="12.7109375" style="0" customWidth="1"/>
    <col min="10" max="10" width="13.140625" style="0" customWidth="1"/>
    <col min="11" max="11" width="13.421875" style="0" customWidth="1"/>
    <col min="12" max="12" width="11.421875" style="0" customWidth="1"/>
    <col min="13" max="13" width="14.28125" style="0" bestFit="1" customWidth="1"/>
    <col min="14" max="14" width="12.57421875" style="0" hidden="1" customWidth="1"/>
    <col min="15" max="15" width="14.00390625" style="0" hidden="1" customWidth="1"/>
    <col min="16" max="16" width="9.8515625" style="0" hidden="1" customWidth="1"/>
    <col min="17" max="17" width="14.57421875" style="0" hidden="1" customWidth="1"/>
    <col min="18" max="18" width="13.8515625" style="0" customWidth="1"/>
  </cols>
  <sheetData>
    <row r="1" s="1" customFormat="1" ht="15.75" thickBot="1"/>
    <row r="2" spans="1:18" s="23" customFormat="1" ht="75">
      <c r="A2" s="33" t="s">
        <v>24</v>
      </c>
      <c r="B2" s="52"/>
      <c r="C2" s="34" t="s">
        <v>23</v>
      </c>
      <c r="D2" s="34" t="s">
        <v>57</v>
      </c>
      <c r="E2" s="34" t="s">
        <v>27</v>
      </c>
      <c r="F2" s="34" t="s">
        <v>9</v>
      </c>
      <c r="G2" s="35" t="s">
        <v>10</v>
      </c>
      <c r="H2" s="15" t="s">
        <v>12</v>
      </c>
      <c r="I2" s="17" t="s">
        <v>19</v>
      </c>
      <c r="J2" s="22" t="s">
        <v>13</v>
      </c>
      <c r="K2" s="15" t="s">
        <v>14</v>
      </c>
      <c r="L2" s="17" t="s">
        <v>16</v>
      </c>
      <c r="M2" s="22" t="s">
        <v>104</v>
      </c>
      <c r="N2" s="15" t="s">
        <v>17</v>
      </c>
      <c r="O2" s="22" t="s">
        <v>18</v>
      </c>
      <c r="P2" s="15" t="s">
        <v>20</v>
      </c>
      <c r="Q2" s="22" t="s">
        <v>21</v>
      </c>
      <c r="R2" s="22" t="s">
        <v>6</v>
      </c>
    </row>
    <row r="3" spans="1:18" ht="15">
      <c r="A3" s="26" t="s">
        <v>0</v>
      </c>
      <c r="B3" s="53">
        <v>2002</v>
      </c>
      <c r="C3" s="36" t="s">
        <v>41</v>
      </c>
      <c r="D3" s="37">
        <f>'Customer Count'!C6</f>
        <v>1516</v>
      </c>
      <c r="E3" s="37">
        <v>1</v>
      </c>
      <c r="F3" s="37">
        <f>'Monthly Volumes'!C6</f>
        <v>946238.9166666666</v>
      </c>
      <c r="G3" s="38"/>
      <c r="H3" s="12">
        <f>'[3]6. 2001PILs DefAcct Adder Calc'!$C$58</f>
        <v>0.2334631907874097</v>
      </c>
      <c r="I3" s="6">
        <f>'[3]6. 2001PILs DefAcct Adder Calc'!$B$54</f>
        <v>6.7318236418576E-05</v>
      </c>
      <c r="J3" s="13">
        <f>D3*E3*H3+(F3+G3)*I3</f>
        <v>417.629332334337</v>
      </c>
      <c r="K3" s="12">
        <f>'[3]8. 2002PILs Proxy Adder Calc'!$C$58</f>
        <v>0.9972422210551405</v>
      </c>
      <c r="L3" s="6">
        <f>'[3]8. 2002PILs Proxy Adder Calc'!$B$54</f>
        <v>0.0002875510583795042</v>
      </c>
      <c r="M3" s="13">
        <f>D3*E3*K3+(F3+G3)*L3</f>
        <v>1783.9112090869683</v>
      </c>
      <c r="N3" s="19"/>
      <c r="O3" s="13">
        <f>(F3+G3)*N3</f>
        <v>0</v>
      </c>
      <c r="P3" s="19">
        <v>0</v>
      </c>
      <c r="Q3" s="13">
        <f>(F3+G3)*P3</f>
        <v>0</v>
      </c>
      <c r="R3" s="13">
        <f>J3+M3+O3+Q3</f>
        <v>2201.540541421305</v>
      </c>
    </row>
    <row r="4" spans="1:18" ht="15">
      <c r="A4" s="26" t="s">
        <v>0</v>
      </c>
      <c r="B4" s="53">
        <v>2002</v>
      </c>
      <c r="C4" s="36" t="s">
        <v>42</v>
      </c>
      <c r="D4" s="37">
        <f>'Customer Count'!C7</f>
        <v>1516</v>
      </c>
      <c r="E4" s="37">
        <v>1</v>
      </c>
      <c r="F4" s="37">
        <f>'Monthly Volumes'!C7</f>
        <v>946238.9166666666</v>
      </c>
      <c r="G4" s="38"/>
      <c r="H4" s="12">
        <f>H3</f>
        <v>0.2334631907874097</v>
      </c>
      <c r="I4" s="6">
        <f>I3</f>
        <v>6.7318236418576E-05</v>
      </c>
      <c r="J4" s="13">
        <f aca="true" t="shared" si="0" ref="J4:J13">D4*E4*H4+(F4+G4)*I4</f>
        <v>417.629332334337</v>
      </c>
      <c r="K4" s="12">
        <f>'[3]8. 2002PILs Proxy Adder Calc'!$C$58</f>
        <v>0.9972422210551405</v>
      </c>
      <c r="L4" s="6">
        <f>'[3]8. 2002PILs Proxy Adder Calc'!$B$54</f>
        <v>0.0002875510583795042</v>
      </c>
      <c r="M4" s="13">
        <f aca="true" t="shared" si="1" ref="M4:M13">D4*E4*K4+(F4+G4)*L4</f>
        <v>1783.9112090869683</v>
      </c>
      <c r="N4" s="19"/>
      <c r="O4" s="13">
        <f aca="true" t="shared" si="2" ref="O4:O13">(F4+G4)*N4</f>
        <v>0</v>
      </c>
      <c r="P4" s="19">
        <v>0</v>
      </c>
      <c r="Q4" s="13">
        <f aca="true" t="shared" si="3" ref="Q4:Q13">(F4+G4)*P4</f>
        <v>0</v>
      </c>
      <c r="R4" s="13">
        <f aca="true" t="shared" si="4" ref="R4:R13">J4+M4+O4+Q4</f>
        <v>2201.540541421305</v>
      </c>
    </row>
    <row r="5" spans="1:18" ht="15">
      <c r="A5" s="26" t="s">
        <v>0</v>
      </c>
      <c r="B5" s="53">
        <v>2002</v>
      </c>
      <c r="C5" s="36" t="s">
        <v>35</v>
      </c>
      <c r="D5" s="37">
        <f>'Customer Count'!C8</f>
        <v>1516</v>
      </c>
      <c r="E5" s="37">
        <v>1</v>
      </c>
      <c r="F5" s="37">
        <f>'Monthly Volumes'!C8</f>
        <v>946238.9166666666</v>
      </c>
      <c r="G5" s="38"/>
      <c r="H5" s="12">
        <f aca="true" t="shared" si="5" ref="H5:H12">H4</f>
        <v>0.2334631907874097</v>
      </c>
      <c r="I5" s="6">
        <f aca="true" t="shared" si="6" ref="I5:I12">I4</f>
        <v>6.7318236418576E-05</v>
      </c>
      <c r="J5" s="13">
        <f t="shared" si="0"/>
        <v>417.629332334337</v>
      </c>
      <c r="K5" s="12">
        <f>'[3]8. 2002PILs Proxy Adder Calc'!$C$58</f>
        <v>0.9972422210551405</v>
      </c>
      <c r="L5" s="6">
        <f>'[3]8. 2002PILs Proxy Adder Calc'!$B$54</f>
        <v>0.0002875510583795042</v>
      </c>
      <c r="M5" s="13">
        <f t="shared" si="1"/>
        <v>1783.9112090869683</v>
      </c>
      <c r="N5" s="19"/>
      <c r="O5" s="13">
        <f t="shared" si="2"/>
        <v>0</v>
      </c>
      <c r="P5" s="19">
        <v>0</v>
      </c>
      <c r="Q5" s="13">
        <f t="shared" si="3"/>
        <v>0</v>
      </c>
      <c r="R5" s="13">
        <f t="shared" si="4"/>
        <v>2201.540541421305</v>
      </c>
    </row>
    <row r="6" spans="1:18" ht="15">
      <c r="A6" s="26" t="s">
        <v>0</v>
      </c>
      <c r="B6" s="53">
        <v>2002</v>
      </c>
      <c r="C6" s="36" t="s">
        <v>43</v>
      </c>
      <c r="D6" s="37">
        <f>'Customer Count'!C9</f>
        <v>1516</v>
      </c>
      <c r="E6" s="37">
        <v>1</v>
      </c>
      <c r="F6" s="37">
        <f>'Monthly Volumes'!C9</f>
        <v>946238.9166666666</v>
      </c>
      <c r="G6" s="38"/>
      <c r="H6" s="12">
        <f t="shared" si="5"/>
        <v>0.2334631907874097</v>
      </c>
      <c r="I6" s="6">
        <f t="shared" si="6"/>
        <v>6.7318236418576E-05</v>
      </c>
      <c r="J6" s="13">
        <f t="shared" si="0"/>
        <v>417.629332334337</v>
      </c>
      <c r="K6" s="12">
        <f>'[3]8. 2002PILs Proxy Adder Calc'!$C$58</f>
        <v>0.9972422210551405</v>
      </c>
      <c r="L6" s="6">
        <f>'[3]8. 2002PILs Proxy Adder Calc'!$B$54</f>
        <v>0.0002875510583795042</v>
      </c>
      <c r="M6" s="13">
        <f t="shared" si="1"/>
        <v>1783.9112090869683</v>
      </c>
      <c r="N6" s="19"/>
      <c r="O6" s="13">
        <f t="shared" si="2"/>
        <v>0</v>
      </c>
      <c r="P6" s="19">
        <v>0</v>
      </c>
      <c r="Q6" s="13">
        <f t="shared" si="3"/>
        <v>0</v>
      </c>
      <c r="R6" s="13">
        <f t="shared" si="4"/>
        <v>2201.540541421305</v>
      </c>
    </row>
    <row r="7" spans="1:18" ht="15">
      <c r="A7" s="26" t="s">
        <v>0</v>
      </c>
      <c r="B7" s="53">
        <v>2002</v>
      </c>
      <c r="C7" s="36" t="s">
        <v>44</v>
      </c>
      <c r="D7" s="37">
        <f>'Customer Count'!C10</f>
        <v>1516</v>
      </c>
      <c r="E7" s="37">
        <v>1</v>
      </c>
      <c r="F7" s="37">
        <f>'Monthly Volumes'!C10</f>
        <v>946238.9166666666</v>
      </c>
      <c r="G7" s="38"/>
      <c r="H7" s="12">
        <f t="shared" si="5"/>
        <v>0.2334631907874097</v>
      </c>
      <c r="I7" s="6">
        <f t="shared" si="6"/>
        <v>6.7318236418576E-05</v>
      </c>
      <c r="J7" s="13">
        <f t="shared" si="0"/>
        <v>417.629332334337</v>
      </c>
      <c r="K7" s="12">
        <f>'[3]8. 2002PILs Proxy Adder Calc'!$C$58</f>
        <v>0.9972422210551405</v>
      </c>
      <c r="L7" s="6">
        <f>'[3]8. 2002PILs Proxy Adder Calc'!$B$54</f>
        <v>0.0002875510583795042</v>
      </c>
      <c r="M7" s="13">
        <f t="shared" si="1"/>
        <v>1783.9112090869683</v>
      </c>
      <c r="N7" s="19"/>
      <c r="O7" s="13">
        <f t="shared" si="2"/>
        <v>0</v>
      </c>
      <c r="P7" s="19">
        <v>0</v>
      </c>
      <c r="Q7" s="13">
        <f t="shared" si="3"/>
        <v>0</v>
      </c>
      <c r="R7" s="13">
        <f t="shared" si="4"/>
        <v>2201.540541421305</v>
      </c>
    </row>
    <row r="8" spans="1:18" ht="15">
      <c r="A8" s="26" t="s">
        <v>0</v>
      </c>
      <c r="B8" s="53">
        <v>2002</v>
      </c>
      <c r="C8" s="36" t="s">
        <v>45</v>
      </c>
      <c r="D8" s="37">
        <f>'Customer Count'!C11</f>
        <v>1516</v>
      </c>
      <c r="E8" s="37">
        <v>1</v>
      </c>
      <c r="F8" s="37">
        <f>'Monthly Volumes'!C11</f>
        <v>946238.9166666666</v>
      </c>
      <c r="G8" s="38"/>
      <c r="H8" s="12">
        <f t="shared" si="5"/>
        <v>0.2334631907874097</v>
      </c>
      <c r="I8" s="6">
        <f t="shared" si="6"/>
        <v>6.7318236418576E-05</v>
      </c>
      <c r="J8" s="13">
        <f t="shared" si="0"/>
        <v>417.629332334337</v>
      </c>
      <c r="K8" s="12">
        <f>'[3]8. 2002PILs Proxy Adder Calc'!$C$58</f>
        <v>0.9972422210551405</v>
      </c>
      <c r="L8" s="6">
        <f>'[3]8. 2002PILs Proxy Adder Calc'!$B$54</f>
        <v>0.0002875510583795042</v>
      </c>
      <c r="M8" s="13">
        <f t="shared" si="1"/>
        <v>1783.9112090869683</v>
      </c>
      <c r="N8" s="19"/>
      <c r="O8" s="13">
        <f t="shared" si="2"/>
        <v>0</v>
      </c>
      <c r="P8" s="19">
        <v>0</v>
      </c>
      <c r="Q8" s="13">
        <f t="shared" si="3"/>
        <v>0</v>
      </c>
      <c r="R8" s="13">
        <f t="shared" si="4"/>
        <v>2201.540541421305</v>
      </c>
    </row>
    <row r="9" spans="1:18" ht="15">
      <c r="A9" s="26" t="s">
        <v>0</v>
      </c>
      <c r="B9" s="53">
        <v>2002</v>
      </c>
      <c r="C9" s="36" t="s">
        <v>46</v>
      </c>
      <c r="D9" s="37">
        <f>'Customer Count'!C12</f>
        <v>1516</v>
      </c>
      <c r="E9" s="37">
        <v>1</v>
      </c>
      <c r="F9" s="37">
        <f>'Monthly Volumes'!C12</f>
        <v>946238.9166666666</v>
      </c>
      <c r="G9" s="38"/>
      <c r="H9" s="12">
        <f t="shared" si="5"/>
        <v>0.2334631907874097</v>
      </c>
      <c r="I9" s="6">
        <f t="shared" si="6"/>
        <v>6.7318236418576E-05</v>
      </c>
      <c r="J9" s="13">
        <f t="shared" si="0"/>
        <v>417.629332334337</v>
      </c>
      <c r="K9" s="12">
        <f>'[3]8. 2002PILs Proxy Adder Calc'!$C$58</f>
        <v>0.9972422210551405</v>
      </c>
      <c r="L9" s="6">
        <f>'[3]8. 2002PILs Proxy Adder Calc'!$B$54</f>
        <v>0.0002875510583795042</v>
      </c>
      <c r="M9" s="13">
        <f t="shared" si="1"/>
        <v>1783.9112090869683</v>
      </c>
      <c r="N9" s="19"/>
      <c r="O9" s="13">
        <f t="shared" si="2"/>
        <v>0</v>
      </c>
      <c r="P9" s="19">
        <v>0</v>
      </c>
      <c r="Q9" s="13">
        <f t="shared" si="3"/>
        <v>0</v>
      </c>
      <c r="R9" s="13">
        <f t="shared" si="4"/>
        <v>2201.540541421305</v>
      </c>
    </row>
    <row r="10" spans="1:18" ht="15">
      <c r="A10" s="26" t="s">
        <v>0</v>
      </c>
      <c r="B10" s="53">
        <v>2002</v>
      </c>
      <c r="C10" s="36" t="s">
        <v>47</v>
      </c>
      <c r="D10" s="37">
        <f>'Customer Count'!C13</f>
        <v>1516</v>
      </c>
      <c r="E10" s="37">
        <v>1</v>
      </c>
      <c r="F10" s="37">
        <f>'Monthly Volumes'!C13</f>
        <v>946238.9166666666</v>
      </c>
      <c r="G10" s="38"/>
      <c r="H10" s="12">
        <f t="shared" si="5"/>
        <v>0.2334631907874097</v>
      </c>
      <c r="I10" s="6">
        <f t="shared" si="6"/>
        <v>6.7318236418576E-05</v>
      </c>
      <c r="J10" s="13">
        <f t="shared" si="0"/>
        <v>417.629332334337</v>
      </c>
      <c r="K10" s="12">
        <f>'[3]8. 2002PILs Proxy Adder Calc'!$C$58</f>
        <v>0.9972422210551405</v>
      </c>
      <c r="L10" s="6">
        <f>'[3]8. 2002PILs Proxy Adder Calc'!$B$54</f>
        <v>0.0002875510583795042</v>
      </c>
      <c r="M10" s="13">
        <f t="shared" si="1"/>
        <v>1783.9112090869683</v>
      </c>
      <c r="N10" s="19"/>
      <c r="O10" s="13">
        <f t="shared" si="2"/>
        <v>0</v>
      </c>
      <c r="P10" s="19">
        <v>0</v>
      </c>
      <c r="Q10" s="13">
        <f t="shared" si="3"/>
        <v>0</v>
      </c>
      <c r="R10" s="13">
        <f t="shared" si="4"/>
        <v>2201.540541421305</v>
      </c>
    </row>
    <row r="11" spans="1:18" ht="15">
      <c r="A11" s="26" t="s">
        <v>0</v>
      </c>
      <c r="B11" s="53">
        <v>2002</v>
      </c>
      <c r="C11" s="36" t="s">
        <v>48</v>
      </c>
      <c r="D11" s="37">
        <f>'Customer Count'!C14</f>
        <v>1516</v>
      </c>
      <c r="E11" s="37">
        <v>1</v>
      </c>
      <c r="F11" s="37">
        <f>'Monthly Volumes'!C14</f>
        <v>946238.9166666666</v>
      </c>
      <c r="G11" s="38"/>
      <c r="H11" s="12">
        <f t="shared" si="5"/>
        <v>0.2334631907874097</v>
      </c>
      <c r="I11" s="6">
        <f t="shared" si="6"/>
        <v>6.7318236418576E-05</v>
      </c>
      <c r="J11" s="13">
        <f t="shared" si="0"/>
        <v>417.629332334337</v>
      </c>
      <c r="K11" s="12">
        <f>'[3]8. 2002PILs Proxy Adder Calc'!$C$58</f>
        <v>0.9972422210551405</v>
      </c>
      <c r="L11" s="6">
        <f>'[3]8. 2002PILs Proxy Adder Calc'!$B$54</f>
        <v>0.0002875510583795042</v>
      </c>
      <c r="M11" s="13">
        <f t="shared" si="1"/>
        <v>1783.9112090869683</v>
      </c>
      <c r="N11" s="19"/>
      <c r="O11" s="13">
        <f t="shared" si="2"/>
        <v>0</v>
      </c>
      <c r="P11" s="19">
        <v>0</v>
      </c>
      <c r="Q11" s="13">
        <f t="shared" si="3"/>
        <v>0</v>
      </c>
      <c r="R11" s="13">
        <f t="shared" si="4"/>
        <v>2201.540541421305</v>
      </c>
    </row>
    <row r="12" spans="1:18" ht="15">
      <c r="A12" s="26" t="s">
        <v>0</v>
      </c>
      <c r="B12" s="53">
        <v>2002</v>
      </c>
      <c r="C12" s="36" t="s">
        <v>49</v>
      </c>
      <c r="D12" s="37">
        <f>'Customer Count'!C15</f>
        <v>1516</v>
      </c>
      <c r="E12" s="37">
        <v>1</v>
      </c>
      <c r="F12" s="37">
        <f>'Monthly Volumes'!C15</f>
        <v>946238.9166666666</v>
      </c>
      <c r="G12" s="38"/>
      <c r="H12" s="12">
        <f t="shared" si="5"/>
        <v>0.2334631907874097</v>
      </c>
      <c r="I12" s="6">
        <f t="shared" si="6"/>
        <v>6.7318236418576E-05</v>
      </c>
      <c r="J12" s="13">
        <f t="shared" si="0"/>
        <v>417.629332334337</v>
      </c>
      <c r="K12" s="12">
        <f>'[3]8. 2002PILs Proxy Adder Calc'!$C$58</f>
        <v>0.9972422210551405</v>
      </c>
      <c r="L12" s="6">
        <f>'[3]8. 2002PILs Proxy Adder Calc'!$B$54</f>
        <v>0.0002875510583795042</v>
      </c>
      <c r="M12" s="13">
        <f t="shared" si="1"/>
        <v>1783.9112090869683</v>
      </c>
      <c r="N12" s="19"/>
      <c r="O12" s="13">
        <f t="shared" si="2"/>
        <v>0</v>
      </c>
      <c r="P12" s="19">
        <v>0</v>
      </c>
      <c r="Q12" s="13">
        <f t="shared" si="3"/>
        <v>0</v>
      </c>
      <c r="R12" s="13">
        <f t="shared" si="4"/>
        <v>2201.540541421305</v>
      </c>
    </row>
    <row r="13" spans="1:18" ht="15.75" thickBot="1">
      <c r="A13" s="26" t="s">
        <v>0</v>
      </c>
      <c r="B13" s="53">
        <v>2002</v>
      </c>
      <c r="C13" s="36" t="s">
        <v>38</v>
      </c>
      <c r="D13" s="37">
        <f>'Customer Count'!C16</f>
        <v>0</v>
      </c>
      <c r="E13" s="37">
        <v>1</v>
      </c>
      <c r="F13" s="37">
        <f>'Monthly Volumes'!C16</f>
        <v>0</v>
      </c>
      <c r="G13" s="38"/>
      <c r="H13" s="12"/>
      <c r="I13" s="6"/>
      <c r="J13" s="13">
        <f t="shared" si="0"/>
        <v>0</v>
      </c>
      <c r="K13" s="12"/>
      <c r="L13" s="6"/>
      <c r="M13" s="13">
        <f t="shared" si="1"/>
        <v>0</v>
      </c>
      <c r="N13" s="19"/>
      <c r="O13" s="13">
        <f t="shared" si="2"/>
        <v>0</v>
      </c>
      <c r="P13" s="19">
        <v>0</v>
      </c>
      <c r="Q13" s="13">
        <f t="shared" si="3"/>
        <v>0</v>
      </c>
      <c r="R13" s="13">
        <f t="shared" si="4"/>
        <v>0</v>
      </c>
    </row>
    <row r="14" spans="1:18" ht="15.75" thickBot="1">
      <c r="A14" s="55" t="s">
        <v>58</v>
      </c>
      <c r="B14" s="56"/>
      <c r="C14" s="57"/>
      <c r="D14" s="58">
        <f>SUM(D3:D13)</f>
        <v>15160</v>
      </c>
      <c r="E14" s="58"/>
      <c r="F14" s="58">
        <f>SUM(F3:F13)</f>
        <v>9462389.166666666</v>
      </c>
      <c r="G14" s="58">
        <f>SUM(G3:G13)</f>
        <v>0</v>
      </c>
      <c r="H14" s="60"/>
      <c r="I14" s="61"/>
      <c r="J14" s="62">
        <f>SUM(J3:J13)</f>
        <v>4176.29332334337</v>
      </c>
      <c r="K14" s="60"/>
      <c r="L14" s="61"/>
      <c r="M14" s="62">
        <f>SUM(M3:M13)</f>
        <v>17839.11209086968</v>
      </c>
      <c r="N14" s="63"/>
      <c r="O14" s="62">
        <f>SUM(O3:O13)</f>
        <v>0</v>
      </c>
      <c r="P14" s="63"/>
      <c r="Q14" s="62">
        <f>SUM(Q3:Q13)</f>
        <v>0</v>
      </c>
      <c r="R14" s="62">
        <f>SUM(R3:R13)</f>
        <v>22015.40541421305</v>
      </c>
    </row>
    <row r="15" spans="1:18" ht="15">
      <c r="A15" s="26"/>
      <c r="B15" s="53"/>
      <c r="C15" s="36"/>
      <c r="D15" s="37"/>
      <c r="E15" s="37"/>
      <c r="F15" s="37"/>
      <c r="G15" s="38"/>
      <c r="H15" s="12"/>
      <c r="I15" s="6"/>
      <c r="J15" s="13"/>
      <c r="K15" s="12"/>
      <c r="L15" s="6"/>
      <c r="M15" s="13"/>
      <c r="N15" s="19"/>
      <c r="O15" s="13"/>
      <c r="P15" s="19"/>
      <c r="Q15" s="13"/>
      <c r="R15" s="13"/>
    </row>
    <row r="16" spans="1:18" ht="15">
      <c r="A16" s="26" t="s">
        <v>1</v>
      </c>
      <c r="B16" s="53">
        <v>2002</v>
      </c>
      <c r="C16" s="36" t="s">
        <v>41</v>
      </c>
      <c r="D16" s="37">
        <f>'Customer Count'!D6</f>
        <v>279</v>
      </c>
      <c r="E16" s="37">
        <v>1</v>
      </c>
      <c r="F16" s="37">
        <f>'Monthly Volumes'!C24</f>
        <v>715858.4166666666</v>
      </c>
      <c r="G16" s="38"/>
      <c r="H16" s="12">
        <f>'[3]6. 2001PILs DefAcct Adder Calc'!$C$82</f>
        <v>0.4593959768840128</v>
      </c>
      <c r="I16" s="6">
        <f>'[3]6. 2001PILs DefAcct Adder Calc'!$B$78</f>
        <v>4.957181252495116E-05</v>
      </c>
      <c r="J16" s="13">
        <f>D16*E16*H16+(F16+G16)*I16</f>
        <v>163.65787677604794</v>
      </c>
      <c r="K16" s="12">
        <f>'[3]8. 2002PILs Proxy Adder Calc'!$C$82</f>
        <v>1.9623181829497855</v>
      </c>
      <c r="L16" s="6">
        <f>'[3]8. 2002PILs Proxy Adder Calc'!$B$78</f>
        <v>0.00021174688933779995</v>
      </c>
      <c r="M16" s="13">
        <f>D16*E16*K16+(F16+G16)*L16</f>
        <v>699.0675659784396</v>
      </c>
      <c r="N16" s="19"/>
      <c r="O16" s="13">
        <f>(F16+G16)*N16</f>
        <v>0</v>
      </c>
      <c r="P16" s="19">
        <v>0</v>
      </c>
      <c r="Q16" s="13">
        <f>(F16+G16)*P16</f>
        <v>0</v>
      </c>
      <c r="R16" s="13">
        <f>J16+M16+O16+Q16</f>
        <v>862.7254427544875</v>
      </c>
    </row>
    <row r="17" spans="1:18" ht="15">
      <c r="A17" s="26" t="s">
        <v>1</v>
      </c>
      <c r="B17" s="53">
        <v>2002</v>
      </c>
      <c r="C17" s="36" t="s">
        <v>42</v>
      </c>
      <c r="D17" s="37">
        <f>'Customer Count'!D7</f>
        <v>279</v>
      </c>
      <c r="E17" s="37">
        <v>1</v>
      </c>
      <c r="F17" s="37">
        <f>'Monthly Volumes'!C25</f>
        <v>715858.4166666666</v>
      </c>
      <c r="G17" s="38"/>
      <c r="H17" s="12">
        <f>H16</f>
        <v>0.4593959768840128</v>
      </c>
      <c r="I17" s="6">
        <f>I16</f>
        <v>4.957181252495116E-05</v>
      </c>
      <c r="J17" s="13">
        <f aca="true" t="shared" si="7" ref="J17:J25">D17*E17*H17+(F17+G17)*I17</f>
        <v>163.65787677604794</v>
      </c>
      <c r="K17" s="12">
        <f>'[3]8. 2002PILs Proxy Adder Calc'!$C$82</f>
        <v>1.9623181829497855</v>
      </c>
      <c r="L17" s="6">
        <f>'[3]8. 2002PILs Proxy Adder Calc'!$B$78</f>
        <v>0.00021174688933779995</v>
      </c>
      <c r="M17" s="13">
        <f aca="true" t="shared" si="8" ref="M17:M25">D17*E17*K17+(F17+G17)*L17</f>
        <v>699.0675659784396</v>
      </c>
      <c r="N17" s="19"/>
      <c r="O17" s="13">
        <f aca="true" t="shared" si="9" ref="O17:O25">(F17+G17)*N17</f>
        <v>0</v>
      </c>
      <c r="P17" s="19">
        <v>0</v>
      </c>
      <c r="Q17" s="13">
        <f aca="true" t="shared" si="10" ref="Q17:Q25">(F17+G17)*P17</f>
        <v>0</v>
      </c>
      <c r="R17" s="13">
        <f aca="true" t="shared" si="11" ref="R17:R25">J17+M17+O17+Q17</f>
        <v>862.7254427544875</v>
      </c>
    </row>
    <row r="18" spans="1:18" ht="15">
      <c r="A18" s="26" t="s">
        <v>1</v>
      </c>
      <c r="B18" s="53">
        <v>2002</v>
      </c>
      <c r="C18" s="36" t="s">
        <v>35</v>
      </c>
      <c r="D18" s="37">
        <f>'Customer Count'!D8</f>
        <v>279</v>
      </c>
      <c r="E18" s="37">
        <v>1</v>
      </c>
      <c r="F18" s="37">
        <f>'Monthly Volumes'!C26</f>
        <v>715858.4166666666</v>
      </c>
      <c r="G18" s="38"/>
      <c r="H18" s="12">
        <f aca="true" t="shared" si="12" ref="H18:H25">H17</f>
        <v>0.4593959768840128</v>
      </c>
      <c r="I18" s="6">
        <f aca="true" t="shared" si="13" ref="I18:I25">I17</f>
        <v>4.957181252495116E-05</v>
      </c>
      <c r="J18" s="13">
        <f t="shared" si="7"/>
        <v>163.65787677604794</v>
      </c>
      <c r="K18" s="12">
        <f>'[3]8. 2002PILs Proxy Adder Calc'!$C$82</f>
        <v>1.9623181829497855</v>
      </c>
      <c r="L18" s="6">
        <f>'[3]8. 2002PILs Proxy Adder Calc'!$B$78</f>
        <v>0.00021174688933779995</v>
      </c>
      <c r="M18" s="13">
        <f t="shared" si="8"/>
        <v>699.0675659784396</v>
      </c>
      <c r="N18" s="19"/>
      <c r="O18" s="13">
        <f t="shared" si="9"/>
        <v>0</v>
      </c>
      <c r="P18" s="19">
        <v>0</v>
      </c>
      <c r="Q18" s="13">
        <f t="shared" si="10"/>
        <v>0</v>
      </c>
      <c r="R18" s="13">
        <f t="shared" si="11"/>
        <v>862.7254427544875</v>
      </c>
    </row>
    <row r="19" spans="1:18" ht="15">
      <c r="A19" s="26" t="s">
        <v>1</v>
      </c>
      <c r="B19" s="53">
        <v>2002</v>
      </c>
      <c r="C19" s="36" t="s">
        <v>43</v>
      </c>
      <c r="D19" s="37">
        <f>'Customer Count'!D9</f>
        <v>279</v>
      </c>
      <c r="E19" s="37">
        <v>1</v>
      </c>
      <c r="F19" s="37">
        <f>'Monthly Volumes'!C27</f>
        <v>715858.4166666666</v>
      </c>
      <c r="G19" s="38"/>
      <c r="H19" s="12">
        <f t="shared" si="12"/>
        <v>0.4593959768840128</v>
      </c>
      <c r="I19" s="6">
        <f t="shared" si="13"/>
        <v>4.957181252495116E-05</v>
      </c>
      <c r="J19" s="13">
        <f t="shared" si="7"/>
        <v>163.65787677604794</v>
      </c>
      <c r="K19" s="12">
        <f>'[3]8. 2002PILs Proxy Adder Calc'!$C$82</f>
        <v>1.9623181829497855</v>
      </c>
      <c r="L19" s="6">
        <f>'[3]8. 2002PILs Proxy Adder Calc'!$B$78</f>
        <v>0.00021174688933779995</v>
      </c>
      <c r="M19" s="13">
        <f t="shared" si="8"/>
        <v>699.0675659784396</v>
      </c>
      <c r="N19" s="19"/>
      <c r="O19" s="13">
        <f t="shared" si="9"/>
        <v>0</v>
      </c>
      <c r="P19" s="19">
        <v>0</v>
      </c>
      <c r="Q19" s="13">
        <f t="shared" si="10"/>
        <v>0</v>
      </c>
      <c r="R19" s="13">
        <f t="shared" si="11"/>
        <v>862.7254427544875</v>
      </c>
    </row>
    <row r="20" spans="1:18" ht="15">
      <c r="A20" s="26" t="s">
        <v>1</v>
      </c>
      <c r="B20" s="53">
        <v>2002</v>
      </c>
      <c r="C20" s="36" t="s">
        <v>44</v>
      </c>
      <c r="D20" s="37">
        <f>'Customer Count'!D10</f>
        <v>279</v>
      </c>
      <c r="E20" s="37">
        <v>1</v>
      </c>
      <c r="F20" s="37">
        <f>'Monthly Volumes'!C28</f>
        <v>715858.4166666666</v>
      </c>
      <c r="G20" s="38"/>
      <c r="H20" s="12">
        <f t="shared" si="12"/>
        <v>0.4593959768840128</v>
      </c>
      <c r="I20" s="6">
        <f t="shared" si="13"/>
        <v>4.957181252495116E-05</v>
      </c>
      <c r="J20" s="13">
        <f t="shared" si="7"/>
        <v>163.65787677604794</v>
      </c>
      <c r="K20" s="12">
        <f>'[3]8. 2002PILs Proxy Adder Calc'!$C$82</f>
        <v>1.9623181829497855</v>
      </c>
      <c r="L20" s="6">
        <f>'[3]8. 2002PILs Proxy Adder Calc'!$B$78</f>
        <v>0.00021174688933779995</v>
      </c>
      <c r="M20" s="13">
        <f t="shared" si="8"/>
        <v>699.0675659784396</v>
      </c>
      <c r="N20" s="19"/>
      <c r="O20" s="13">
        <f t="shared" si="9"/>
        <v>0</v>
      </c>
      <c r="P20" s="19">
        <v>0</v>
      </c>
      <c r="Q20" s="13">
        <f t="shared" si="10"/>
        <v>0</v>
      </c>
      <c r="R20" s="13">
        <f t="shared" si="11"/>
        <v>862.7254427544875</v>
      </c>
    </row>
    <row r="21" spans="1:18" ht="15">
      <c r="A21" s="26" t="s">
        <v>1</v>
      </c>
      <c r="B21" s="53">
        <v>2002</v>
      </c>
      <c r="C21" s="36" t="s">
        <v>45</v>
      </c>
      <c r="D21" s="37">
        <f>'Customer Count'!D11</f>
        <v>279</v>
      </c>
      <c r="E21" s="37">
        <v>1</v>
      </c>
      <c r="F21" s="37">
        <f>'Monthly Volumes'!C29</f>
        <v>715858.4166666666</v>
      </c>
      <c r="G21" s="38"/>
      <c r="H21" s="12">
        <f t="shared" si="12"/>
        <v>0.4593959768840128</v>
      </c>
      <c r="I21" s="6">
        <f t="shared" si="13"/>
        <v>4.957181252495116E-05</v>
      </c>
      <c r="J21" s="13">
        <f t="shared" si="7"/>
        <v>163.65787677604794</v>
      </c>
      <c r="K21" s="12">
        <f>'[3]8. 2002PILs Proxy Adder Calc'!$C$82</f>
        <v>1.9623181829497855</v>
      </c>
      <c r="L21" s="6">
        <f>'[3]8. 2002PILs Proxy Adder Calc'!$B$78</f>
        <v>0.00021174688933779995</v>
      </c>
      <c r="M21" s="13">
        <f t="shared" si="8"/>
        <v>699.0675659784396</v>
      </c>
      <c r="N21" s="19"/>
      <c r="O21" s="13">
        <f t="shared" si="9"/>
        <v>0</v>
      </c>
      <c r="P21" s="19">
        <v>0</v>
      </c>
      <c r="Q21" s="13">
        <f t="shared" si="10"/>
        <v>0</v>
      </c>
      <c r="R21" s="13">
        <f t="shared" si="11"/>
        <v>862.7254427544875</v>
      </c>
    </row>
    <row r="22" spans="1:18" ht="15">
      <c r="A22" s="26" t="s">
        <v>1</v>
      </c>
      <c r="B22" s="53">
        <v>2002</v>
      </c>
      <c r="C22" s="36" t="s">
        <v>46</v>
      </c>
      <c r="D22" s="37">
        <f>'Customer Count'!D12</f>
        <v>279</v>
      </c>
      <c r="E22" s="37">
        <v>1</v>
      </c>
      <c r="F22" s="37">
        <f>'Monthly Volumes'!C30</f>
        <v>715858.4166666666</v>
      </c>
      <c r="G22" s="38"/>
      <c r="H22" s="12">
        <f t="shared" si="12"/>
        <v>0.4593959768840128</v>
      </c>
      <c r="I22" s="6">
        <f t="shared" si="13"/>
        <v>4.957181252495116E-05</v>
      </c>
      <c r="J22" s="13">
        <f t="shared" si="7"/>
        <v>163.65787677604794</v>
      </c>
      <c r="K22" s="12">
        <f>'[3]8. 2002PILs Proxy Adder Calc'!$C$82</f>
        <v>1.9623181829497855</v>
      </c>
      <c r="L22" s="6">
        <f>'[3]8. 2002PILs Proxy Adder Calc'!$B$78</f>
        <v>0.00021174688933779995</v>
      </c>
      <c r="M22" s="13">
        <f t="shared" si="8"/>
        <v>699.0675659784396</v>
      </c>
      <c r="N22" s="19"/>
      <c r="O22" s="13">
        <f t="shared" si="9"/>
        <v>0</v>
      </c>
      <c r="P22" s="19">
        <v>0</v>
      </c>
      <c r="Q22" s="13">
        <f t="shared" si="10"/>
        <v>0</v>
      </c>
      <c r="R22" s="13">
        <f t="shared" si="11"/>
        <v>862.7254427544875</v>
      </c>
    </row>
    <row r="23" spans="1:18" ht="15">
      <c r="A23" s="26" t="s">
        <v>1</v>
      </c>
      <c r="B23" s="53">
        <v>2002</v>
      </c>
      <c r="C23" s="36" t="s">
        <v>47</v>
      </c>
      <c r="D23" s="37">
        <f>'Customer Count'!D13</f>
        <v>279</v>
      </c>
      <c r="E23" s="37">
        <v>1</v>
      </c>
      <c r="F23" s="37">
        <f>'Monthly Volumes'!C31</f>
        <v>715858.4166666666</v>
      </c>
      <c r="G23" s="38"/>
      <c r="H23" s="12">
        <f t="shared" si="12"/>
        <v>0.4593959768840128</v>
      </c>
      <c r="I23" s="6">
        <f t="shared" si="13"/>
        <v>4.957181252495116E-05</v>
      </c>
      <c r="J23" s="13">
        <f t="shared" si="7"/>
        <v>163.65787677604794</v>
      </c>
      <c r="K23" s="12">
        <f>'[3]8. 2002PILs Proxy Adder Calc'!$C$82</f>
        <v>1.9623181829497855</v>
      </c>
      <c r="L23" s="6">
        <f>'[3]8. 2002PILs Proxy Adder Calc'!$B$78</f>
        <v>0.00021174688933779995</v>
      </c>
      <c r="M23" s="13">
        <f t="shared" si="8"/>
        <v>699.0675659784396</v>
      </c>
      <c r="N23" s="19"/>
      <c r="O23" s="13">
        <f t="shared" si="9"/>
        <v>0</v>
      </c>
      <c r="P23" s="19">
        <v>0</v>
      </c>
      <c r="Q23" s="13">
        <f t="shared" si="10"/>
        <v>0</v>
      </c>
      <c r="R23" s="13">
        <f t="shared" si="11"/>
        <v>862.7254427544875</v>
      </c>
    </row>
    <row r="24" spans="1:18" ht="15">
      <c r="A24" s="26" t="s">
        <v>1</v>
      </c>
      <c r="B24" s="53">
        <v>2002</v>
      </c>
      <c r="C24" s="36" t="s">
        <v>48</v>
      </c>
      <c r="D24" s="37">
        <f>'Customer Count'!D14</f>
        <v>279</v>
      </c>
      <c r="E24" s="37">
        <v>1</v>
      </c>
      <c r="F24" s="37">
        <f>'Monthly Volumes'!C32</f>
        <v>715858.4166666666</v>
      </c>
      <c r="G24" s="38"/>
      <c r="H24" s="12">
        <f t="shared" si="12"/>
        <v>0.4593959768840128</v>
      </c>
      <c r="I24" s="6">
        <f t="shared" si="13"/>
        <v>4.957181252495116E-05</v>
      </c>
      <c r="J24" s="13">
        <f t="shared" si="7"/>
        <v>163.65787677604794</v>
      </c>
      <c r="K24" s="12">
        <f>'[3]8. 2002PILs Proxy Adder Calc'!$C$82</f>
        <v>1.9623181829497855</v>
      </c>
      <c r="L24" s="6">
        <f>'[3]8. 2002PILs Proxy Adder Calc'!$B$78</f>
        <v>0.00021174688933779995</v>
      </c>
      <c r="M24" s="13">
        <f t="shared" si="8"/>
        <v>699.0675659784396</v>
      </c>
      <c r="N24" s="19"/>
      <c r="O24" s="13">
        <f t="shared" si="9"/>
        <v>0</v>
      </c>
      <c r="P24" s="19">
        <v>0</v>
      </c>
      <c r="Q24" s="13">
        <f t="shared" si="10"/>
        <v>0</v>
      </c>
      <c r="R24" s="13">
        <f t="shared" si="11"/>
        <v>862.7254427544875</v>
      </c>
    </row>
    <row r="25" spans="1:18" ht="15">
      <c r="A25" s="26" t="s">
        <v>1</v>
      </c>
      <c r="B25" s="53">
        <v>2002</v>
      </c>
      <c r="C25" s="36" t="s">
        <v>49</v>
      </c>
      <c r="D25" s="37">
        <f>'Customer Count'!D15</f>
        <v>279</v>
      </c>
      <c r="E25" s="37">
        <v>1</v>
      </c>
      <c r="F25" s="37">
        <f>'Monthly Volumes'!C33</f>
        <v>715858.4166666666</v>
      </c>
      <c r="G25" s="38"/>
      <c r="H25" s="12">
        <f t="shared" si="12"/>
        <v>0.4593959768840128</v>
      </c>
      <c r="I25" s="6">
        <f t="shared" si="13"/>
        <v>4.957181252495116E-05</v>
      </c>
      <c r="J25" s="13">
        <f t="shared" si="7"/>
        <v>163.65787677604794</v>
      </c>
      <c r="K25" s="12">
        <f>'[3]8. 2002PILs Proxy Adder Calc'!$C$82</f>
        <v>1.9623181829497855</v>
      </c>
      <c r="L25" s="6">
        <f>'[3]8. 2002PILs Proxy Adder Calc'!$B$78</f>
        <v>0.00021174688933779995</v>
      </c>
      <c r="M25" s="13">
        <f t="shared" si="8"/>
        <v>699.0675659784396</v>
      </c>
      <c r="N25" s="19"/>
      <c r="O25" s="13">
        <f t="shared" si="9"/>
        <v>0</v>
      </c>
      <c r="P25" s="19">
        <v>0</v>
      </c>
      <c r="Q25" s="13">
        <f t="shared" si="10"/>
        <v>0</v>
      </c>
      <c r="R25" s="13">
        <f t="shared" si="11"/>
        <v>862.7254427544875</v>
      </c>
    </row>
    <row r="26" spans="1:18" ht="15.75" thickBot="1">
      <c r="A26" s="26"/>
      <c r="B26" s="53"/>
      <c r="C26" s="36"/>
      <c r="D26" s="37"/>
      <c r="E26" s="37"/>
      <c r="F26" s="37"/>
      <c r="G26" s="38"/>
      <c r="H26" s="12"/>
      <c r="I26" s="6"/>
      <c r="J26" s="13"/>
      <c r="K26" s="12"/>
      <c r="L26" s="6"/>
      <c r="M26" s="13"/>
      <c r="N26" s="19"/>
      <c r="O26" s="13"/>
      <c r="P26" s="19"/>
      <c r="Q26" s="13"/>
      <c r="R26" s="13"/>
    </row>
    <row r="27" spans="1:18" ht="15.75" thickBot="1">
      <c r="A27" s="55" t="s">
        <v>59</v>
      </c>
      <c r="B27" s="56"/>
      <c r="C27" s="57"/>
      <c r="D27" s="58">
        <f>SUM(D16:D26)</f>
        <v>2790</v>
      </c>
      <c r="E27" s="58"/>
      <c r="F27" s="58">
        <f>SUM(F16:F26)</f>
        <v>7158584.166666668</v>
      </c>
      <c r="G27" s="58">
        <f>SUM(G16:G26)</f>
        <v>0</v>
      </c>
      <c r="H27" s="60"/>
      <c r="I27" s="61"/>
      <c r="J27" s="62">
        <f>SUM(J16:J26)</f>
        <v>1636.5787677604794</v>
      </c>
      <c r="K27" s="60"/>
      <c r="L27" s="61"/>
      <c r="M27" s="62">
        <f>SUM(M16:M26)</f>
        <v>6990.675659784394</v>
      </c>
      <c r="N27" s="63"/>
      <c r="O27" s="62">
        <f>SUM(O16:O26)</f>
        <v>0</v>
      </c>
      <c r="P27" s="63"/>
      <c r="Q27" s="62">
        <f>SUM(Q16:Q26)</f>
        <v>0</v>
      </c>
      <c r="R27" s="62">
        <f>SUM(R16:R26)</f>
        <v>8627.254427544874</v>
      </c>
    </row>
    <row r="28" spans="1:18" ht="15">
      <c r="A28" s="26"/>
      <c r="B28" s="53"/>
      <c r="C28" s="36"/>
      <c r="D28" s="37"/>
      <c r="E28" s="37"/>
      <c r="F28" s="37"/>
      <c r="G28" s="38"/>
      <c r="H28" s="12"/>
      <c r="I28" s="6"/>
      <c r="J28" s="13"/>
      <c r="K28" s="12"/>
      <c r="L28" s="6"/>
      <c r="M28" s="13"/>
      <c r="N28" s="19"/>
      <c r="O28" s="13"/>
      <c r="P28" s="19"/>
      <c r="Q28" s="13"/>
      <c r="R28" s="13"/>
    </row>
    <row r="29" spans="1:18" ht="15">
      <c r="A29" s="26" t="s">
        <v>8</v>
      </c>
      <c r="B29" s="53">
        <v>2002</v>
      </c>
      <c r="C29" s="36" t="s">
        <v>41</v>
      </c>
      <c r="D29" s="37">
        <f>'Customer Count'!E6</f>
        <v>0</v>
      </c>
      <c r="E29" s="37">
        <v>1</v>
      </c>
      <c r="F29" s="37">
        <f>'Monthly Volumes'!C42</f>
        <v>0</v>
      </c>
      <c r="G29" s="38"/>
      <c r="H29" s="12"/>
      <c r="I29" s="6"/>
      <c r="J29" s="13">
        <f>D29*E29*H29+(F29+G29)*I29</f>
        <v>0</v>
      </c>
      <c r="K29" s="12"/>
      <c r="L29" s="6"/>
      <c r="M29" s="13">
        <f>D29*E29*K29+(F29+G29)*L29</f>
        <v>0</v>
      </c>
      <c r="N29" s="19"/>
      <c r="O29" s="13">
        <f>(F29+G29)*N29</f>
        <v>0</v>
      </c>
      <c r="P29" s="19">
        <v>0</v>
      </c>
      <c r="Q29" s="13">
        <f>(F29+G29)*P29</f>
        <v>0</v>
      </c>
      <c r="R29" s="13">
        <f>J29+M29+O29+Q29</f>
        <v>0</v>
      </c>
    </row>
    <row r="30" spans="1:18" ht="15">
      <c r="A30" s="26" t="s">
        <v>8</v>
      </c>
      <c r="B30" s="53">
        <v>2002</v>
      </c>
      <c r="C30" s="36" t="s">
        <v>42</v>
      </c>
      <c r="D30" s="37">
        <f>'Customer Count'!E7</f>
        <v>0</v>
      </c>
      <c r="E30" s="37">
        <v>1</v>
      </c>
      <c r="F30" s="37">
        <f>'Monthly Volumes'!C43</f>
        <v>0</v>
      </c>
      <c r="G30" s="38"/>
      <c r="H30" s="12"/>
      <c r="I30" s="6"/>
      <c r="J30" s="13">
        <f aca="true" t="shared" si="14" ref="J30:J38">D30*E30*H30+(F30+G30)*I30</f>
        <v>0</v>
      </c>
      <c r="K30" s="12"/>
      <c r="L30" s="6"/>
      <c r="M30" s="13">
        <f aca="true" t="shared" si="15" ref="M30:M38">D30*E30*K30+(F30+G30)*L30</f>
        <v>0</v>
      </c>
      <c r="N30" s="19"/>
      <c r="O30" s="13">
        <f aca="true" t="shared" si="16" ref="O30:O38">(F30+G30)*N30</f>
        <v>0</v>
      </c>
      <c r="P30" s="19">
        <v>0</v>
      </c>
      <c r="Q30" s="13">
        <f aca="true" t="shared" si="17" ref="Q30:Q38">(F30+G30)*P30</f>
        <v>0</v>
      </c>
      <c r="R30" s="13">
        <f aca="true" t="shared" si="18" ref="R30:R38">J30+M30+O30+Q30</f>
        <v>0</v>
      </c>
    </row>
    <row r="31" spans="1:18" ht="15">
      <c r="A31" s="26" t="s">
        <v>8</v>
      </c>
      <c r="B31" s="53">
        <v>2002</v>
      </c>
      <c r="C31" s="36" t="s">
        <v>35</v>
      </c>
      <c r="D31" s="37">
        <f>'Customer Count'!E8</f>
        <v>0</v>
      </c>
      <c r="E31" s="37">
        <v>1</v>
      </c>
      <c r="F31" s="37">
        <f>'Monthly Volumes'!C44</f>
        <v>0</v>
      </c>
      <c r="G31" s="38"/>
      <c r="H31" s="12"/>
      <c r="I31" s="6"/>
      <c r="J31" s="13">
        <f t="shared" si="14"/>
        <v>0</v>
      </c>
      <c r="K31" s="12"/>
      <c r="L31" s="6"/>
      <c r="M31" s="13">
        <f t="shared" si="15"/>
        <v>0</v>
      </c>
      <c r="N31" s="19"/>
      <c r="O31" s="13">
        <f t="shared" si="16"/>
        <v>0</v>
      </c>
      <c r="P31" s="19">
        <v>0</v>
      </c>
      <c r="Q31" s="13">
        <f t="shared" si="17"/>
        <v>0</v>
      </c>
      <c r="R31" s="13">
        <f t="shared" si="18"/>
        <v>0</v>
      </c>
    </row>
    <row r="32" spans="1:18" ht="15">
      <c r="A32" s="26" t="s">
        <v>8</v>
      </c>
      <c r="B32" s="53">
        <v>2002</v>
      </c>
      <c r="C32" s="36" t="s">
        <v>43</v>
      </c>
      <c r="D32" s="37">
        <f>'Customer Count'!E9</f>
        <v>0</v>
      </c>
      <c r="E32" s="37">
        <v>1</v>
      </c>
      <c r="F32" s="37">
        <f>'Monthly Volumes'!C45</f>
        <v>0</v>
      </c>
      <c r="G32" s="38"/>
      <c r="H32" s="12"/>
      <c r="I32" s="6"/>
      <c r="J32" s="13">
        <f t="shared" si="14"/>
        <v>0</v>
      </c>
      <c r="K32" s="12"/>
      <c r="L32" s="6"/>
      <c r="M32" s="13">
        <f t="shared" si="15"/>
        <v>0</v>
      </c>
      <c r="N32" s="19"/>
      <c r="O32" s="13">
        <f t="shared" si="16"/>
        <v>0</v>
      </c>
      <c r="P32" s="19">
        <v>0</v>
      </c>
      <c r="Q32" s="13">
        <f t="shared" si="17"/>
        <v>0</v>
      </c>
      <c r="R32" s="13">
        <f t="shared" si="18"/>
        <v>0</v>
      </c>
    </row>
    <row r="33" spans="1:18" ht="15">
      <c r="A33" s="26" t="s">
        <v>8</v>
      </c>
      <c r="B33" s="53">
        <v>2002</v>
      </c>
      <c r="C33" s="36" t="s">
        <v>44</v>
      </c>
      <c r="D33" s="37">
        <f>'Customer Count'!E10</f>
        <v>0</v>
      </c>
      <c r="E33" s="37">
        <v>1</v>
      </c>
      <c r="F33" s="37">
        <f>'Monthly Volumes'!C46</f>
        <v>0</v>
      </c>
      <c r="G33" s="38"/>
      <c r="H33" s="12"/>
      <c r="I33" s="6"/>
      <c r="J33" s="13">
        <f t="shared" si="14"/>
        <v>0</v>
      </c>
      <c r="K33" s="12"/>
      <c r="L33" s="6"/>
      <c r="M33" s="13">
        <f t="shared" si="15"/>
        <v>0</v>
      </c>
      <c r="N33" s="19"/>
      <c r="O33" s="13">
        <f t="shared" si="16"/>
        <v>0</v>
      </c>
      <c r="P33" s="19">
        <v>0</v>
      </c>
      <c r="Q33" s="13">
        <f t="shared" si="17"/>
        <v>0</v>
      </c>
      <c r="R33" s="13">
        <f t="shared" si="18"/>
        <v>0</v>
      </c>
    </row>
    <row r="34" spans="1:18" ht="15">
      <c r="A34" s="26" t="s">
        <v>8</v>
      </c>
      <c r="B34" s="53">
        <v>2002</v>
      </c>
      <c r="C34" s="36" t="s">
        <v>45</v>
      </c>
      <c r="D34" s="37">
        <f>'Customer Count'!E11</f>
        <v>0</v>
      </c>
      <c r="E34" s="37">
        <v>1</v>
      </c>
      <c r="F34" s="37">
        <f>'Monthly Volumes'!C47</f>
        <v>0</v>
      </c>
      <c r="G34" s="38"/>
      <c r="H34" s="12"/>
      <c r="I34" s="6"/>
      <c r="J34" s="13">
        <f t="shared" si="14"/>
        <v>0</v>
      </c>
      <c r="K34" s="12"/>
      <c r="L34" s="6"/>
      <c r="M34" s="13">
        <f t="shared" si="15"/>
        <v>0</v>
      </c>
      <c r="N34" s="19"/>
      <c r="O34" s="13">
        <f t="shared" si="16"/>
        <v>0</v>
      </c>
      <c r="P34" s="19">
        <v>0</v>
      </c>
      <c r="Q34" s="13">
        <f t="shared" si="17"/>
        <v>0</v>
      </c>
      <c r="R34" s="13">
        <f t="shared" si="18"/>
        <v>0</v>
      </c>
    </row>
    <row r="35" spans="1:18" ht="15">
      <c r="A35" s="26" t="s">
        <v>8</v>
      </c>
      <c r="B35" s="53">
        <v>2002</v>
      </c>
      <c r="C35" s="36" t="s">
        <v>46</v>
      </c>
      <c r="D35" s="37">
        <f>'Customer Count'!E12</f>
        <v>0</v>
      </c>
      <c r="E35" s="37">
        <v>1</v>
      </c>
      <c r="F35" s="37">
        <f>'Monthly Volumes'!C48</f>
        <v>0</v>
      </c>
      <c r="G35" s="38"/>
      <c r="H35" s="12"/>
      <c r="I35" s="6"/>
      <c r="J35" s="13">
        <f t="shared" si="14"/>
        <v>0</v>
      </c>
      <c r="K35" s="12"/>
      <c r="L35" s="6"/>
      <c r="M35" s="13">
        <f t="shared" si="15"/>
        <v>0</v>
      </c>
      <c r="N35" s="19"/>
      <c r="O35" s="13">
        <f t="shared" si="16"/>
        <v>0</v>
      </c>
      <c r="P35" s="19">
        <v>0</v>
      </c>
      <c r="Q35" s="13">
        <f t="shared" si="17"/>
        <v>0</v>
      </c>
      <c r="R35" s="13">
        <f t="shared" si="18"/>
        <v>0</v>
      </c>
    </row>
    <row r="36" spans="1:18" ht="15">
      <c r="A36" s="26" t="s">
        <v>8</v>
      </c>
      <c r="B36" s="53">
        <v>2002</v>
      </c>
      <c r="C36" s="36" t="s">
        <v>47</v>
      </c>
      <c r="D36" s="37">
        <f>'Customer Count'!E13</f>
        <v>0</v>
      </c>
      <c r="E36" s="37">
        <v>1</v>
      </c>
      <c r="F36" s="37">
        <f>'Monthly Volumes'!C49</f>
        <v>0</v>
      </c>
      <c r="G36" s="38"/>
      <c r="H36" s="12"/>
      <c r="I36" s="6"/>
      <c r="J36" s="13">
        <f t="shared" si="14"/>
        <v>0</v>
      </c>
      <c r="K36" s="12"/>
      <c r="L36" s="6"/>
      <c r="M36" s="13">
        <f t="shared" si="15"/>
        <v>0</v>
      </c>
      <c r="N36" s="19"/>
      <c r="O36" s="13">
        <f t="shared" si="16"/>
        <v>0</v>
      </c>
      <c r="P36" s="19">
        <v>0</v>
      </c>
      <c r="Q36" s="13">
        <f t="shared" si="17"/>
        <v>0</v>
      </c>
      <c r="R36" s="13">
        <f t="shared" si="18"/>
        <v>0</v>
      </c>
    </row>
    <row r="37" spans="1:18" ht="15">
      <c r="A37" s="26" t="s">
        <v>8</v>
      </c>
      <c r="B37" s="53">
        <v>2002</v>
      </c>
      <c r="C37" s="36" t="s">
        <v>48</v>
      </c>
      <c r="D37" s="37">
        <f>'Customer Count'!E14</f>
        <v>0</v>
      </c>
      <c r="E37" s="37">
        <v>1</v>
      </c>
      <c r="F37" s="37">
        <f>'Monthly Volumes'!C50</f>
        <v>0</v>
      </c>
      <c r="G37" s="38"/>
      <c r="H37" s="12"/>
      <c r="I37" s="6"/>
      <c r="J37" s="13">
        <f t="shared" si="14"/>
        <v>0</v>
      </c>
      <c r="K37" s="12"/>
      <c r="L37" s="6"/>
      <c r="M37" s="13">
        <f t="shared" si="15"/>
        <v>0</v>
      </c>
      <c r="N37" s="19"/>
      <c r="O37" s="13">
        <f t="shared" si="16"/>
        <v>0</v>
      </c>
      <c r="P37" s="19">
        <v>0</v>
      </c>
      <c r="Q37" s="13">
        <f t="shared" si="17"/>
        <v>0</v>
      </c>
      <c r="R37" s="13">
        <f t="shared" si="18"/>
        <v>0</v>
      </c>
    </row>
    <row r="38" spans="1:18" ht="15">
      <c r="A38" s="26" t="s">
        <v>8</v>
      </c>
      <c r="B38" s="53">
        <v>2002</v>
      </c>
      <c r="C38" s="36" t="s">
        <v>49</v>
      </c>
      <c r="D38" s="37">
        <f>'Customer Count'!E15</f>
        <v>0</v>
      </c>
      <c r="E38" s="37">
        <v>1</v>
      </c>
      <c r="F38" s="37">
        <f>'Monthly Volumes'!C51</f>
        <v>0</v>
      </c>
      <c r="G38" s="38"/>
      <c r="H38" s="12"/>
      <c r="I38" s="6"/>
      <c r="J38" s="13">
        <f t="shared" si="14"/>
        <v>0</v>
      </c>
      <c r="K38" s="12"/>
      <c r="L38" s="6"/>
      <c r="M38" s="13">
        <f t="shared" si="15"/>
        <v>0</v>
      </c>
      <c r="N38" s="19"/>
      <c r="O38" s="13">
        <f t="shared" si="16"/>
        <v>0</v>
      </c>
      <c r="P38" s="19">
        <v>0</v>
      </c>
      <c r="Q38" s="13">
        <f t="shared" si="17"/>
        <v>0</v>
      </c>
      <c r="R38" s="13">
        <f t="shared" si="18"/>
        <v>0</v>
      </c>
    </row>
    <row r="39" spans="1:18" ht="15.75" thickBot="1">
      <c r="A39" s="26"/>
      <c r="B39" s="53"/>
      <c r="C39" s="36"/>
      <c r="D39" s="37"/>
      <c r="E39" s="37"/>
      <c r="F39" s="37"/>
      <c r="G39" s="38"/>
      <c r="H39" s="12"/>
      <c r="I39" s="6"/>
      <c r="J39" s="13"/>
      <c r="K39" s="12"/>
      <c r="L39" s="6"/>
      <c r="M39" s="13"/>
      <c r="N39" s="19"/>
      <c r="O39" s="13"/>
      <c r="P39" s="19"/>
      <c r="Q39" s="13"/>
      <c r="R39" s="13"/>
    </row>
    <row r="40" spans="1:18" ht="15.75" thickBot="1">
      <c r="A40" s="55" t="s">
        <v>60</v>
      </c>
      <c r="B40" s="56"/>
      <c r="C40" s="57"/>
      <c r="D40" s="58">
        <f>SUM(D29:D39)</f>
        <v>0</v>
      </c>
      <c r="E40" s="58"/>
      <c r="F40" s="58">
        <f>SUM(F29:F39)</f>
        <v>0</v>
      </c>
      <c r="G40" s="58">
        <f>SUM(G29:G39)</f>
        <v>0</v>
      </c>
      <c r="H40" s="60"/>
      <c r="I40" s="61"/>
      <c r="J40" s="62">
        <f>SUM(J29:J39)</f>
        <v>0</v>
      </c>
      <c r="K40" s="60"/>
      <c r="L40" s="61"/>
      <c r="M40" s="62">
        <f>SUM(M29:M39)</f>
        <v>0</v>
      </c>
      <c r="N40" s="63"/>
      <c r="O40" s="62">
        <f>SUM(O29:O39)</f>
        <v>0</v>
      </c>
      <c r="P40" s="63"/>
      <c r="Q40" s="62">
        <f>SUM(Q29:Q39)</f>
        <v>0</v>
      </c>
      <c r="R40" s="62">
        <f>SUM(R29:R39)</f>
        <v>0</v>
      </c>
    </row>
    <row r="41" spans="1:18" ht="15">
      <c r="A41" s="26"/>
      <c r="B41" s="53"/>
      <c r="C41" s="36"/>
      <c r="D41" s="37"/>
      <c r="E41" s="37"/>
      <c r="F41" s="39"/>
      <c r="G41" s="54"/>
      <c r="H41" s="12"/>
      <c r="I41" s="6"/>
      <c r="J41" s="13"/>
      <c r="K41" s="12"/>
      <c r="L41" s="6"/>
      <c r="M41" s="13"/>
      <c r="N41" s="19"/>
      <c r="O41" s="13"/>
      <c r="P41" s="19"/>
      <c r="Q41" s="13"/>
      <c r="R41" s="13"/>
    </row>
    <row r="42" spans="1:18" ht="15">
      <c r="A42" s="26" t="s">
        <v>2</v>
      </c>
      <c r="B42" s="53">
        <v>2002</v>
      </c>
      <c r="C42" s="36" t="s">
        <v>41</v>
      </c>
      <c r="D42" s="37">
        <f>'Customer Count'!F6</f>
        <v>22</v>
      </c>
      <c r="E42" s="37">
        <v>1</v>
      </c>
      <c r="F42" s="39"/>
      <c r="G42" s="40">
        <f>'Monthly Volumes'!L6</f>
        <v>1055</v>
      </c>
      <c r="H42" s="12">
        <f>'[3]6. 2001PILs DefAcct Adder Calc'!$C$106</f>
        <v>0.653445326530753</v>
      </c>
      <c r="I42" s="6">
        <f>'[3]6. 2001PILs DefAcct Adder Calc'!$B$102</f>
        <v>0.0014104393614148571</v>
      </c>
      <c r="J42" s="13">
        <f>D42*E42*H42+(F42+G42)*I42</f>
        <v>15.863810709969242</v>
      </c>
      <c r="K42" s="12">
        <f>'[3]8. 2002PILs Proxy Adder Calc'!$C$106</f>
        <v>2.7912034722467767</v>
      </c>
      <c r="L42" s="6">
        <f>'[3]8. 2002PILs Proxy Adder Calc'!$B$102</f>
        <v>0.006024717115777546</v>
      </c>
      <c r="M42" s="13">
        <f>D42*E42*K42+(F42+G42)*L42</f>
        <v>67.7625529465744</v>
      </c>
      <c r="N42" s="19"/>
      <c r="O42" s="13">
        <f>(F42+G42)*N42</f>
        <v>0</v>
      </c>
      <c r="P42" s="19">
        <v>0</v>
      </c>
      <c r="Q42" s="13">
        <f>(F42+G42)*P42</f>
        <v>0</v>
      </c>
      <c r="R42" s="13">
        <f>J42+M42+O42+Q42</f>
        <v>83.62636365654365</v>
      </c>
    </row>
    <row r="43" spans="1:18" ht="15">
      <c r="A43" s="26" t="s">
        <v>2</v>
      </c>
      <c r="B43" s="53">
        <v>2002</v>
      </c>
      <c r="C43" s="36" t="s">
        <v>42</v>
      </c>
      <c r="D43" s="37">
        <f>'Customer Count'!F7</f>
        <v>22</v>
      </c>
      <c r="E43" s="37">
        <v>1</v>
      </c>
      <c r="F43" s="39"/>
      <c r="G43" s="40">
        <f>'Monthly Volumes'!L7</f>
        <v>1055</v>
      </c>
      <c r="H43" s="12">
        <f>H42</f>
        <v>0.653445326530753</v>
      </c>
      <c r="I43" s="6">
        <f>I42</f>
        <v>0.0014104393614148571</v>
      </c>
      <c r="J43" s="13">
        <f aca="true" t="shared" si="19" ref="J43:J51">D43*E43*H43+(F43+G43)*I43</f>
        <v>15.863810709969242</v>
      </c>
      <c r="K43" s="12">
        <f>'[3]8. 2002PILs Proxy Adder Calc'!$C$106</f>
        <v>2.7912034722467767</v>
      </c>
      <c r="L43" s="6">
        <f>'[3]8. 2002PILs Proxy Adder Calc'!$B$102</f>
        <v>0.006024717115777546</v>
      </c>
      <c r="M43" s="13">
        <f aca="true" t="shared" si="20" ref="M43:M51">D43*E43*K43+(F43+G43)*L43</f>
        <v>67.7625529465744</v>
      </c>
      <c r="N43" s="19"/>
      <c r="O43" s="13">
        <f aca="true" t="shared" si="21" ref="O43:O51">(F43+G43)*N43</f>
        <v>0</v>
      </c>
      <c r="P43" s="19">
        <v>0</v>
      </c>
      <c r="Q43" s="13">
        <f aca="true" t="shared" si="22" ref="Q43:Q51">(F43+G43)*P43</f>
        <v>0</v>
      </c>
      <c r="R43" s="13">
        <f aca="true" t="shared" si="23" ref="R43:R51">J43+M43+O43+Q43</f>
        <v>83.62636365654365</v>
      </c>
    </row>
    <row r="44" spans="1:18" ht="15">
      <c r="A44" s="26" t="s">
        <v>2</v>
      </c>
      <c r="B44" s="53">
        <v>2002</v>
      </c>
      <c r="C44" s="36" t="s">
        <v>35</v>
      </c>
      <c r="D44" s="37">
        <f>'Customer Count'!F8</f>
        <v>22</v>
      </c>
      <c r="E44" s="37">
        <v>1</v>
      </c>
      <c r="F44" s="39"/>
      <c r="G44" s="40">
        <f>'Monthly Volumes'!L8</f>
        <v>1055</v>
      </c>
      <c r="H44" s="12">
        <f aca="true" t="shared" si="24" ref="H44:H51">H43</f>
        <v>0.653445326530753</v>
      </c>
      <c r="I44" s="6">
        <f aca="true" t="shared" si="25" ref="I44:I51">I43</f>
        <v>0.0014104393614148571</v>
      </c>
      <c r="J44" s="13">
        <f t="shared" si="19"/>
        <v>15.863810709969242</v>
      </c>
      <c r="K44" s="12">
        <f>'[3]8. 2002PILs Proxy Adder Calc'!$C$106</f>
        <v>2.7912034722467767</v>
      </c>
      <c r="L44" s="6">
        <f>'[3]8. 2002PILs Proxy Adder Calc'!$B$102</f>
        <v>0.006024717115777546</v>
      </c>
      <c r="M44" s="13">
        <f t="shared" si="20"/>
        <v>67.7625529465744</v>
      </c>
      <c r="N44" s="19"/>
      <c r="O44" s="13">
        <f t="shared" si="21"/>
        <v>0</v>
      </c>
      <c r="P44" s="19">
        <v>0</v>
      </c>
      <c r="Q44" s="13">
        <f t="shared" si="22"/>
        <v>0</v>
      </c>
      <c r="R44" s="13">
        <f t="shared" si="23"/>
        <v>83.62636365654365</v>
      </c>
    </row>
    <row r="45" spans="1:18" ht="15">
      <c r="A45" s="26" t="s">
        <v>2</v>
      </c>
      <c r="B45" s="53">
        <v>2002</v>
      </c>
      <c r="C45" s="36" t="s">
        <v>43</v>
      </c>
      <c r="D45" s="37">
        <f>'Customer Count'!F9</f>
        <v>22</v>
      </c>
      <c r="E45" s="37">
        <v>1</v>
      </c>
      <c r="F45" s="39"/>
      <c r="G45" s="40">
        <f>'Monthly Volumes'!L9</f>
        <v>1055</v>
      </c>
      <c r="H45" s="12">
        <f t="shared" si="24"/>
        <v>0.653445326530753</v>
      </c>
      <c r="I45" s="6">
        <f t="shared" si="25"/>
        <v>0.0014104393614148571</v>
      </c>
      <c r="J45" s="13">
        <f t="shared" si="19"/>
        <v>15.863810709969242</v>
      </c>
      <c r="K45" s="12">
        <f>'[3]8. 2002PILs Proxy Adder Calc'!$C$106</f>
        <v>2.7912034722467767</v>
      </c>
      <c r="L45" s="6">
        <f>'[3]8. 2002PILs Proxy Adder Calc'!$B$102</f>
        <v>0.006024717115777546</v>
      </c>
      <c r="M45" s="13">
        <f t="shared" si="20"/>
        <v>67.7625529465744</v>
      </c>
      <c r="N45" s="19"/>
      <c r="O45" s="13">
        <f t="shared" si="21"/>
        <v>0</v>
      </c>
      <c r="P45" s="19">
        <v>0</v>
      </c>
      <c r="Q45" s="13">
        <f t="shared" si="22"/>
        <v>0</v>
      </c>
      <c r="R45" s="13">
        <f t="shared" si="23"/>
        <v>83.62636365654365</v>
      </c>
    </row>
    <row r="46" spans="1:18" ht="15">
      <c r="A46" s="26" t="s">
        <v>2</v>
      </c>
      <c r="B46" s="53">
        <v>2002</v>
      </c>
      <c r="C46" s="36" t="s">
        <v>44</v>
      </c>
      <c r="D46" s="37">
        <f>'Customer Count'!F10</f>
        <v>22</v>
      </c>
      <c r="E46" s="37">
        <v>1</v>
      </c>
      <c r="F46" s="39"/>
      <c r="G46" s="40">
        <f>'Monthly Volumes'!L10</f>
        <v>1055</v>
      </c>
      <c r="H46" s="12">
        <f t="shared" si="24"/>
        <v>0.653445326530753</v>
      </c>
      <c r="I46" s="6">
        <f t="shared" si="25"/>
        <v>0.0014104393614148571</v>
      </c>
      <c r="J46" s="13">
        <f t="shared" si="19"/>
        <v>15.863810709969242</v>
      </c>
      <c r="K46" s="12">
        <f>'[3]8. 2002PILs Proxy Adder Calc'!$C$106</f>
        <v>2.7912034722467767</v>
      </c>
      <c r="L46" s="6">
        <f>'[3]8. 2002PILs Proxy Adder Calc'!$B$102</f>
        <v>0.006024717115777546</v>
      </c>
      <c r="M46" s="13">
        <f t="shared" si="20"/>
        <v>67.7625529465744</v>
      </c>
      <c r="N46" s="19"/>
      <c r="O46" s="13">
        <f t="shared" si="21"/>
        <v>0</v>
      </c>
      <c r="P46" s="19">
        <v>0</v>
      </c>
      <c r="Q46" s="13">
        <f t="shared" si="22"/>
        <v>0</v>
      </c>
      <c r="R46" s="13">
        <f t="shared" si="23"/>
        <v>83.62636365654365</v>
      </c>
    </row>
    <row r="47" spans="1:18" ht="15">
      <c r="A47" s="26" t="s">
        <v>2</v>
      </c>
      <c r="B47" s="53">
        <v>2002</v>
      </c>
      <c r="C47" s="36" t="s">
        <v>45</v>
      </c>
      <c r="D47" s="37">
        <f>'Customer Count'!F11</f>
        <v>22</v>
      </c>
      <c r="E47" s="37">
        <v>1</v>
      </c>
      <c r="F47" s="39"/>
      <c r="G47" s="40">
        <f>'Monthly Volumes'!L11</f>
        <v>1055</v>
      </c>
      <c r="H47" s="12">
        <f t="shared" si="24"/>
        <v>0.653445326530753</v>
      </c>
      <c r="I47" s="6">
        <f t="shared" si="25"/>
        <v>0.0014104393614148571</v>
      </c>
      <c r="J47" s="13">
        <f t="shared" si="19"/>
        <v>15.863810709969242</v>
      </c>
      <c r="K47" s="12">
        <f>'[3]8. 2002PILs Proxy Adder Calc'!$C$106</f>
        <v>2.7912034722467767</v>
      </c>
      <c r="L47" s="6">
        <f>'[3]8. 2002PILs Proxy Adder Calc'!$B$102</f>
        <v>0.006024717115777546</v>
      </c>
      <c r="M47" s="13">
        <f t="shared" si="20"/>
        <v>67.7625529465744</v>
      </c>
      <c r="N47" s="19"/>
      <c r="O47" s="13">
        <f t="shared" si="21"/>
        <v>0</v>
      </c>
      <c r="P47" s="19">
        <v>0</v>
      </c>
      <c r="Q47" s="13">
        <f t="shared" si="22"/>
        <v>0</v>
      </c>
      <c r="R47" s="13">
        <f t="shared" si="23"/>
        <v>83.62636365654365</v>
      </c>
    </row>
    <row r="48" spans="1:18" ht="15">
      <c r="A48" s="26" t="s">
        <v>2</v>
      </c>
      <c r="B48" s="53">
        <v>2002</v>
      </c>
      <c r="C48" s="36" t="s">
        <v>46</v>
      </c>
      <c r="D48" s="37">
        <f>'Customer Count'!F12</f>
        <v>22</v>
      </c>
      <c r="E48" s="37">
        <v>1</v>
      </c>
      <c r="F48" s="39"/>
      <c r="G48" s="40">
        <f>'Monthly Volumes'!L12</f>
        <v>1055</v>
      </c>
      <c r="H48" s="12">
        <f t="shared" si="24"/>
        <v>0.653445326530753</v>
      </c>
      <c r="I48" s="6">
        <f t="shared" si="25"/>
        <v>0.0014104393614148571</v>
      </c>
      <c r="J48" s="13">
        <f t="shared" si="19"/>
        <v>15.863810709969242</v>
      </c>
      <c r="K48" s="12">
        <f>'[3]8. 2002PILs Proxy Adder Calc'!$C$106</f>
        <v>2.7912034722467767</v>
      </c>
      <c r="L48" s="6">
        <f>'[3]8. 2002PILs Proxy Adder Calc'!$B$102</f>
        <v>0.006024717115777546</v>
      </c>
      <c r="M48" s="13">
        <f t="shared" si="20"/>
        <v>67.7625529465744</v>
      </c>
      <c r="N48" s="19"/>
      <c r="O48" s="13">
        <f t="shared" si="21"/>
        <v>0</v>
      </c>
      <c r="P48" s="19">
        <v>0</v>
      </c>
      <c r="Q48" s="13">
        <f t="shared" si="22"/>
        <v>0</v>
      </c>
      <c r="R48" s="13">
        <f t="shared" si="23"/>
        <v>83.62636365654365</v>
      </c>
    </row>
    <row r="49" spans="1:18" ht="15">
      <c r="A49" s="26" t="s">
        <v>2</v>
      </c>
      <c r="B49" s="53">
        <v>2002</v>
      </c>
      <c r="C49" s="36" t="s">
        <v>47</v>
      </c>
      <c r="D49" s="37">
        <f>'Customer Count'!F13</f>
        <v>22</v>
      </c>
      <c r="E49" s="37">
        <v>1</v>
      </c>
      <c r="F49" s="39"/>
      <c r="G49" s="40">
        <f>'Monthly Volumes'!L13</f>
        <v>1055</v>
      </c>
      <c r="H49" s="12">
        <f t="shared" si="24"/>
        <v>0.653445326530753</v>
      </c>
      <c r="I49" s="6">
        <f t="shared" si="25"/>
        <v>0.0014104393614148571</v>
      </c>
      <c r="J49" s="13">
        <f t="shared" si="19"/>
        <v>15.863810709969242</v>
      </c>
      <c r="K49" s="12">
        <f>'[3]8. 2002PILs Proxy Adder Calc'!$C$106</f>
        <v>2.7912034722467767</v>
      </c>
      <c r="L49" s="6">
        <f>'[3]8. 2002PILs Proxy Adder Calc'!$B$102</f>
        <v>0.006024717115777546</v>
      </c>
      <c r="M49" s="13">
        <f t="shared" si="20"/>
        <v>67.7625529465744</v>
      </c>
      <c r="N49" s="19"/>
      <c r="O49" s="13">
        <f t="shared" si="21"/>
        <v>0</v>
      </c>
      <c r="P49" s="19">
        <v>0</v>
      </c>
      <c r="Q49" s="13">
        <f t="shared" si="22"/>
        <v>0</v>
      </c>
      <c r="R49" s="13">
        <f t="shared" si="23"/>
        <v>83.62636365654365</v>
      </c>
    </row>
    <row r="50" spans="1:18" ht="15">
      <c r="A50" s="26" t="s">
        <v>2</v>
      </c>
      <c r="B50" s="53">
        <v>2002</v>
      </c>
      <c r="C50" s="36" t="s">
        <v>48</v>
      </c>
      <c r="D50" s="37">
        <f>'Customer Count'!F14</f>
        <v>22</v>
      </c>
      <c r="E50" s="37">
        <v>1</v>
      </c>
      <c r="F50" s="39"/>
      <c r="G50" s="40">
        <f>'Monthly Volumes'!L14</f>
        <v>1055</v>
      </c>
      <c r="H50" s="12">
        <f t="shared" si="24"/>
        <v>0.653445326530753</v>
      </c>
      <c r="I50" s="6">
        <f t="shared" si="25"/>
        <v>0.0014104393614148571</v>
      </c>
      <c r="J50" s="13">
        <f t="shared" si="19"/>
        <v>15.863810709969242</v>
      </c>
      <c r="K50" s="12">
        <f>'[3]8. 2002PILs Proxy Adder Calc'!$C$106</f>
        <v>2.7912034722467767</v>
      </c>
      <c r="L50" s="6">
        <f>'[3]8. 2002PILs Proxy Adder Calc'!$B$102</f>
        <v>0.006024717115777546</v>
      </c>
      <c r="M50" s="13">
        <f t="shared" si="20"/>
        <v>67.7625529465744</v>
      </c>
      <c r="N50" s="19"/>
      <c r="O50" s="13">
        <f t="shared" si="21"/>
        <v>0</v>
      </c>
      <c r="P50" s="19">
        <v>0</v>
      </c>
      <c r="Q50" s="13">
        <f t="shared" si="22"/>
        <v>0</v>
      </c>
      <c r="R50" s="13">
        <f t="shared" si="23"/>
        <v>83.62636365654365</v>
      </c>
    </row>
    <row r="51" spans="1:18" ht="15">
      <c r="A51" s="26" t="s">
        <v>2</v>
      </c>
      <c r="B51" s="53">
        <v>2002</v>
      </c>
      <c r="C51" s="36" t="s">
        <v>49</v>
      </c>
      <c r="D51" s="37">
        <f>'Customer Count'!F15</f>
        <v>22</v>
      </c>
      <c r="E51" s="37">
        <v>1</v>
      </c>
      <c r="F51" s="39"/>
      <c r="G51" s="40">
        <f>'Monthly Volumes'!L15</f>
        <v>1055</v>
      </c>
      <c r="H51" s="12">
        <f t="shared" si="24"/>
        <v>0.653445326530753</v>
      </c>
      <c r="I51" s="6">
        <f t="shared" si="25"/>
        <v>0.0014104393614148571</v>
      </c>
      <c r="J51" s="13">
        <f t="shared" si="19"/>
        <v>15.863810709969242</v>
      </c>
      <c r="K51" s="12">
        <f>'[3]8. 2002PILs Proxy Adder Calc'!$C$106</f>
        <v>2.7912034722467767</v>
      </c>
      <c r="L51" s="6">
        <f>'[3]8. 2002PILs Proxy Adder Calc'!$B$102</f>
        <v>0.006024717115777546</v>
      </c>
      <c r="M51" s="13">
        <f t="shared" si="20"/>
        <v>67.7625529465744</v>
      </c>
      <c r="N51" s="19"/>
      <c r="O51" s="13">
        <f t="shared" si="21"/>
        <v>0</v>
      </c>
      <c r="P51" s="19">
        <v>0</v>
      </c>
      <c r="Q51" s="13">
        <f t="shared" si="22"/>
        <v>0</v>
      </c>
      <c r="R51" s="13">
        <f t="shared" si="23"/>
        <v>83.62636365654365</v>
      </c>
    </row>
    <row r="52" spans="1:18" ht="16.5" customHeight="1" thickBot="1">
      <c r="A52" s="26"/>
      <c r="B52" s="53"/>
      <c r="C52" s="36"/>
      <c r="D52" s="37"/>
      <c r="E52" s="37"/>
      <c r="F52" s="39"/>
      <c r="G52" s="40"/>
      <c r="H52" s="12"/>
      <c r="I52" s="6"/>
      <c r="J52" s="13"/>
      <c r="K52" s="12"/>
      <c r="L52" s="6"/>
      <c r="M52" s="13"/>
      <c r="N52" s="19"/>
      <c r="O52" s="13"/>
      <c r="P52" s="19"/>
      <c r="Q52" s="13"/>
      <c r="R52" s="13"/>
    </row>
    <row r="53" spans="1:18" ht="15.75" thickBot="1">
      <c r="A53" s="55" t="s">
        <v>61</v>
      </c>
      <c r="B53" s="56"/>
      <c r="C53" s="57"/>
      <c r="D53" s="58">
        <f>SUM(D42:D52)</f>
        <v>220</v>
      </c>
      <c r="E53" s="58"/>
      <c r="F53" s="58">
        <f>SUM(F42:F52)</f>
        <v>0</v>
      </c>
      <c r="G53" s="58">
        <f>SUM(G42:G52)</f>
        <v>10550</v>
      </c>
      <c r="H53" s="60"/>
      <c r="I53" s="61"/>
      <c r="J53" s="62">
        <f>SUM(J42:J52)</f>
        <v>158.6381070996924</v>
      </c>
      <c r="K53" s="60"/>
      <c r="L53" s="61"/>
      <c r="M53" s="62">
        <f>SUM(M42:M52)</f>
        <v>677.6255294657439</v>
      </c>
      <c r="N53" s="63"/>
      <c r="O53" s="62">
        <f>SUM(O42:O52)</f>
        <v>0</v>
      </c>
      <c r="P53" s="63"/>
      <c r="Q53" s="62">
        <f>SUM(Q42:Q52)</f>
        <v>0</v>
      </c>
      <c r="R53" s="62">
        <f>SUM(R42:R52)</f>
        <v>836.2636365654363</v>
      </c>
    </row>
    <row r="54" spans="1:18" ht="15">
      <c r="A54" s="26"/>
      <c r="B54" s="53"/>
      <c r="C54" s="36"/>
      <c r="D54" s="37"/>
      <c r="E54" s="37"/>
      <c r="F54" s="39"/>
      <c r="G54" s="40"/>
      <c r="H54" s="12"/>
      <c r="I54" s="6"/>
      <c r="J54" s="13"/>
      <c r="K54" s="12"/>
      <c r="L54" s="6"/>
      <c r="M54" s="13"/>
      <c r="N54" s="19"/>
      <c r="O54" s="13"/>
      <c r="P54" s="19"/>
      <c r="Q54" s="13"/>
      <c r="R54" s="13"/>
    </row>
    <row r="55" spans="1:18" ht="15">
      <c r="A55" s="26" t="str">
        <f>'Monthly Volumes'!K22</f>
        <v>Intermediate</v>
      </c>
      <c r="B55" s="53">
        <v>2002</v>
      </c>
      <c r="C55" s="36" t="s">
        <v>41</v>
      </c>
      <c r="D55" s="37">
        <f>'Customer Count'!G6</f>
        <v>1</v>
      </c>
      <c r="E55" s="37">
        <v>1</v>
      </c>
      <c r="F55" s="39"/>
      <c r="G55" s="40">
        <f>'Monthly Volumes'!L24</f>
        <v>3769.5</v>
      </c>
      <c r="H55" s="14">
        <f>'[3]6. 2001PILs DefAcct Adder Calc'!$C$155</f>
        <v>20.8190647206934</v>
      </c>
      <c r="I55" s="6">
        <f>'[3]6. 2001PILs DefAcct Adder Calc'!$B$151</f>
        <v>0.0011267227637440235</v>
      </c>
      <c r="J55" s="13">
        <f>D55*E55*H55+(F55+G55)*I55</f>
        <v>25.066246178626496</v>
      </c>
      <c r="K55" s="14">
        <f>'[3]8. 2002PILs Proxy Adder Calc'!$C$155</f>
        <v>88.92900963244544</v>
      </c>
      <c r="L55" s="6">
        <f>'[3]8. 2002PILs Proxy Adder Calc'!$B$151</f>
        <v>0.004812816562815825</v>
      </c>
      <c r="M55" s="13">
        <f>D55*E55*K55+(F55+G55)*L55</f>
        <v>107.0709216659797</v>
      </c>
      <c r="N55" s="19"/>
      <c r="O55" s="13">
        <f>(F55+G55)*N55</f>
        <v>0</v>
      </c>
      <c r="P55" s="19">
        <v>0</v>
      </c>
      <c r="Q55" s="13">
        <f>(F55+G55)*P55</f>
        <v>0</v>
      </c>
      <c r="R55" s="13">
        <f>J55+M55+O55+Q55</f>
        <v>132.13716784460618</v>
      </c>
    </row>
    <row r="56" spans="1:18" ht="15">
      <c r="A56" s="26" t="str">
        <f>A55</f>
        <v>Intermediate</v>
      </c>
      <c r="B56" s="53">
        <v>2002</v>
      </c>
      <c r="C56" s="36" t="s">
        <v>42</v>
      </c>
      <c r="D56" s="37">
        <f>'Customer Count'!G7</f>
        <v>1</v>
      </c>
      <c r="E56" s="37">
        <v>1</v>
      </c>
      <c r="F56" s="39"/>
      <c r="G56" s="40">
        <f>'Monthly Volumes'!L25</f>
        <v>3769.5</v>
      </c>
      <c r="H56" s="14">
        <f>H55</f>
        <v>20.8190647206934</v>
      </c>
      <c r="I56" s="6">
        <f>I55</f>
        <v>0.0011267227637440235</v>
      </c>
      <c r="J56" s="13">
        <f>D56*E56*H56+(F56+G56)*I56</f>
        <v>25.066246178626496</v>
      </c>
      <c r="K56" s="14">
        <f>'[3]8. 2002PILs Proxy Adder Calc'!$C$155</f>
        <v>88.92900963244544</v>
      </c>
      <c r="L56" s="6">
        <f>'[3]8. 2002PILs Proxy Adder Calc'!$B$151</f>
        <v>0.004812816562815825</v>
      </c>
      <c r="M56" s="13">
        <f aca="true" t="shared" si="26" ref="M56:M64">D56*E56*K56+(F56+G56)*L56</f>
        <v>107.0709216659797</v>
      </c>
      <c r="N56" s="19"/>
      <c r="O56" s="13">
        <f aca="true" t="shared" si="27" ref="O56:O64">(F56+G56)*N56</f>
        <v>0</v>
      </c>
      <c r="P56" s="19">
        <v>0</v>
      </c>
      <c r="Q56" s="13">
        <f aca="true" t="shared" si="28" ref="Q56:Q64">(F56+G56)*P56</f>
        <v>0</v>
      </c>
      <c r="R56" s="13">
        <f aca="true" t="shared" si="29" ref="R56:R64">J56+M56+O56+Q56</f>
        <v>132.13716784460618</v>
      </c>
    </row>
    <row r="57" spans="1:18" ht="15">
      <c r="A57" s="26" t="str">
        <f aca="true" t="shared" si="30" ref="A57:A64">A56</f>
        <v>Intermediate</v>
      </c>
      <c r="B57" s="53">
        <v>2002</v>
      </c>
      <c r="C57" s="36" t="s">
        <v>35</v>
      </c>
      <c r="D57" s="37">
        <f>'Customer Count'!G8</f>
        <v>1</v>
      </c>
      <c r="E57" s="37">
        <v>1</v>
      </c>
      <c r="F57" s="39"/>
      <c r="G57" s="40">
        <f>'Monthly Volumes'!L26</f>
        <v>3769.5</v>
      </c>
      <c r="H57" s="14">
        <f aca="true" t="shared" si="31" ref="H57:H64">H56</f>
        <v>20.8190647206934</v>
      </c>
      <c r="I57" s="6">
        <f aca="true" t="shared" si="32" ref="I57:I64">I56</f>
        <v>0.0011267227637440235</v>
      </c>
      <c r="J57" s="13">
        <f aca="true" t="shared" si="33" ref="J57:J64">D57*E57*H57+(F57+G57)*I57</f>
        <v>25.066246178626496</v>
      </c>
      <c r="K57" s="14">
        <f>'[3]8. 2002PILs Proxy Adder Calc'!$C$155</f>
        <v>88.92900963244544</v>
      </c>
      <c r="L57" s="6">
        <f>'[3]8. 2002PILs Proxy Adder Calc'!$B$151</f>
        <v>0.004812816562815825</v>
      </c>
      <c r="M57" s="13">
        <f t="shared" si="26"/>
        <v>107.0709216659797</v>
      </c>
      <c r="N57" s="19"/>
      <c r="O57" s="13">
        <f t="shared" si="27"/>
        <v>0</v>
      </c>
      <c r="P57" s="19">
        <v>0</v>
      </c>
      <c r="Q57" s="13">
        <f t="shared" si="28"/>
        <v>0</v>
      </c>
      <c r="R57" s="13">
        <f t="shared" si="29"/>
        <v>132.13716784460618</v>
      </c>
    </row>
    <row r="58" spans="1:18" ht="15">
      <c r="A58" s="26" t="str">
        <f t="shared" si="30"/>
        <v>Intermediate</v>
      </c>
      <c r="B58" s="53">
        <v>2002</v>
      </c>
      <c r="C58" s="36" t="s">
        <v>43</v>
      </c>
      <c r="D58" s="37">
        <f>'Customer Count'!G9</f>
        <v>1</v>
      </c>
      <c r="E58" s="37">
        <v>1</v>
      </c>
      <c r="F58" s="39"/>
      <c r="G58" s="40">
        <f>'Monthly Volumes'!L27</f>
        <v>3769.5</v>
      </c>
      <c r="H58" s="14">
        <f t="shared" si="31"/>
        <v>20.8190647206934</v>
      </c>
      <c r="I58" s="6">
        <f t="shared" si="32"/>
        <v>0.0011267227637440235</v>
      </c>
      <c r="J58" s="13">
        <f t="shared" si="33"/>
        <v>25.066246178626496</v>
      </c>
      <c r="K58" s="14">
        <f>'[3]8. 2002PILs Proxy Adder Calc'!$C$155</f>
        <v>88.92900963244544</v>
      </c>
      <c r="L58" s="6">
        <f>'[3]8. 2002PILs Proxy Adder Calc'!$B$151</f>
        <v>0.004812816562815825</v>
      </c>
      <c r="M58" s="13">
        <f t="shared" si="26"/>
        <v>107.0709216659797</v>
      </c>
      <c r="N58" s="19"/>
      <c r="O58" s="13">
        <f t="shared" si="27"/>
        <v>0</v>
      </c>
      <c r="P58" s="19">
        <v>0</v>
      </c>
      <c r="Q58" s="13">
        <f t="shared" si="28"/>
        <v>0</v>
      </c>
      <c r="R58" s="13">
        <f t="shared" si="29"/>
        <v>132.13716784460618</v>
      </c>
    </row>
    <row r="59" spans="1:18" ht="15">
      <c r="A59" s="26" t="str">
        <f t="shared" si="30"/>
        <v>Intermediate</v>
      </c>
      <c r="B59" s="53">
        <v>2002</v>
      </c>
      <c r="C59" s="36" t="s">
        <v>44</v>
      </c>
      <c r="D59" s="37">
        <f>'Customer Count'!G10</f>
        <v>1</v>
      </c>
      <c r="E59" s="37">
        <v>1</v>
      </c>
      <c r="F59" s="39"/>
      <c r="G59" s="40">
        <f>'Monthly Volumes'!L28</f>
        <v>3769.5</v>
      </c>
      <c r="H59" s="14">
        <f t="shared" si="31"/>
        <v>20.8190647206934</v>
      </c>
      <c r="I59" s="6">
        <f t="shared" si="32"/>
        <v>0.0011267227637440235</v>
      </c>
      <c r="J59" s="13">
        <f t="shared" si="33"/>
        <v>25.066246178626496</v>
      </c>
      <c r="K59" s="14">
        <f>'[3]8. 2002PILs Proxy Adder Calc'!$C$155</f>
        <v>88.92900963244544</v>
      </c>
      <c r="L59" s="6">
        <f>'[3]8. 2002PILs Proxy Adder Calc'!$B$151</f>
        <v>0.004812816562815825</v>
      </c>
      <c r="M59" s="13">
        <f t="shared" si="26"/>
        <v>107.0709216659797</v>
      </c>
      <c r="N59" s="19"/>
      <c r="O59" s="13">
        <f t="shared" si="27"/>
        <v>0</v>
      </c>
      <c r="P59" s="19">
        <v>0</v>
      </c>
      <c r="Q59" s="13">
        <f t="shared" si="28"/>
        <v>0</v>
      </c>
      <c r="R59" s="13">
        <f t="shared" si="29"/>
        <v>132.13716784460618</v>
      </c>
    </row>
    <row r="60" spans="1:18" ht="15">
      <c r="A60" s="26" t="str">
        <f t="shared" si="30"/>
        <v>Intermediate</v>
      </c>
      <c r="B60" s="53">
        <v>2002</v>
      </c>
      <c r="C60" s="36" t="s">
        <v>45</v>
      </c>
      <c r="D60" s="37">
        <f>'Customer Count'!G11</f>
        <v>1</v>
      </c>
      <c r="E60" s="37">
        <v>1</v>
      </c>
      <c r="F60" s="39"/>
      <c r="G60" s="40">
        <f>'Monthly Volumes'!L29</f>
        <v>3769.5</v>
      </c>
      <c r="H60" s="14">
        <f t="shared" si="31"/>
        <v>20.8190647206934</v>
      </c>
      <c r="I60" s="6">
        <f t="shared" si="32"/>
        <v>0.0011267227637440235</v>
      </c>
      <c r="J60" s="13">
        <f t="shared" si="33"/>
        <v>25.066246178626496</v>
      </c>
      <c r="K60" s="14">
        <f>'[3]8. 2002PILs Proxy Adder Calc'!$C$155</f>
        <v>88.92900963244544</v>
      </c>
      <c r="L60" s="6">
        <f>'[3]8. 2002PILs Proxy Adder Calc'!$B$151</f>
        <v>0.004812816562815825</v>
      </c>
      <c r="M60" s="13">
        <f t="shared" si="26"/>
        <v>107.0709216659797</v>
      </c>
      <c r="N60" s="19"/>
      <c r="O60" s="13">
        <f t="shared" si="27"/>
        <v>0</v>
      </c>
      <c r="P60" s="19">
        <v>0</v>
      </c>
      <c r="Q60" s="13">
        <f t="shared" si="28"/>
        <v>0</v>
      </c>
      <c r="R60" s="13">
        <f t="shared" si="29"/>
        <v>132.13716784460618</v>
      </c>
    </row>
    <row r="61" spans="1:18" ht="15">
      <c r="A61" s="26" t="str">
        <f t="shared" si="30"/>
        <v>Intermediate</v>
      </c>
      <c r="B61" s="53">
        <v>2002</v>
      </c>
      <c r="C61" s="36" t="s">
        <v>46</v>
      </c>
      <c r="D61" s="37">
        <f>'Customer Count'!G12</f>
        <v>1</v>
      </c>
      <c r="E61" s="37">
        <v>1</v>
      </c>
      <c r="F61" s="39"/>
      <c r="G61" s="40">
        <f>'Monthly Volumes'!L30</f>
        <v>3769.5</v>
      </c>
      <c r="H61" s="14">
        <f t="shared" si="31"/>
        <v>20.8190647206934</v>
      </c>
      <c r="I61" s="6">
        <f t="shared" si="32"/>
        <v>0.0011267227637440235</v>
      </c>
      <c r="J61" s="13">
        <f t="shared" si="33"/>
        <v>25.066246178626496</v>
      </c>
      <c r="K61" s="14">
        <f>'[3]8. 2002PILs Proxy Adder Calc'!$C$155</f>
        <v>88.92900963244544</v>
      </c>
      <c r="L61" s="6">
        <f>'[3]8. 2002PILs Proxy Adder Calc'!$B$151</f>
        <v>0.004812816562815825</v>
      </c>
      <c r="M61" s="13">
        <f t="shared" si="26"/>
        <v>107.0709216659797</v>
      </c>
      <c r="N61" s="19"/>
      <c r="O61" s="13">
        <f t="shared" si="27"/>
        <v>0</v>
      </c>
      <c r="P61" s="19">
        <v>0</v>
      </c>
      <c r="Q61" s="13">
        <f t="shared" si="28"/>
        <v>0</v>
      </c>
      <c r="R61" s="13">
        <f t="shared" si="29"/>
        <v>132.13716784460618</v>
      </c>
    </row>
    <row r="62" spans="1:18" ht="15">
      <c r="A62" s="26" t="str">
        <f t="shared" si="30"/>
        <v>Intermediate</v>
      </c>
      <c r="B62" s="53">
        <v>2002</v>
      </c>
      <c r="C62" s="36" t="s">
        <v>47</v>
      </c>
      <c r="D62" s="37">
        <f>'Customer Count'!G13</f>
        <v>1</v>
      </c>
      <c r="E62" s="37">
        <v>1</v>
      </c>
      <c r="F62" s="39"/>
      <c r="G62" s="40">
        <f>'Monthly Volumes'!L31</f>
        <v>3769.5</v>
      </c>
      <c r="H62" s="14">
        <f t="shared" si="31"/>
        <v>20.8190647206934</v>
      </c>
      <c r="I62" s="6">
        <f t="shared" si="32"/>
        <v>0.0011267227637440235</v>
      </c>
      <c r="J62" s="13">
        <f t="shared" si="33"/>
        <v>25.066246178626496</v>
      </c>
      <c r="K62" s="14">
        <f>'[3]8. 2002PILs Proxy Adder Calc'!$C$155</f>
        <v>88.92900963244544</v>
      </c>
      <c r="L62" s="6">
        <f>'[3]8. 2002PILs Proxy Adder Calc'!$B$151</f>
        <v>0.004812816562815825</v>
      </c>
      <c r="M62" s="13">
        <f t="shared" si="26"/>
        <v>107.0709216659797</v>
      </c>
      <c r="N62" s="19"/>
      <c r="O62" s="13">
        <f t="shared" si="27"/>
        <v>0</v>
      </c>
      <c r="P62" s="19">
        <v>0</v>
      </c>
      <c r="Q62" s="13">
        <f t="shared" si="28"/>
        <v>0</v>
      </c>
      <c r="R62" s="13">
        <f t="shared" si="29"/>
        <v>132.13716784460618</v>
      </c>
    </row>
    <row r="63" spans="1:18" ht="15">
      <c r="A63" s="26" t="str">
        <f t="shared" si="30"/>
        <v>Intermediate</v>
      </c>
      <c r="B63" s="53">
        <v>2002</v>
      </c>
      <c r="C63" s="36" t="s">
        <v>48</v>
      </c>
      <c r="D63" s="37">
        <f>'Customer Count'!G14</f>
        <v>1</v>
      </c>
      <c r="E63" s="37">
        <v>1</v>
      </c>
      <c r="F63" s="39"/>
      <c r="G63" s="40">
        <f>'Monthly Volumes'!L32</f>
        <v>3769.5</v>
      </c>
      <c r="H63" s="14">
        <f t="shared" si="31"/>
        <v>20.8190647206934</v>
      </c>
      <c r="I63" s="6">
        <f t="shared" si="32"/>
        <v>0.0011267227637440235</v>
      </c>
      <c r="J63" s="13">
        <f t="shared" si="33"/>
        <v>25.066246178626496</v>
      </c>
      <c r="K63" s="14">
        <f>'[3]8. 2002PILs Proxy Adder Calc'!$C$155</f>
        <v>88.92900963244544</v>
      </c>
      <c r="L63" s="6">
        <f>'[3]8. 2002PILs Proxy Adder Calc'!$B$151</f>
        <v>0.004812816562815825</v>
      </c>
      <c r="M63" s="13">
        <f t="shared" si="26"/>
        <v>107.0709216659797</v>
      </c>
      <c r="N63" s="19"/>
      <c r="O63" s="13">
        <f t="shared" si="27"/>
        <v>0</v>
      </c>
      <c r="P63" s="19">
        <v>0</v>
      </c>
      <c r="Q63" s="13">
        <f t="shared" si="28"/>
        <v>0</v>
      </c>
      <c r="R63" s="13">
        <f t="shared" si="29"/>
        <v>132.13716784460618</v>
      </c>
    </row>
    <row r="64" spans="1:18" ht="15">
      <c r="A64" s="26" t="str">
        <f t="shared" si="30"/>
        <v>Intermediate</v>
      </c>
      <c r="B64" s="53">
        <v>2002</v>
      </c>
      <c r="C64" s="36" t="s">
        <v>49</v>
      </c>
      <c r="D64" s="37">
        <f>'Customer Count'!G15</f>
        <v>1</v>
      </c>
      <c r="E64" s="37">
        <v>1</v>
      </c>
      <c r="F64" s="39"/>
      <c r="G64" s="40">
        <f>'Monthly Volumes'!L33</f>
        <v>3769.5</v>
      </c>
      <c r="H64" s="14">
        <f t="shared" si="31"/>
        <v>20.8190647206934</v>
      </c>
      <c r="I64" s="6">
        <f t="shared" si="32"/>
        <v>0.0011267227637440235</v>
      </c>
      <c r="J64" s="13">
        <f t="shared" si="33"/>
        <v>25.066246178626496</v>
      </c>
      <c r="K64" s="14">
        <f>'[3]8. 2002PILs Proxy Adder Calc'!$C$155</f>
        <v>88.92900963244544</v>
      </c>
      <c r="L64" s="6">
        <f>'[3]8. 2002PILs Proxy Adder Calc'!$B$151</f>
        <v>0.004812816562815825</v>
      </c>
      <c r="M64" s="13">
        <f t="shared" si="26"/>
        <v>107.0709216659797</v>
      </c>
      <c r="N64" s="19"/>
      <c r="O64" s="13">
        <f t="shared" si="27"/>
        <v>0</v>
      </c>
      <c r="P64" s="19">
        <v>0</v>
      </c>
      <c r="Q64" s="13">
        <f t="shared" si="28"/>
        <v>0</v>
      </c>
      <c r="R64" s="13">
        <f t="shared" si="29"/>
        <v>132.13716784460618</v>
      </c>
    </row>
    <row r="65" spans="1:18" ht="15.75" thickBot="1">
      <c r="A65" s="26"/>
      <c r="B65" s="53"/>
      <c r="C65" s="36"/>
      <c r="D65" s="37"/>
      <c r="E65" s="37"/>
      <c r="F65" s="39"/>
      <c r="G65" s="40"/>
      <c r="H65" s="14"/>
      <c r="I65" s="6"/>
      <c r="J65" s="13"/>
      <c r="K65" s="14"/>
      <c r="L65" s="6"/>
      <c r="M65" s="13"/>
      <c r="N65" s="19"/>
      <c r="O65" s="13"/>
      <c r="P65" s="19"/>
      <c r="Q65" s="13"/>
      <c r="R65" s="13"/>
    </row>
    <row r="66" spans="1:18" ht="15.75" thickBot="1">
      <c r="A66" s="55" t="s">
        <v>62</v>
      </c>
      <c r="B66" s="56"/>
      <c r="C66" s="57"/>
      <c r="D66" s="58">
        <f>SUM(D55:D65)</f>
        <v>10</v>
      </c>
      <c r="E66" s="58"/>
      <c r="F66" s="58">
        <f>SUM(F55:F65)</f>
        <v>0</v>
      </c>
      <c r="G66" s="58">
        <f>SUM(G55:G65)</f>
        <v>37695</v>
      </c>
      <c r="H66" s="60"/>
      <c r="I66" s="61"/>
      <c r="J66" s="62">
        <f>SUM(J55:J65)</f>
        <v>250.66246178626497</v>
      </c>
      <c r="K66" s="60"/>
      <c r="L66" s="61"/>
      <c r="M66" s="62">
        <f>SUM(M55:M65)</f>
        <v>1070.7092166597968</v>
      </c>
      <c r="N66" s="63"/>
      <c r="O66" s="62">
        <f>SUM(O55:O65)</f>
        <v>0</v>
      </c>
      <c r="P66" s="63"/>
      <c r="Q66" s="62">
        <f>SUM(Q55:Q65)</f>
        <v>0</v>
      </c>
      <c r="R66" s="62">
        <f>SUM(R55:R65)</f>
        <v>1321.3716784460619</v>
      </c>
    </row>
    <row r="67" spans="1:18" ht="15">
      <c r="A67" s="26"/>
      <c r="B67" s="53"/>
      <c r="C67" s="36"/>
      <c r="D67" s="37"/>
      <c r="E67" s="37"/>
      <c r="F67" s="39"/>
      <c r="G67" s="40"/>
      <c r="H67" s="14"/>
      <c r="I67" s="6"/>
      <c r="J67" s="13"/>
      <c r="K67" s="14"/>
      <c r="L67" s="6"/>
      <c r="M67" s="13"/>
      <c r="N67" s="19"/>
      <c r="O67" s="13"/>
      <c r="P67" s="19"/>
      <c r="Q67" s="13"/>
      <c r="R67" s="13"/>
    </row>
    <row r="68" spans="1:18" ht="15">
      <c r="A68" s="26" t="s">
        <v>4</v>
      </c>
      <c r="B68" s="53">
        <v>2002</v>
      </c>
      <c r="C68" s="36" t="s">
        <v>41</v>
      </c>
      <c r="D68" s="37">
        <f>'Customer Count'!H6</f>
        <v>44</v>
      </c>
      <c r="E68" s="37">
        <v>1</v>
      </c>
      <c r="F68" s="39"/>
      <c r="G68" s="40">
        <f>'Monthly Volumes'!L60</f>
        <v>0.25</v>
      </c>
      <c r="H68" s="14">
        <f>'[3]6. 2001PILs DefAcct Adder Calc'!$C$205</f>
        <v>0.0071358684847055084</v>
      </c>
      <c r="I68" s="6">
        <f>'[3]6. 2001PILs DefAcct Adder Calc'!$B$201</f>
        <v>0.23390073305976586</v>
      </c>
      <c r="J68" s="13">
        <f>D68*E68*H68+(F68+G68)*I68</f>
        <v>0.3724533965919838</v>
      </c>
      <c r="K68" s="14">
        <f>'[3]8. 2002PILs Proxy Adder Calc'!$C$205</f>
        <v>0.030480990655717823</v>
      </c>
      <c r="L68" s="6">
        <f>'[3]8. 2002PILs Proxy Adder Calc'!$B$201</f>
        <v>0.9991111907459014</v>
      </c>
      <c r="M68" s="13">
        <f>D68*E68*K68+(F68+G68)*L68</f>
        <v>1.5909413865380597</v>
      </c>
      <c r="N68" s="19"/>
      <c r="O68" s="13">
        <f>(F68+G68)*N68</f>
        <v>0</v>
      </c>
      <c r="P68" s="19">
        <v>0</v>
      </c>
      <c r="Q68" s="13">
        <f>(F68+G68)*P68</f>
        <v>0</v>
      </c>
      <c r="R68" s="13">
        <f>J68+M68+O68+Q68</f>
        <v>1.9633947831300436</v>
      </c>
    </row>
    <row r="69" spans="1:18" ht="15">
      <c r="A69" s="26" t="s">
        <v>4</v>
      </c>
      <c r="B69" s="53">
        <v>2002</v>
      </c>
      <c r="C69" s="36" t="s">
        <v>42</v>
      </c>
      <c r="D69" s="37">
        <f>'Customer Count'!H7</f>
        <v>44</v>
      </c>
      <c r="E69" s="37">
        <v>1</v>
      </c>
      <c r="F69" s="39"/>
      <c r="G69" s="40">
        <f>'Monthly Volumes'!L61</f>
        <v>0.25</v>
      </c>
      <c r="H69" s="14">
        <f>H68</f>
        <v>0.0071358684847055084</v>
      </c>
      <c r="I69" s="6">
        <f>I68</f>
        <v>0.23390073305976586</v>
      </c>
      <c r="J69" s="13">
        <f aca="true" t="shared" si="34" ref="J69:J77">D69*E69*H69+(F69+G69)*I69</f>
        <v>0.3724533965919838</v>
      </c>
      <c r="K69" s="14">
        <f>'[3]8. 2002PILs Proxy Adder Calc'!$C$205</f>
        <v>0.030480990655717823</v>
      </c>
      <c r="L69" s="6">
        <f>'[3]8. 2002PILs Proxy Adder Calc'!$B$201</f>
        <v>0.9991111907459014</v>
      </c>
      <c r="M69" s="13">
        <f aca="true" t="shared" si="35" ref="M69:M77">D69*E69*K69+(F69+G69)*L69</f>
        <v>1.5909413865380597</v>
      </c>
      <c r="N69" s="19"/>
      <c r="O69" s="13">
        <f aca="true" t="shared" si="36" ref="O69:O77">(F69+G69)*N69</f>
        <v>0</v>
      </c>
      <c r="P69" s="19">
        <v>0</v>
      </c>
      <c r="Q69" s="13">
        <f aca="true" t="shared" si="37" ref="Q69:Q77">(F69+G69)*P69</f>
        <v>0</v>
      </c>
      <c r="R69" s="13">
        <f aca="true" t="shared" si="38" ref="R69:R77">J69+M69+O69+Q69</f>
        <v>1.9633947831300436</v>
      </c>
    </row>
    <row r="70" spans="1:18" ht="15">
      <c r="A70" s="26" t="s">
        <v>4</v>
      </c>
      <c r="B70" s="53">
        <v>2002</v>
      </c>
      <c r="C70" s="36" t="s">
        <v>35</v>
      </c>
      <c r="D70" s="37">
        <f>'Customer Count'!H8</f>
        <v>44</v>
      </c>
      <c r="E70" s="37">
        <v>1</v>
      </c>
      <c r="F70" s="39"/>
      <c r="G70" s="40">
        <f>'Monthly Volumes'!L62</f>
        <v>0.25</v>
      </c>
      <c r="H70" s="14">
        <f aca="true" t="shared" si="39" ref="H70:H77">H69</f>
        <v>0.0071358684847055084</v>
      </c>
      <c r="I70" s="6">
        <f aca="true" t="shared" si="40" ref="I70:I77">I69</f>
        <v>0.23390073305976586</v>
      </c>
      <c r="J70" s="13">
        <f t="shared" si="34"/>
        <v>0.3724533965919838</v>
      </c>
      <c r="K70" s="14">
        <f>'[3]8. 2002PILs Proxy Adder Calc'!$C$205</f>
        <v>0.030480990655717823</v>
      </c>
      <c r="L70" s="6">
        <f>'[3]8. 2002PILs Proxy Adder Calc'!$B$201</f>
        <v>0.9991111907459014</v>
      </c>
      <c r="M70" s="13">
        <f t="shared" si="35"/>
        <v>1.5909413865380597</v>
      </c>
      <c r="N70" s="19"/>
      <c r="O70" s="13">
        <f t="shared" si="36"/>
        <v>0</v>
      </c>
      <c r="P70" s="19">
        <v>0</v>
      </c>
      <c r="Q70" s="13">
        <f t="shared" si="37"/>
        <v>0</v>
      </c>
      <c r="R70" s="13">
        <f t="shared" si="38"/>
        <v>1.9633947831300436</v>
      </c>
    </row>
    <row r="71" spans="1:18" ht="15">
      <c r="A71" s="26" t="s">
        <v>4</v>
      </c>
      <c r="B71" s="53">
        <v>2002</v>
      </c>
      <c r="C71" s="36" t="s">
        <v>43</v>
      </c>
      <c r="D71" s="37">
        <f>'Customer Count'!H9</f>
        <v>44</v>
      </c>
      <c r="E71" s="37">
        <v>1</v>
      </c>
      <c r="F71" s="39"/>
      <c r="G71" s="40">
        <f>'Monthly Volumes'!L63</f>
        <v>0.25</v>
      </c>
      <c r="H71" s="14">
        <f t="shared" si="39"/>
        <v>0.0071358684847055084</v>
      </c>
      <c r="I71" s="6">
        <f t="shared" si="40"/>
        <v>0.23390073305976586</v>
      </c>
      <c r="J71" s="13">
        <f t="shared" si="34"/>
        <v>0.3724533965919838</v>
      </c>
      <c r="K71" s="14">
        <f>'[3]8. 2002PILs Proxy Adder Calc'!$C$205</f>
        <v>0.030480990655717823</v>
      </c>
      <c r="L71" s="6">
        <f>'[3]8. 2002PILs Proxy Adder Calc'!$B$201</f>
        <v>0.9991111907459014</v>
      </c>
      <c r="M71" s="13">
        <f t="shared" si="35"/>
        <v>1.5909413865380597</v>
      </c>
      <c r="N71" s="19"/>
      <c r="O71" s="13">
        <f t="shared" si="36"/>
        <v>0</v>
      </c>
      <c r="P71" s="19">
        <v>0</v>
      </c>
      <c r="Q71" s="13">
        <f t="shared" si="37"/>
        <v>0</v>
      </c>
      <c r="R71" s="13">
        <f t="shared" si="38"/>
        <v>1.9633947831300436</v>
      </c>
    </row>
    <row r="72" spans="1:18" ht="15">
      <c r="A72" s="26" t="s">
        <v>4</v>
      </c>
      <c r="B72" s="53">
        <v>2002</v>
      </c>
      <c r="C72" s="36" t="s">
        <v>44</v>
      </c>
      <c r="D72" s="37">
        <f>'Customer Count'!H10</f>
        <v>44</v>
      </c>
      <c r="E72" s="37">
        <v>1</v>
      </c>
      <c r="F72" s="39"/>
      <c r="G72" s="40">
        <f>'Monthly Volumes'!L64</f>
        <v>0.25</v>
      </c>
      <c r="H72" s="14">
        <f t="shared" si="39"/>
        <v>0.0071358684847055084</v>
      </c>
      <c r="I72" s="6">
        <f t="shared" si="40"/>
        <v>0.23390073305976586</v>
      </c>
      <c r="J72" s="13">
        <f t="shared" si="34"/>
        <v>0.3724533965919838</v>
      </c>
      <c r="K72" s="14">
        <f>'[3]8. 2002PILs Proxy Adder Calc'!$C$205</f>
        <v>0.030480990655717823</v>
      </c>
      <c r="L72" s="6">
        <f>'[3]8. 2002PILs Proxy Adder Calc'!$B$201</f>
        <v>0.9991111907459014</v>
      </c>
      <c r="M72" s="13">
        <f t="shared" si="35"/>
        <v>1.5909413865380597</v>
      </c>
      <c r="N72" s="19"/>
      <c r="O72" s="13">
        <f t="shared" si="36"/>
        <v>0</v>
      </c>
      <c r="P72" s="19">
        <v>0</v>
      </c>
      <c r="Q72" s="13">
        <f t="shared" si="37"/>
        <v>0</v>
      </c>
      <c r="R72" s="13">
        <f t="shared" si="38"/>
        <v>1.9633947831300436</v>
      </c>
    </row>
    <row r="73" spans="1:18" ht="15">
      <c r="A73" s="26" t="s">
        <v>4</v>
      </c>
      <c r="B73" s="53">
        <v>2002</v>
      </c>
      <c r="C73" s="36" t="s">
        <v>45</v>
      </c>
      <c r="D73" s="37">
        <f>'Customer Count'!H11</f>
        <v>44</v>
      </c>
      <c r="E73" s="37">
        <v>1</v>
      </c>
      <c r="F73" s="39"/>
      <c r="G73" s="40">
        <f>'Monthly Volumes'!L65</f>
        <v>0.25</v>
      </c>
      <c r="H73" s="14">
        <f t="shared" si="39"/>
        <v>0.0071358684847055084</v>
      </c>
      <c r="I73" s="6">
        <f t="shared" si="40"/>
        <v>0.23390073305976586</v>
      </c>
      <c r="J73" s="13">
        <f t="shared" si="34"/>
        <v>0.3724533965919838</v>
      </c>
      <c r="K73" s="14">
        <f>'[3]8. 2002PILs Proxy Adder Calc'!$C$205</f>
        <v>0.030480990655717823</v>
      </c>
      <c r="L73" s="6">
        <f>'[3]8. 2002PILs Proxy Adder Calc'!$B$201</f>
        <v>0.9991111907459014</v>
      </c>
      <c r="M73" s="13">
        <f t="shared" si="35"/>
        <v>1.5909413865380597</v>
      </c>
      <c r="N73" s="19"/>
      <c r="O73" s="13">
        <f t="shared" si="36"/>
        <v>0</v>
      </c>
      <c r="P73" s="19">
        <v>0</v>
      </c>
      <c r="Q73" s="13">
        <f t="shared" si="37"/>
        <v>0</v>
      </c>
      <c r="R73" s="13">
        <f t="shared" si="38"/>
        <v>1.9633947831300436</v>
      </c>
    </row>
    <row r="74" spans="1:18" ht="15">
      <c r="A74" s="26" t="s">
        <v>4</v>
      </c>
      <c r="B74" s="53">
        <v>2002</v>
      </c>
      <c r="C74" s="36" t="s">
        <v>46</v>
      </c>
      <c r="D74" s="37">
        <f>'Customer Count'!H12</f>
        <v>44</v>
      </c>
      <c r="E74" s="37">
        <v>1</v>
      </c>
      <c r="F74" s="39"/>
      <c r="G74" s="40">
        <f>'Monthly Volumes'!L66</f>
        <v>0.25</v>
      </c>
      <c r="H74" s="14">
        <f t="shared" si="39"/>
        <v>0.0071358684847055084</v>
      </c>
      <c r="I74" s="6">
        <f t="shared" si="40"/>
        <v>0.23390073305976586</v>
      </c>
      <c r="J74" s="13">
        <f t="shared" si="34"/>
        <v>0.3724533965919838</v>
      </c>
      <c r="K74" s="14">
        <f>'[3]8. 2002PILs Proxy Adder Calc'!$C$205</f>
        <v>0.030480990655717823</v>
      </c>
      <c r="L74" s="6">
        <f>'[3]8. 2002PILs Proxy Adder Calc'!$B$201</f>
        <v>0.9991111907459014</v>
      </c>
      <c r="M74" s="13">
        <f t="shared" si="35"/>
        <v>1.5909413865380597</v>
      </c>
      <c r="N74" s="19"/>
      <c r="O74" s="13">
        <f t="shared" si="36"/>
        <v>0</v>
      </c>
      <c r="P74" s="19">
        <v>0</v>
      </c>
      <c r="Q74" s="13">
        <f t="shared" si="37"/>
        <v>0</v>
      </c>
      <c r="R74" s="13">
        <f t="shared" si="38"/>
        <v>1.9633947831300436</v>
      </c>
    </row>
    <row r="75" spans="1:18" ht="15">
      <c r="A75" s="26" t="s">
        <v>4</v>
      </c>
      <c r="B75" s="53">
        <v>2002</v>
      </c>
      <c r="C75" s="36" t="s">
        <v>47</v>
      </c>
      <c r="D75" s="37">
        <f>'Customer Count'!H13</f>
        <v>44</v>
      </c>
      <c r="E75" s="37">
        <v>1</v>
      </c>
      <c r="F75" s="39"/>
      <c r="G75" s="40">
        <f>'Monthly Volumes'!L67</f>
        <v>0.25</v>
      </c>
      <c r="H75" s="14">
        <f t="shared" si="39"/>
        <v>0.0071358684847055084</v>
      </c>
      <c r="I75" s="6">
        <f t="shared" si="40"/>
        <v>0.23390073305976586</v>
      </c>
      <c r="J75" s="13">
        <f t="shared" si="34"/>
        <v>0.3724533965919838</v>
      </c>
      <c r="K75" s="14">
        <f>'[3]8. 2002PILs Proxy Adder Calc'!$C$205</f>
        <v>0.030480990655717823</v>
      </c>
      <c r="L75" s="6">
        <f>'[3]8. 2002PILs Proxy Adder Calc'!$B$201</f>
        <v>0.9991111907459014</v>
      </c>
      <c r="M75" s="13">
        <f t="shared" si="35"/>
        <v>1.5909413865380597</v>
      </c>
      <c r="N75" s="19"/>
      <c r="O75" s="13">
        <f t="shared" si="36"/>
        <v>0</v>
      </c>
      <c r="P75" s="19">
        <v>0</v>
      </c>
      <c r="Q75" s="13">
        <f t="shared" si="37"/>
        <v>0</v>
      </c>
      <c r="R75" s="13">
        <f t="shared" si="38"/>
        <v>1.9633947831300436</v>
      </c>
    </row>
    <row r="76" spans="1:18" ht="15">
      <c r="A76" s="26" t="s">
        <v>4</v>
      </c>
      <c r="B76" s="53">
        <v>2002</v>
      </c>
      <c r="C76" s="36" t="s">
        <v>48</v>
      </c>
      <c r="D76" s="37">
        <f>'Customer Count'!H14</f>
        <v>44</v>
      </c>
      <c r="E76" s="37">
        <v>1</v>
      </c>
      <c r="F76" s="39"/>
      <c r="G76" s="40">
        <f>'Monthly Volumes'!L68</f>
        <v>0.25</v>
      </c>
      <c r="H76" s="14">
        <f t="shared" si="39"/>
        <v>0.0071358684847055084</v>
      </c>
      <c r="I76" s="6">
        <f t="shared" si="40"/>
        <v>0.23390073305976586</v>
      </c>
      <c r="J76" s="13">
        <f t="shared" si="34"/>
        <v>0.3724533965919838</v>
      </c>
      <c r="K76" s="14">
        <f>'[3]8. 2002PILs Proxy Adder Calc'!$C$205</f>
        <v>0.030480990655717823</v>
      </c>
      <c r="L76" s="6">
        <f>'[3]8. 2002PILs Proxy Adder Calc'!$B$201</f>
        <v>0.9991111907459014</v>
      </c>
      <c r="M76" s="13">
        <f t="shared" si="35"/>
        <v>1.5909413865380597</v>
      </c>
      <c r="N76" s="19"/>
      <c r="O76" s="13">
        <f t="shared" si="36"/>
        <v>0</v>
      </c>
      <c r="P76" s="19">
        <v>0</v>
      </c>
      <c r="Q76" s="13">
        <f t="shared" si="37"/>
        <v>0</v>
      </c>
      <c r="R76" s="13">
        <f t="shared" si="38"/>
        <v>1.9633947831300436</v>
      </c>
    </row>
    <row r="77" spans="1:18" ht="15">
      <c r="A77" s="26" t="s">
        <v>4</v>
      </c>
      <c r="B77" s="53">
        <v>2002</v>
      </c>
      <c r="C77" s="36" t="s">
        <v>49</v>
      </c>
      <c r="D77" s="37">
        <f>'Customer Count'!H15</f>
        <v>44</v>
      </c>
      <c r="E77" s="37">
        <v>1</v>
      </c>
      <c r="F77" s="39"/>
      <c r="G77" s="40">
        <f>'Monthly Volumes'!L69</f>
        <v>0.25</v>
      </c>
      <c r="H77" s="14">
        <f t="shared" si="39"/>
        <v>0.0071358684847055084</v>
      </c>
      <c r="I77" s="6">
        <f t="shared" si="40"/>
        <v>0.23390073305976586</v>
      </c>
      <c r="J77" s="13">
        <f t="shared" si="34"/>
        <v>0.3724533965919838</v>
      </c>
      <c r="K77" s="14">
        <f>'[3]8. 2002PILs Proxy Adder Calc'!$C$205</f>
        <v>0.030480990655717823</v>
      </c>
      <c r="L77" s="6">
        <f>'[3]8. 2002PILs Proxy Adder Calc'!$B$201</f>
        <v>0.9991111907459014</v>
      </c>
      <c r="M77" s="13">
        <f t="shared" si="35"/>
        <v>1.5909413865380597</v>
      </c>
      <c r="N77" s="19"/>
      <c r="O77" s="13">
        <f t="shared" si="36"/>
        <v>0</v>
      </c>
      <c r="P77" s="19">
        <v>0</v>
      </c>
      <c r="Q77" s="13">
        <f t="shared" si="37"/>
        <v>0</v>
      </c>
      <c r="R77" s="13">
        <f t="shared" si="38"/>
        <v>1.9633947831300436</v>
      </c>
    </row>
    <row r="78" spans="1:18" ht="15.75" thickBot="1">
      <c r="A78" s="26"/>
      <c r="B78" s="53"/>
      <c r="C78" s="36"/>
      <c r="D78" s="37"/>
      <c r="E78" s="37"/>
      <c r="F78" s="39"/>
      <c r="G78" s="40"/>
      <c r="H78" s="14"/>
      <c r="I78" s="6"/>
      <c r="J78" s="13"/>
      <c r="K78" s="14"/>
      <c r="L78" s="6"/>
      <c r="M78" s="13"/>
      <c r="N78" s="19"/>
      <c r="O78" s="13"/>
      <c r="P78" s="19"/>
      <c r="Q78" s="13"/>
      <c r="R78" s="13"/>
    </row>
    <row r="79" spans="1:18" ht="15.75" thickBot="1">
      <c r="A79" s="55" t="s">
        <v>63</v>
      </c>
      <c r="B79" s="56"/>
      <c r="C79" s="57"/>
      <c r="D79" s="58">
        <f>SUM(D68:D78)</f>
        <v>440</v>
      </c>
      <c r="E79" s="58"/>
      <c r="F79" s="58">
        <f>SUM(F68:F78)</f>
        <v>0</v>
      </c>
      <c r="G79" s="58">
        <f>SUM(G68:G78)</f>
        <v>2.5</v>
      </c>
      <c r="H79" s="60"/>
      <c r="I79" s="61"/>
      <c r="J79" s="62">
        <f>SUM(J68:J78)</f>
        <v>3.724533965919838</v>
      </c>
      <c r="K79" s="60"/>
      <c r="L79" s="61"/>
      <c r="M79" s="62">
        <f>SUM(M68:M78)</f>
        <v>15.909413865380595</v>
      </c>
      <c r="N79" s="63"/>
      <c r="O79" s="62">
        <f>SUM(O68:O78)</f>
        <v>0</v>
      </c>
      <c r="P79" s="63"/>
      <c r="Q79" s="62">
        <f>SUM(Q68:Q78)</f>
        <v>0</v>
      </c>
      <c r="R79" s="62">
        <f>SUM(R68:R78)</f>
        <v>19.633947831300432</v>
      </c>
    </row>
    <row r="80" spans="1:18" ht="15">
      <c r="A80" s="26"/>
      <c r="B80" s="53"/>
      <c r="C80" s="36"/>
      <c r="D80" s="37"/>
      <c r="E80" s="37"/>
      <c r="F80" s="39"/>
      <c r="G80" s="40"/>
      <c r="H80" s="14"/>
      <c r="I80" s="6"/>
      <c r="J80" s="13"/>
      <c r="K80" s="14"/>
      <c r="L80" s="6"/>
      <c r="M80" s="13"/>
      <c r="N80" s="19"/>
      <c r="O80" s="13"/>
      <c r="P80" s="19"/>
      <c r="Q80" s="13"/>
      <c r="R80" s="13"/>
    </row>
    <row r="81" spans="1:18" ht="15">
      <c r="A81" s="26" t="s">
        <v>5</v>
      </c>
      <c r="B81" s="53">
        <v>2002</v>
      </c>
      <c r="C81" s="36" t="s">
        <v>41</v>
      </c>
      <c r="D81" s="37">
        <f>'Customer Count'!I6</f>
        <v>626</v>
      </c>
      <c r="E81" s="37">
        <v>1</v>
      </c>
      <c r="F81" s="39"/>
      <c r="G81" s="40">
        <f>'Monthly Volumes'!L42</f>
        <v>125.33333333333333</v>
      </c>
      <c r="H81" s="14">
        <f>'[3]6. 2001PILs DefAcct Adder Calc'!$C$230</f>
        <v>0.017030225858714457</v>
      </c>
      <c r="I81" s="6">
        <f>'[3]6. 2001PILs DefAcct Adder Calc'!$B$226</f>
        <v>0.014345483772545306</v>
      </c>
      <c r="J81" s="13">
        <f>D81*E81*H81+(F81+G81)*I81</f>
        <v>12.458888687047596</v>
      </c>
      <c r="K81" s="14">
        <f>'[3]8. 2002PILs Proxy Adder Calc'!$C$230</f>
        <v>0.0727449162462615</v>
      </c>
      <c r="L81" s="6">
        <f>'[3]8. 2002PILs Proxy Adder Calc'!$B$226</f>
        <v>0.06127699210823539</v>
      </c>
      <c r="M81" s="13">
        <f>D81*E81*K81+(F81+G81)*L81</f>
        <v>53.2183672477252</v>
      </c>
      <c r="N81" s="19"/>
      <c r="O81" s="13">
        <f>(F81+G81)*N81</f>
        <v>0</v>
      </c>
      <c r="P81" s="19">
        <v>0</v>
      </c>
      <c r="Q81" s="13">
        <f>(F81+G81)*P81</f>
        <v>0</v>
      </c>
      <c r="R81" s="13">
        <f>J81+M81+O81+Q81</f>
        <v>65.67725593477279</v>
      </c>
    </row>
    <row r="82" spans="1:18" ht="15">
      <c r="A82" s="26" t="s">
        <v>5</v>
      </c>
      <c r="B82" s="53">
        <v>2002</v>
      </c>
      <c r="C82" s="36" t="s">
        <v>42</v>
      </c>
      <c r="D82" s="37">
        <f>'Customer Count'!I7</f>
        <v>626</v>
      </c>
      <c r="E82" s="37">
        <v>1</v>
      </c>
      <c r="F82" s="39"/>
      <c r="G82" s="40">
        <f>'Monthly Volumes'!L43</f>
        <v>125.33333333333333</v>
      </c>
      <c r="H82" s="14">
        <f>H81</f>
        <v>0.017030225858714457</v>
      </c>
      <c r="I82" s="6">
        <f>I81</f>
        <v>0.014345483772545306</v>
      </c>
      <c r="J82" s="13">
        <f>D82*E82*H82+(F82+G82)*I82</f>
        <v>12.458888687047596</v>
      </c>
      <c r="K82" s="14">
        <f>'[3]8. 2002PILs Proxy Adder Calc'!$C$230</f>
        <v>0.0727449162462615</v>
      </c>
      <c r="L82" s="6">
        <f>'[3]8. 2002PILs Proxy Adder Calc'!$B$226</f>
        <v>0.06127699210823539</v>
      </c>
      <c r="M82" s="13">
        <f>D82*E82*K82+(F82+G82)*L82</f>
        <v>53.2183672477252</v>
      </c>
      <c r="N82" s="19"/>
      <c r="O82" s="13">
        <f>(F82+G82)*N82</f>
        <v>0</v>
      </c>
      <c r="P82" s="19">
        <v>0</v>
      </c>
      <c r="Q82" s="13">
        <f>(F82+G82)*P82</f>
        <v>0</v>
      </c>
      <c r="R82" s="13">
        <f>J82+M82+O82+Q82</f>
        <v>65.67725593477279</v>
      </c>
    </row>
    <row r="83" spans="1:18" ht="15">
      <c r="A83" s="26" t="s">
        <v>5</v>
      </c>
      <c r="B83" s="53">
        <v>2002</v>
      </c>
      <c r="C83" s="66" t="s">
        <v>35</v>
      </c>
      <c r="D83" s="37">
        <f>'Customer Count'!I8</f>
        <v>626</v>
      </c>
      <c r="E83" s="37">
        <v>1</v>
      </c>
      <c r="F83" s="39"/>
      <c r="G83" s="40">
        <f>'Monthly Volumes'!L44</f>
        <v>125.33333333333333</v>
      </c>
      <c r="H83" s="14">
        <f aca="true" t="shared" si="41" ref="H83:H90">H82</f>
        <v>0.017030225858714457</v>
      </c>
      <c r="I83" s="6">
        <f aca="true" t="shared" si="42" ref="I83:I90">I82</f>
        <v>0.014345483772545306</v>
      </c>
      <c r="J83" s="13">
        <f aca="true" t="shared" si="43" ref="J83:J90">D83*E83*H83+(F83+G83)*I83</f>
        <v>12.458888687047596</v>
      </c>
      <c r="K83" s="14">
        <f>'[3]8. 2002PILs Proxy Adder Calc'!$C$230</f>
        <v>0.0727449162462615</v>
      </c>
      <c r="L83" s="6">
        <f>'[3]8. 2002PILs Proxy Adder Calc'!$B$226</f>
        <v>0.06127699210823539</v>
      </c>
      <c r="M83" s="13">
        <f aca="true" t="shared" si="44" ref="M83:M90">D83*E83*K83+(F83+G83)*L83</f>
        <v>53.2183672477252</v>
      </c>
      <c r="N83" s="19"/>
      <c r="O83" s="13">
        <f aca="true" t="shared" si="45" ref="O83:O90">(F83+G83)*N83</f>
        <v>0</v>
      </c>
      <c r="P83" s="19">
        <v>0</v>
      </c>
      <c r="Q83" s="13">
        <f aca="true" t="shared" si="46" ref="Q83:Q90">(F83+G83)*P83</f>
        <v>0</v>
      </c>
      <c r="R83" s="13">
        <f aca="true" t="shared" si="47" ref="R83:R90">J83+M83+O83+Q83</f>
        <v>65.67725593477279</v>
      </c>
    </row>
    <row r="84" spans="1:18" ht="15">
      <c r="A84" s="26" t="s">
        <v>5</v>
      </c>
      <c r="B84" s="53">
        <v>2002</v>
      </c>
      <c r="C84" s="66" t="s">
        <v>43</v>
      </c>
      <c r="D84" s="37">
        <f>'Customer Count'!I9</f>
        <v>626</v>
      </c>
      <c r="E84" s="37">
        <v>1</v>
      </c>
      <c r="F84" s="39"/>
      <c r="G84" s="40">
        <f>'Monthly Volumes'!L45</f>
        <v>125.33333333333333</v>
      </c>
      <c r="H84" s="14">
        <f t="shared" si="41"/>
        <v>0.017030225858714457</v>
      </c>
      <c r="I84" s="6">
        <f t="shared" si="42"/>
        <v>0.014345483772545306</v>
      </c>
      <c r="J84" s="13">
        <f t="shared" si="43"/>
        <v>12.458888687047596</v>
      </c>
      <c r="K84" s="14">
        <f>'[3]8. 2002PILs Proxy Adder Calc'!$C$230</f>
        <v>0.0727449162462615</v>
      </c>
      <c r="L84" s="6">
        <f>'[3]8. 2002PILs Proxy Adder Calc'!$B$226</f>
        <v>0.06127699210823539</v>
      </c>
      <c r="M84" s="13">
        <f t="shared" si="44"/>
        <v>53.2183672477252</v>
      </c>
      <c r="N84" s="19"/>
      <c r="O84" s="13">
        <f t="shared" si="45"/>
        <v>0</v>
      </c>
      <c r="P84" s="19">
        <v>0</v>
      </c>
      <c r="Q84" s="13">
        <f t="shared" si="46"/>
        <v>0</v>
      </c>
      <c r="R84" s="13">
        <f t="shared" si="47"/>
        <v>65.67725593477279</v>
      </c>
    </row>
    <row r="85" spans="1:18" ht="15">
      <c r="A85" s="26" t="s">
        <v>5</v>
      </c>
      <c r="B85" s="53">
        <v>2002</v>
      </c>
      <c r="C85" s="66" t="s">
        <v>44</v>
      </c>
      <c r="D85" s="37">
        <f>'Customer Count'!I10</f>
        <v>626</v>
      </c>
      <c r="E85" s="37">
        <v>1</v>
      </c>
      <c r="F85" s="39"/>
      <c r="G85" s="40">
        <f>'Monthly Volumes'!L46</f>
        <v>125.33333333333333</v>
      </c>
      <c r="H85" s="14">
        <f t="shared" si="41"/>
        <v>0.017030225858714457</v>
      </c>
      <c r="I85" s="6">
        <f t="shared" si="42"/>
        <v>0.014345483772545306</v>
      </c>
      <c r="J85" s="13">
        <f t="shared" si="43"/>
        <v>12.458888687047596</v>
      </c>
      <c r="K85" s="14">
        <f>'[3]8. 2002PILs Proxy Adder Calc'!$C$230</f>
        <v>0.0727449162462615</v>
      </c>
      <c r="L85" s="6">
        <f>'[3]8. 2002PILs Proxy Adder Calc'!$B$226</f>
        <v>0.06127699210823539</v>
      </c>
      <c r="M85" s="13">
        <f t="shared" si="44"/>
        <v>53.2183672477252</v>
      </c>
      <c r="N85" s="19"/>
      <c r="O85" s="13">
        <f t="shared" si="45"/>
        <v>0</v>
      </c>
      <c r="P85" s="19">
        <v>0</v>
      </c>
      <c r="Q85" s="13">
        <f t="shared" si="46"/>
        <v>0</v>
      </c>
      <c r="R85" s="13">
        <f t="shared" si="47"/>
        <v>65.67725593477279</v>
      </c>
    </row>
    <row r="86" spans="1:18" ht="15">
      <c r="A86" s="26" t="s">
        <v>5</v>
      </c>
      <c r="B86" s="53">
        <v>2002</v>
      </c>
      <c r="C86" s="66" t="s">
        <v>45</v>
      </c>
      <c r="D86" s="37">
        <f>'Customer Count'!I11</f>
        <v>626</v>
      </c>
      <c r="E86" s="37">
        <v>1</v>
      </c>
      <c r="F86" s="39"/>
      <c r="G86" s="40">
        <f>'Monthly Volumes'!L47</f>
        <v>125.33333333333333</v>
      </c>
      <c r="H86" s="14">
        <f t="shared" si="41"/>
        <v>0.017030225858714457</v>
      </c>
      <c r="I86" s="6">
        <f t="shared" si="42"/>
        <v>0.014345483772545306</v>
      </c>
      <c r="J86" s="13">
        <f t="shared" si="43"/>
        <v>12.458888687047596</v>
      </c>
      <c r="K86" s="14">
        <f>'[3]8. 2002PILs Proxy Adder Calc'!$C$230</f>
        <v>0.0727449162462615</v>
      </c>
      <c r="L86" s="6">
        <f>'[3]8. 2002PILs Proxy Adder Calc'!$B$226</f>
        <v>0.06127699210823539</v>
      </c>
      <c r="M86" s="13">
        <f t="shared" si="44"/>
        <v>53.2183672477252</v>
      </c>
      <c r="N86" s="19"/>
      <c r="O86" s="13">
        <f t="shared" si="45"/>
        <v>0</v>
      </c>
      <c r="P86" s="19">
        <v>0</v>
      </c>
      <c r="Q86" s="13">
        <f t="shared" si="46"/>
        <v>0</v>
      </c>
      <c r="R86" s="13">
        <f t="shared" si="47"/>
        <v>65.67725593477279</v>
      </c>
    </row>
    <row r="87" spans="1:18" ht="15">
      <c r="A87" s="26" t="s">
        <v>5</v>
      </c>
      <c r="B87" s="53">
        <v>2002</v>
      </c>
      <c r="C87" s="66" t="s">
        <v>46</v>
      </c>
      <c r="D87" s="37">
        <f>'Customer Count'!I12</f>
        <v>626</v>
      </c>
      <c r="E87" s="37">
        <v>1</v>
      </c>
      <c r="F87" s="39"/>
      <c r="G87" s="40">
        <f>'Monthly Volumes'!L48</f>
        <v>125.33333333333333</v>
      </c>
      <c r="H87" s="14">
        <f t="shared" si="41"/>
        <v>0.017030225858714457</v>
      </c>
      <c r="I87" s="6">
        <f t="shared" si="42"/>
        <v>0.014345483772545306</v>
      </c>
      <c r="J87" s="13">
        <f t="shared" si="43"/>
        <v>12.458888687047596</v>
      </c>
      <c r="K87" s="14">
        <f>'[3]8. 2002PILs Proxy Adder Calc'!$C$230</f>
        <v>0.0727449162462615</v>
      </c>
      <c r="L87" s="6">
        <f>'[3]8. 2002PILs Proxy Adder Calc'!$B$226</f>
        <v>0.06127699210823539</v>
      </c>
      <c r="M87" s="13">
        <f t="shared" si="44"/>
        <v>53.2183672477252</v>
      </c>
      <c r="N87" s="19"/>
      <c r="O87" s="13">
        <f t="shared" si="45"/>
        <v>0</v>
      </c>
      <c r="P87" s="19">
        <v>0</v>
      </c>
      <c r="Q87" s="13">
        <f t="shared" si="46"/>
        <v>0</v>
      </c>
      <c r="R87" s="13">
        <f t="shared" si="47"/>
        <v>65.67725593477279</v>
      </c>
    </row>
    <row r="88" spans="1:18" ht="15">
      <c r="A88" s="26" t="s">
        <v>5</v>
      </c>
      <c r="B88" s="53">
        <v>2002</v>
      </c>
      <c r="C88" s="66" t="s">
        <v>47</v>
      </c>
      <c r="D88" s="37">
        <f>'Customer Count'!I13</f>
        <v>626</v>
      </c>
      <c r="E88" s="37">
        <v>1</v>
      </c>
      <c r="F88" s="39"/>
      <c r="G88" s="40">
        <f>'Monthly Volumes'!L49</f>
        <v>125.33333333333333</v>
      </c>
      <c r="H88" s="14">
        <f t="shared" si="41"/>
        <v>0.017030225858714457</v>
      </c>
      <c r="I88" s="6">
        <f t="shared" si="42"/>
        <v>0.014345483772545306</v>
      </c>
      <c r="J88" s="13">
        <f t="shared" si="43"/>
        <v>12.458888687047596</v>
      </c>
      <c r="K88" s="14">
        <f>'[3]8. 2002PILs Proxy Adder Calc'!$C$230</f>
        <v>0.0727449162462615</v>
      </c>
      <c r="L88" s="6">
        <f>'[3]8. 2002PILs Proxy Adder Calc'!$B$226</f>
        <v>0.06127699210823539</v>
      </c>
      <c r="M88" s="13">
        <f t="shared" si="44"/>
        <v>53.2183672477252</v>
      </c>
      <c r="N88" s="19"/>
      <c r="O88" s="13">
        <f t="shared" si="45"/>
        <v>0</v>
      </c>
      <c r="P88" s="19">
        <v>0</v>
      </c>
      <c r="Q88" s="13">
        <f t="shared" si="46"/>
        <v>0</v>
      </c>
      <c r="R88" s="13">
        <f t="shared" si="47"/>
        <v>65.67725593477279</v>
      </c>
    </row>
    <row r="89" spans="1:18" ht="15">
      <c r="A89" s="26" t="s">
        <v>5</v>
      </c>
      <c r="B89" s="53">
        <v>2002</v>
      </c>
      <c r="C89" s="66" t="s">
        <v>48</v>
      </c>
      <c r="D89" s="37">
        <f>'Customer Count'!I14</f>
        <v>626</v>
      </c>
      <c r="E89" s="37">
        <v>1</v>
      </c>
      <c r="F89" s="39"/>
      <c r="G89" s="40">
        <f>'Monthly Volumes'!L50</f>
        <v>125.33333333333333</v>
      </c>
      <c r="H89" s="14">
        <f t="shared" si="41"/>
        <v>0.017030225858714457</v>
      </c>
      <c r="I89" s="6">
        <f t="shared" si="42"/>
        <v>0.014345483772545306</v>
      </c>
      <c r="J89" s="13">
        <f t="shared" si="43"/>
        <v>12.458888687047596</v>
      </c>
      <c r="K89" s="14">
        <f>'[3]8. 2002PILs Proxy Adder Calc'!$C$230</f>
        <v>0.0727449162462615</v>
      </c>
      <c r="L89" s="6">
        <f>'[3]8. 2002PILs Proxy Adder Calc'!$B$226</f>
        <v>0.06127699210823539</v>
      </c>
      <c r="M89" s="13">
        <f t="shared" si="44"/>
        <v>53.2183672477252</v>
      </c>
      <c r="N89" s="19"/>
      <c r="O89" s="13">
        <f t="shared" si="45"/>
        <v>0</v>
      </c>
      <c r="P89" s="19">
        <v>0</v>
      </c>
      <c r="Q89" s="13">
        <f t="shared" si="46"/>
        <v>0</v>
      </c>
      <c r="R89" s="13">
        <f t="shared" si="47"/>
        <v>65.67725593477279</v>
      </c>
    </row>
    <row r="90" spans="1:18" ht="15">
      <c r="A90" s="26" t="s">
        <v>5</v>
      </c>
      <c r="B90" s="53">
        <v>2002</v>
      </c>
      <c r="C90" s="66" t="s">
        <v>49</v>
      </c>
      <c r="D90" s="37">
        <f>'Customer Count'!I15</f>
        <v>626</v>
      </c>
      <c r="E90" s="37">
        <v>1</v>
      </c>
      <c r="F90" s="39"/>
      <c r="G90" s="40">
        <f>'Monthly Volumes'!L51</f>
        <v>125.33333333333333</v>
      </c>
      <c r="H90" s="14">
        <f t="shared" si="41"/>
        <v>0.017030225858714457</v>
      </c>
      <c r="I90" s="6">
        <f t="shared" si="42"/>
        <v>0.014345483772545306</v>
      </c>
      <c r="J90" s="13">
        <f t="shared" si="43"/>
        <v>12.458888687047596</v>
      </c>
      <c r="K90" s="14">
        <f>'[3]8. 2002PILs Proxy Adder Calc'!$C$230</f>
        <v>0.0727449162462615</v>
      </c>
      <c r="L90" s="6">
        <f>'[3]8. 2002PILs Proxy Adder Calc'!$B$226</f>
        <v>0.06127699210823539</v>
      </c>
      <c r="M90" s="13">
        <f t="shared" si="44"/>
        <v>53.2183672477252</v>
      </c>
      <c r="N90" s="19"/>
      <c r="O90" s="13">
        <f t="shared" si="45"/>
        <v>0</v>
      </c>
      <c r="P90" s="19">
        <v>0</v>
      </c>
      <c r="Q90" s="13">
        <f t="shared" si="46"/>
        <v>0</v>
      </c>
      <c r="R90" s="13">
        <f t="shared" si="47"/>
        <v>65.67725593477279</v>
      </c>
    </row>
    <row r="91" spans="1:18" ht="15.75" thickBot="1">
      <c r="A91" s="26"/>
      <c r="B91" s="53"/>
      <c r="C91" s="66"/>
      <c r="D91" s="37"/>
      <c r="E91" s="37"/>
      <c r="F91" s="39"/>
      <c r="G91" s="40"/>
      <c r="H91" s="14"/>
      <c r="I91" s="6"/>
      <c r="J91" s="13"/>
      <c r="K91" s="14"/>
      <c r="L91" s="6"/>
      <c r="M91" s="13"/>
      <c r="N91" s="19"/>
      <c r="O91" s="13"/>
      <c r="P91" s="19"/>
      <c r="Q91" s="13"/>
      <c r="R91" s="13"/>
    </row>
    <row r="92" spans="1:18" ht="15.75" thickBot="1">
      <c r="A92" s="55" t="s">
        <v>64</v>
      </c>
      <c r="B92" s="56"/>
      <c r="C92" s="57"/>
      <c r="D92" s="58">
        <f>SUM(D81:D91)</f>
        <v>6260</v>
      </c>
      <c r="E92" s="58"/>
      <c r="F92" s="58">
        <f>SUM(F81:F91)</f>
        <v>0</v>
      </c>
      <c r="G92" s="58">
        <f>SUM(G81:G91)</f>
        <v>1253.3333333333333</v>
      </c>
      <c r="H92" s="60"/>
      <c r="I92" s="61"/>
      <c r="J92" s="62">
        <f>SUM(J81:J91)</f>
        <v>124.58888687047593</v>
      </c>
      <c r="K92" s="60"/>
      <c r="L92" s="61"/>
      <c r="M92" s="62">
        <f>SUM(M81:M91)</f>
        <v>532.183672477252</v>
      </c>
      <c r="N92" s="63"/>
      <c r="O92" s="62">
        <f>SUM(O81:O91)</f>
        <v>0</v>
      </c>
      <c r="P92" s="63"/>
      <c r="Q92" s="62">
        <f>SUM(Q81:Q91)</f>
        <v>0</v>
      </c>
      <c r="R92" s="62">
        <f>SUM(R81:R91)</f>
        <v>656.7725593477279</v>
      </c>
    </row>
    <row r="93" spans="1:18" ht="15">
      <c r="A93" s="16"/>
      <c r="B93" s="3"/>
      <c r="C93" s="3"/>
      <c r="D93" s="64"/>
      <c r="E93" s="64"/>
      <c r="F93" s="64"/>
      <c r="G93" s="65"/>
      <c r="H93" s="14"/>
      <c r="I93" s="6"/>
      <c r="J93" s="13"/>
      <c r="K93" s="14"/>
      <c r="L93" s="6"/>
      <c r="M93" s="13"/>
      <c r="N93" s="19"/>
      <c r="O93" s="13"/>
      <c r="P93" s="19"/>
      <c r="Q93" s="13"/>
      <c r="R93" s="13"/>
    </row>
    <row r="94" spans="1:18" s="18" customFormat="1" ht="15.75" thickBot="1">
      <c r="A94" s="114" t="s">
        <v>22</v>
      </c>
      <c r="B94" s="115"/>
      <c r="C94" s="115"/>
      <c r="D94" s="116"/>
      <c r="E94" s="116"/>
      <c r="F94" s="116">
        <f>F14+F27+F40+F53+F66+F79+F92</f>
        <v>16620973.333333334</v>
      </c>
      <c r="G94" s="116">
        <f>G14+G27+G40+G53+G66+G79+G92</f>
        <v>49500.833333333336</v>
      </c>
      <c r="H94" s="114"/>
      <c r="I94" s="115"/>
      <c r="J94" s="117">
        <f>J14+J27+J40+J53+J66+J79+J92</f>
        <v>6350.486080826203</v>
      </c>
      <c r="K94" s="114"/>
      <c r="L94" s="115"/>
      <c r="M94" s="117">
        <f>M14+M27+M40+M53+M66+M79+M92</f>
        <v>27126.215583122248</v>
      </c>
      <c r="N94" s="114"/>
      <c r="O94" s="117">
        <f>O14+O27+O40+O53+O66+O79+O92</f>
        <v>0</v>
      </c>
      <c r="P94" s="114"/>
      <c r="Q94" s="117">
        <f>Q14+Q27+Q40+Q53+Q66+Q79+Q92</f>
        <v>0</v>
      </c>
      <c r="R94" s="117">
        <f>R14+R27+R40+R53+R66+R79+R92</f>
        <v>33476.70166394846</v>
      </c>
    </row>
    <row r="95" spans="1:18" ht="15">
      <c r="A95" s="3"/>
      <c r="B95" s="3"/>
      <c r="C95" s="3"/>
      <c r="D95" s="9"/>
      <c r="E95" s="9"/>
      <c r="F95" s="9"/>
      <c r="G95" s="9"/>
      <c r="H95" s="3"/>
      <c r="I95" s="3"/>
      <c r="J95" s="4"/>
      <c r="K95" s="3"/>
      <c r="L95" s="3"/>
      <c r="M95" s="4"/>
      <c r="N95" s="4"/>
      <c r="O95" s="4"/>
      <c r="P95" s="4"/>
      <c r="Q95" s="4"/>
      <c r="R95" s="4"/>
    </row>
    <row r="99" spans="10:11" ht="15">
      <c r="J99" s="8"/>
      <c r="K99" s="2"/>
    </row>
    <row r="100" spans="10:11" ht="15">
      <c r="J100" s="8"/>
      <c r="K100" s="2"/>
    </row>
    <row r="101" spans="10:11" ht="15">
      <c r="J101" s="8"/>
      <c r="K101" s="2"/>
    </row>
    <row r="102" spans="10:11" ht="15">
      <c r="J102" s="8"/>
      <c r="K102" s="2"/>
    </row>
  </sheetData>
  <sheetProtection/>
  <printOptions/>
  <pageMargins left="0.7" right="0.45" top="0.75" bottom="0.5" header="0.3" footer="0.3"/>
  <pageSetup fitToHeight="2" fitToWidth="1" horizontalDpi="600" verticalDpi="600" orientation="landscape" scale="64" r:id="rId1"/>
  <headerFooter alignWithMargins="0">
    <oddHeader>&amp;C&amp;A&amp;RWoodstock Hydro
EB-2011-0207
September 2011</oddHeader>
    <oddFooter>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7"/>
  <sheetViews>
    <sheetView showGridLines="0" zoomScalePageLayoutView="0" workbookViewId="0" topLeftCell="A93">
      <selection activeCell="L106" sqref="L106"/>
    </sheetView>
  </sheetViews>
  <sheetFormatPr defaultColWidth="9.140625" defaultRowHeight="15"/>
  <cols>
    <col min="1" max="1" width="22.8515625" style="0" bestFit="1" customWidth="1"/>
    <col min="2" max="2" width="7.57421875" style="0" customWidth="1"/>
    <col min="3" max="3" width="8.57421875" style="0" bestFit="1" customWidth="1"/>
    <col min="4" max="4" width="10.421875" style="0" bestFit="1" customWidth="1"/>
    <col min="5" max="5" width="7.57421875" style="0" hidden="1" customWidth="1"/>
    <col min="6" max="6" width="12.57421875" style="0" bestFit="1" customWidth="1"/>
    <col min="7" max="7" width="9.00390625" style="0" bestFit="1" customWidth="1"/>
    <col min="8" max="8" width="12.140625" style="0" customWidth="1"/>
    <col min="9" max="9" width="12.7109375" style="0" customWidth="1"/>
    <col min="10" max="10" width="13.140625" style="0" customWidth="1"/>
    <col min="11" max="11" width="13.421875" style="0" customWidth="1"/>
    <col min="12" max="12" width="11.421875" style="0" customWidth="1"/>
    <col min="13" max="13" width="14.28125" style="0" bestFit="1" customWidth="1"/>
    <col min="14" max="14" width="10.421875" style="0" hidden="1" customWidth="1"/>
    <col min="15" max="15" width="14.00390625" style="0" hidden="1" customWidth="1"/>
    <col min="16" max="16" width="9.00390625" style="0" hidden="1" customWidth="1"/>
    <col min="17" max="17" width="10.140625" style="0" hidden="1" customWidth="1"/>
    <col min="18" max="18" width="13.8515625" style="0" customWidth="1"/>
  </cols>
  <sheetData>
    <row r="1" ht="15">
      <c r="E1" s="67"/>
    </row>
    <row r="2" s="1" customFormat="1" ht="15.75" thickBot="1"/>
    <row r="3" spans="1:18" s="23" customFormat="1" ht="75">
      <c r="A3" s="33" t="s">
        <v>24</v>
      </c>
      <c r="B3" s="52"/>
      <c r="C3" s="34" t="s">
        <v>23</v>
      </c>
      <c r="D3" s="34" t="s">
        <v>57</v>
      </c>
      <c r="E3" s="34" t="s">
        <v>27</v>
      </c>
      <c r="F3" s="34" t="s">
        <v>9</v>
      </c>
      <c r="G3" s="35" t="s">
        <v>10</v>
      </c>
      <c r="H3" s="15" t="s">
        <v>12</v>
      </c>
      <c r="I3" s="17" t="s">
        <v>19</v>
      </c>
      <c r="J3" s="22" t="s">
        <v>13</v>
      </c>
      <c r="K3" s="15" t="s">
        <v>88</v>
      </c>
      <c r="L3" s="17" t="s">
        <v>89</v>
      </c>
      <c r="M3" s="22" t="s">
        <v>90</v>
      </c>
      <c r="N3" s="15" t="s">
        <v>17</v>
      </c>
      <c r="O3" s="22" t="s">
        <v>18</v>
      </c>
      <c r="P3" s="15" t="s">
        <v>20</v>
      </c>
      <c r="Q3" s="22" t="s">
        <v>21</v>
      </c>
      <c r="R3" s="22" t="s">
        <v>6</v>
      </c>
    </row>
    <row r="4" spans="1:18" ht="15">
      <c r="A4" s="26" t="s">
        <v>0</v>
      </c>
      <c r="B4" s="53">
        <v>2003</v>
      </c>
      <c r="C4" s="36" t="s">
        <v>39</v>
      </c>
      <c r="D4" s="37">
        <f>'Customer Count'!C17</f>
        <v>1502</v>
      </c>
      <c r="E4" s="37">
        <v>1</v>
      </c>
      <c r="F4" s="37">
        <f>'Monthly Volumes'!D4</f>
        <v>932415.108994098</v>
      </c>
      <c r="G4" s="38"/>
      <c r="H4" s="12">
        <f>'2002  PILS Recoveries'!H3</f>
        <v>0.2334631907874097</v>
      </c>
      <c r="I4" s="6">
        <f>'2002  PILS Recoveries'!I3</f>
        <v>6.7318236418576E-05</v>
      </c>
      <c r="J4" s="13">
        <f>D4*E4*H4+(F4+G4)*I4</f>
        <v>413.43025331020635</v>
      </c>
      <c r="K4" s="12">
        <f>'2002  PILS Recoveries'!K3</f>
        <v>0.9972422210551405</v>
      </c>
      <c r="L4" s="6">
        <f>'2002  PILS Recoveries'!L3</f>
        <v>0.0002875510583795042</v>
      </c>
      <c r="M4" s="13">
        <f>D4*E4*K4+(F4+G4)*L4</f>
        <v>1765.9747674651146</v>
      </c>
      <c r="N4" s="19"/>
      <c r="O4" s="13">
        <f>(F4+G4)*N4</f>
        <v>0</v>
      </c>
      <c r="P4" s="19">
        <v>0</v>
      </c>
      <c r="Q4" s="13">
        <f>(F4+G4)*P4</f>
        <v>0</v>
      </c>
      <c r="R4" s="13">
        <f>J4+M4+O4+Q4</f>
        <v>2179.4050207753207</v>
      </c>
    </row>
    <row r="5" spans="1:18" ht="15">
      <c r="A5" s="26" t="s">
        <v>0</v>
      </c>
      <c r="B5" s="53">
        <v>2003</v>
      </c>
      <c r="C5" s="36" t="s">
        <v>40</v>
      </c>
      <c r="D5" s="37">
        <f>'Customer Count'!C18</f>
        <v>1502</v>
      </c>
      <c r="E5" s="37">
        <v>1</v>
      </c>
      <c r="F5" s="37">
        <f>'Monthly Volumes'!D5</f>
        <v>932415.108994098</v>
      </c>
      <c r="G5" s="38"/>
      <c r="H5" s="12">
        <f>'2002  PILS Recoveries'!H4</f>
        <v>0.2334631907874097</v>
      </c>
      <c r="I5" s="6">
        <f>'2002  PILS Recoveries'!I4</f>
        <v>6.7318236418576E-05</v>
      </c>
      <c r="J5" s="13">
        <f aca="true" t="shared" si="0" ref="J5:J10">D5*E5*H5+(F5+G5)*I5</f>
        <v>413.43025331020635</v>
      </c>
      <c r="K5" s="12">
        <f>'2002  PILS Recoveries'!K4</f>
        <v>0.9972422210551405</v>
      </c>
      <c r="L5" s="6">
        <f>'2002  PILS Recoveries'!L4</f>
        <v>0.0002875510583795042</v>
      </c>
      <c r="M5" s="13">
        <f aca="true" t="shared" si="1" ref="M5:M10">D5*E5*K5+(F5+G5)*L5</f>
        <v>1765.9747674651146</v>
      </c>
      <c r="N5" s="19"/>
      <c r="O5" s="13">
        <f aca="true" t="shared" si="2" ref="O5:O10">(F5+G5)*N5</f>
        <v>0</v>
      </c>
      <c r="P5" s="19">
        <v>0</v>
      </c>
      <c r="Q5" s="13">
        <f aca="true" t="shared" si="3" ref="Q5:Q10">(F5+G5)*P5</f>
        <v>0</v>
      </c>
      <c r="R5" s="13">
        <f aca="true" t="shared" si="4" ref="R5:R15">J5+M5+O5+Q5</f>
        <v>2179.4050207753207</v>
      </c>
    </row>
    <row r="6" spans="1:18" ht="15">
      <c r="A6" s="26" t="s">
        <v>0</v>
      </c>
      <c r="B6" s="53">
        <v>2003</v>
      </c>
      <c r="C6" s="36" t="s">
        <v>41</v>
      </c>
      <c r="D6" s="37">
        <f>'Customer Count'!C19</f>
        <v>1502</v>
      </c>
      <c r="E6" s="37">
        <v>1</v>
      </c>
      <c r="F6" s="37">
        <f>'Monthly Volumes'!D6</f>
        <v>932415.108994098</v>
      </c>
      <c r="G6" s="38"/>
      <c r="H6" s="12">
        <f>'2002  PILS Recoveries'!H5</f>
        <v>0.2334631907874097</v>
      </c>
      <c r="I6" s="6">
        <f>'2002  PILS Recoveries'!I5</f>
        <v>6.7318236418576E-05</v>
      </c>
      <c r="J6" s="13">
        <f t="shared" si="0"/>
        <v>413.43025331020635</v>
      </c>
      <c r="K6" s="12">
        <f>'2002  PILS Recoveries'!K5</f>
        <v>0.9972422210551405</v>
      </c>
      <c r="L6" s="6">
        <f>'2002  PILS Recoveries'!L5</f>
        <v>0.0002875510583795042</v>
      </c>
      <c r="M6" s="13">
        <f t="shared" si="1"/>
        <v>1765.9747674651146</v>
      </c>
      <c r="N6" s="19"/>
      <c r="O6" s="13">
        <f t="shared" si="2"/>
        <v>0</v>
      </c>
      <c r="P6" s="19">
        <v>0</v>
      </c>
      <c r="Q6" s="13">
        <f t="shared" si="3"/>
        <v>0</v>
      </c>
      <c r="R6" s="13">
        <f t="shared" si="4"/>
        <v>2179.4050207753207</v>
      </c>
    </row>
    <row r="7" spans="1:18" ht="15">
      <c r="A7" s="26" t="s">
        <v>0</v>
      </c>
      <c r="B7" s="53">
        <v>2003</v>
      </c>
      <c r="C7" s="36" t="s">
        <v>42</v>
      </c>
      <c r="D7" s="37">
        <f>'Customer Count'!C20</f>
        <v>1502</v>
      </c>
      <c r="E7" s="37">
        <v>1</v>
      </c>
      <c r="F7" s="37">
        <f>'Monthly Volumes'!D7</f>
        <v>932415.108994098</v>
      </c>
      <c r="G7" s="38"/>
      <c r="H7" s="12">
        <f>'2002  PILS Recoveries'!H6</f>
        <v>0.2334631907874097</v>
      </c>
      <c r="I7" s="6">
        <f>'2002  PILS Recoveries'!I6</f>
        <v>6.7318236418576E-05</v>
      </c>
      <c r="J7" s="13">
        <f t="shared" si="0"/>
        <v>413.43025331020635</v>
      </c>
      <c r="K7" s="12">
        <f>'2002  PILS Recoveries'!K6</f>
        <v>0.9972422210551405</v>
      </c>
      <c r="L7" s="6">
        <f>'2002  PILS Recoveries'!L6</f>
        <v>0.0002875510583795042</v>
      </c>
      <c r="M7" s="13">
        <f t="shared" si="1"/>
        <v>1765.9747674651146</v>
      </c>
      <c r="N7" s="19"/>
      <c r="O7" s="13">
        <f t="shared" si="2"/>
        <v>0</v>
      </c>
      <c r="P7" s="19">
        <v>0</v>
      </c>
      <c r="Q7" s="13">
        <f t="shared" si="3"/>
        <v>0</v>
      </c>
      <c r="R7" s="13">
        <f t="shared" si="4"/>
        <v>2179.4050207753207</v>
      </c>
    </row>
    <row r="8" spans="1:18" ht="15">
      <c r="A8" s="26" t="s">
        <v>0</v>
      </c>
      <c r="B8" s="53">
        <v>2003</v>
      </c>
      <c r="C8" s="36" t="s">
        <v>35</v>
      </c>
      <c r="D8" s="37">
        <f>'Customer Count'!C21</f>
        <v>1502</v>
      </c>
      <c r="E8" s="37">
        <v>1</v>
      </c>
      <c r="F8" s="37">
        <f>'Monthly Volumes'!D8</f>
        <v>932415.108994098</v>
      </c>
      <c r="G8" s="38"/>
      <c r="H8" s="12">
        <f>'2002  PILS Recoveries'!H7</f>
        <v>0.2334631907874097</v>
      </c>
      <c r="I8" s="6">
        <f>'2002  PILS Recoveries'!I7</f>
        <v>6.7318236418576E-05</v>
      </c>
      <c r="J8" s="13">
        <f t="shared" si="0"/>
        <v>413.43025331020635</v>
      </c>
      <c r="K8" s="12">
        <f>'2002  PILS Recoveries'!K7</f>
        <v>0.9972422210551405</v>
      </c>
      <c r="L8" s="6">
        <f>'2002  PILS Recoveries'!L7</f>
        <v>0.0002875510583795042</v>
      </c>
      <c r="M8" s="13">
        <f t="shared" si="1"/>
        <v>1765.9747674651146</v>
      </c>
      <c r="N8" s="19"/>
      <c r="O8" s="13">
        <f t="shared" si="2"/>
        <v>0</v>
      </c>
      <c r="P8" s="19">
        <v>0</v>
      </c>
      <c r="Q8" s="13">
        <f t="shared" si="3"/>
        <v>0</v>
      </c>
      <c r="R8" s="13">
        <f t="shared" si="4"/>
        <v>2179.4050207753207</v>
      </c>
    </row>
    <row r="9" spans="1:18" ht="15">
      <c r="A9" s="26" t="s">
        <v>0</v>
      </c>
      <c r="B9" s="53">
        <v>2003</v>
      </c>
      <c r="C9" s="36" t="s">
        <v>43</v>
      </c>
      <c r="D9" s="37">
        <f>'Customer Count'!C22</f>
        <v>1502</v>
      </c>
      <c r="E9" s="37">
        <v>1</v>
      </c>
      <c r="F9" s="37">
        <f>'Monthly Volumes'!D9</f>
        <v>932415.108994098</v>
      </c>
      <c r="G9" s="38"/>
      <c r="H9" s="12">
        <f>'2002  PILS Recoveries'!H8</f>
        <v>0.2334631907874097</v>
      </c>
      <c r="I9" s="6">
        <f>'2002  PILS Recoveries'!I8</f>
        <v>6.7318236418576E-05</v>
      </c>
      <c r="J9" s="13">
        <f t="shared" si="0"/>
        <v>413.43025331020635</v>
      </c>
      <c r="K9" s="12">
        <f>'2002  PILS Recoveries'!K8</f>
        <v>0.9972422210551405</v>
      </c>
      <c r="L9" s="6">
        <f>'2002  PILS Recoveries'!L8</f>
        <v>0.0002875510583795042</v>
      </c>
      <c r="M9" s="13">
        <f t="shared" si="1"/>
        <v>1765.9747674651146</v>
      </c>
      <c r="N9" s="19"/>
      <c r="O9" s="13">
        <f t="shared" si="2"/>
        <v>0</v>
      </c>
      <c r="P9" s="19">
        <v>0</v>
      </c>
      <c r="Q9" s="13">
        <f t="shared" si="3"/>
        <v>0</v>
      </c>
      <c r="R9" s="13">
        <f t="shared" si="4"/>
        <v>2179.4050207753207</v>
      </c>
    </row>
    <row r="10" spans="1:18" ht="15">
      <c r="A10" s="26" t="s">
        <v>0</v>
      </c>
      <c r="B10" s="53">
        <v>2003</v>
      </c>
      <c r="C10" s="36" t="s">
        <v>44</v>
      </c>
      <c r="D10" s="37">
        <f>'Customer Count'!C23</f>
        <v>1502</v>
      </c>
      <c r="E10" s="37">
        <v>1</v>
      </c>
      <c r="F10" s="37">
        <f>'Monthly Volumes'!D10</f>
        <v>932415.108994098</v>
      </c>
      <c r="G10" s="38"/>
      <c r="H10" s="12">
        <f>'2002  PILS Recoveries'!H9</f>
        <v>0.2334631907874097</v>
      </c>
      <c r="I10" s="6">
        <f>'2002  PILS Recoveries'!I9</f>
        <v>6.7318236418576E-05</v>
      </c>
      <c r="J10" s="13">
        <f t="shared" si="0"/>
        <v>413.43025331020635</v>
      </c>
      <c r="K10" s="12">
        <f>'2002  PILS Recoveries'!K9</f>
        <v>0.9972422210551405</v>
      </c>
      <c r="L10" s="6">
        <f>'2002  PILS Recoveries'!L9</f>
        <v>0.0002875510583795042</v>
      </c>
      <c r="M10" s="13">
        <f t="shared" si="1"/>
        <v>1765.9747674651146</v>
      </c>
      <c r="N10" s="19"/>
      <c r="O10" s="13">
        <f t="shared" si="2"/>
        <v>0</v>
      </c>
      <c r="P10" s="19">
        <v>0</v>
      </c>
      <c r="Q10" s="13">
        <f t="shared" si="3"/>
        <v>0</v>
      </c>
      <c r="R10" s="13">
        <f t="shared" si="4"/>
        <v>2179.4050207753207</v>
      </c>
    </row>
    <row r="11" spans="1:18" ht="15">
      <c r="A11" s="26" t="s">
        <v>0</v>
      </c>
      <c r="B11" s="53">
        <v>2003</v>
      </c>
      <c r="C11" s="36" t="s">
        <v>45</v>
      </c>
      <c r="D11" s="37">
        <f>'Customer Count'!C24</f>
        <v>1502</v>
      </c>
      <c r="E11" s="37">
        <v>1</v>
      </c>
      <c r="F11" s="37">
        <f>'Monthly Volumes'!D11</f>
        <v>932415.108994098</v>
      </c>
      <c r="G11" s="38"/>
      <c r="H11" s="12">
        <f>'2002  PILS Recoveries'!H10</f>
        <v>0.2334631907874097</v>
      </c>
      <c r="I11" s="6">
        <f>'2002  PILS Recoveries'!I10</f>
        <v>6.7318236418576E-05</v>
      </c>
      <c r="J11" s="13">
        <f>D11*E11*H11+(F11+G11)*I11</f>
        <v>413.43025331020635</v>
      </c>
      <c r="K11" s="12">
        <f>'2002  PILS Recoveries'!K10</f>
        <v>0.9972422210551405</v>
      </c>
      <c r="L11" s="6">
        <f>'2002  PILS Recoveries'!L10</f>
        <v>0.0002875510583795042</v>
      </c>
      <c r="M11" s="13">
        <f>D11*E11*K11+(F11+G11)*L11</f>
        <v>1765.9747674651146</v>
      </c>
      <c r="N11" s="19"/>
      <c r="O11" s="13">
        <f>(F11+G11)*N11</f>
        <v>0</v>
      </c>
      <c r="P11" s="19">
        <v>0</v>
      </c>
      <c r="Q11" s="13">
        <f>(F11+G11)*P11</f>
        <v>0</v>
      </c>
      <c r="R11" s="13">
        <f t="shared" si="4"/>
        <v>2179.4050207753207</v>
      </c>
    </row>
    <row r="12" spans="1:18" ht="15">
      <c r="A12" s="26" t="s">
        <v>0</v>
      </c>
      <c r="B12" s="53">
        <v>2003</v>
      </c>
      <c r="C12" s="36" t="s">
        <v>46</v>
      </c>
      <c r="D12" s="37">
        <f>'Customer Count'!C25</f>
        <v>1502</v>
      </c>
      <c r="E12" s="37">
        <v>1</v>
      </c>
      <c r="F12" s="37">
        <f>'Monthly Volumes'!D12</f>
        <v>932415.108994098</v>
      </c>
      <c r="G12" s="38"/>
      <c r="H12" s="12">
        <f>'2002  PILS Recoveries'!H11</f>
        <v>0.2334631907874097</v>
      </c>
      <c r="I12" s="6">
        <f>'2002  PILS Recoveries'!I11</f>
        <v>6.7318236418576E-05</v>
      </c>
      <c r="J12" s="13">
        <f>D12*E12*H12+(F12+G12)*I12</f>
        <v>413.43025331020635</v>
      </c>
      <c r="K12" s="12">
        <f>'2002  PILS Recoveries'!K11</f>
        <v>0.9972422210551405</v>
      </c>
      <c r="L12" s="6">
        <f>'2002  PILS Recoveries'!L11</f>
        <v>0.0002875510583795042</v>
      </c>
      <c r="M12" s="13">
        <f>D12*E12*K12+(F12+G12)*L12</f>
        <v>1765.9747674651146</v>
      </c>
      <c r="N12" s="19"/>
      <c r="O12" s="13">
        <f>(F12+G12)*N12</f>
        <v>0</v>
      </c>
      <c r="P12" s="19">
        <v>0</v>
      </c>
      <c r="Q12" s="13">
        <f>(F12+G12)*P12</f>
        <v>0</v>
      </c>
      <c r="R12" s="13">
        <f t="shared" si="4"/>
        <v>2179.4050207753207</v>
      </c>
    </row>
    <row r="13" spans="1:18" ht="15">
      <c r="A13" s="26" t="s">
        <v>0</v>
      </c>
      <c r="B13" s="53">
        <v>2003</v>
      </c>
      <c r="C13" s="36" t="s">
        <v>47</v>
      </c>
      <c r="D13" s="37">
        <f>'Customer Count'!C26</f>
        <v>1502</v>
      </c>
      <c r="E13" s="37">
        <v>1</v>
      </c>
      <c r="F13" s="37">
        <f>'Monthly Volumes'!D13</f>
        <v>932415.108994098</v>
      </c>
      <c r="G13" s="38"/>
      <c r="H13" s="12">
        <f>'2002  PILS Recoveries'!H12</f>
        <v>0.2334631907874097</v>
      </c>
      <c r="I13" s="6">
        <f>'2002  PILS Recoveries'!I12</f>
        <v>6.7318236418576E-05</v>
      </c>
      <c r="J13" s="13">
        <f>D13*E13*H13+(F13+G13)*I13</f>
        <v>413.43025331020635</v>
      </c>
      <c r="K13" s="12">
        <f>'2002  PILS Recoveries'!K12</f>
        <v>0.9972422210551405</v>
      </c>
      <c r="L13" s="6">
        <f>'2002  PILS Recoveries'!L12</f>
        <v>0.0002875510583795042</v>
      </c>
      <c r="M13" s="13">
        <f>D13*E13*K13+(F13+G13)*L13</f>
        <v>1765.9747674651146</v>
      </c>
      <c r="N13" s="19"/>
      <c r="O13" s="13">
        <f>(F13+G13)*N13</f>
        <v>0</v>
      </c>
      <c r="P13" s="19">
        <v>0</v>
      </c>
      <c r="Q13" s="13">
        <f>(F13+G13)*P13</f>
        <v>0</v>
      </c>
      <c r="R13" s="13">
        <f t="shared" si="4"/>
        <v>2179.4050207753207</v>
      </c>
    </row>
    <row r="14" spans="1:18" ht="15">
      <c r="A14" s="26" t="s">
        <v>0</v>
      </c>
      <c r="B14" s="53">
        <v>2003</v>
      </c>
      <c r="C14" s="36" t="s">
        <v>48</v>
      </c>
      <c r="D14" s="37">
        <f>'Customer Count'!C27</f>
        <v>1502</v>
      </c>
      <c r="E14" s="37">
        <v>1</v>
      </c>
      <c r="F14" s="37">
        <f>'Monthly Volumes'!D14</f>
        <v>932415.108994098</v>
      </c>
      <c r="G14" s="38"/>
      <c r="H14" s="12">
        <f>H13</f>
        <v>0.2334631907874097</v>
      </c>
      <c r="I14" s="6">
        <f>I13</f>
        <v>6.7318236418576E-05</v>
      </c>
      <c r="J14" s="13">
        <f>D14*E14*H14+(F14+G14)*I14</f>
        <v>413.43025331020635</v>
      </c>
      <c r="K14" s="12">
        <f>K13</f>
        <v>0.9972422210551405</v>
      </c>
      <c r="L14" s="6">
        <f>L13</f>
        <v>0.0002875510583795042</v>
      </c>
      <c r="M14" s="13">
        <f>D14*E14*K14+(F14+G14)*L14</f>
        <v>1765.9747674651146</v>
      </c>
      <c r="N14" s="19"/>
      <c r="O14" s="13">
        <f>(F14+G14)*N14</f>
        <v>0</v>
      </c>
      <c r="P14" s="19">
        <v>0</v>
      </c>
      <c r="Q14" s="13">
        <f>(F14+G14)*P14</f>
        <v>0</v>
      </c>
      <c r="R14" s="13">
        <f t="shared" si="4"/>
        <v>2179.4050207753207</v>
      </c>
    </row>
    <row r="15" spans="1:18" ht="15">
      <c r="A15" s="26" t="s">
        <v>0</v>
      </c>
      <c r="B15" s="53">
        <v>2003</v>
      </c>
      <c r="C15" s="36" t="s">
        <v>49</v>
      </c>
      <c r="D15" s="37">
        <f>'Customer Count'!C28</f>
        <v>1502</v>
      </c>
      <c r="E15" s="37">
        <v>1</v>
      </c>
      <c r="F15" s="37">
        <f>'Monthly Volumes'!D15</f>
        <v>932415.108994098</v>
      </c>
      <c r="G15" s="38"/>
      <c r="H15" s="12">
        <f>H14</f>
        <v>0.2334631907874097</v>
      </c>
      <c r="I15" s="6">
        <f>I14</f>
        <v>6.7318236418576E-05</v>
      </c>
      <c r="J15" s="13">
        <f>D15*E15*H15+(F15+G15)*I15</f>
        <v>413.43025331020635</v>
      </c>
      <c r="K15" s="12">
        <f>K14</f>
        <v>0.9972422210551405</v>
      </c>
      <c r="L15" s="6">
        <f>L14</f>
        <v>0.0002875510583795042</v>
      </c>
      <c r="M15" s="13">
        <f>D15*E15*K15+(F15+G15)*L15</f>
        <v>1765.9747674651146</v>
      </c>
      <c r="N15" s="19"/>
      <c r="O15" s="13">
        <f>(F15+G15)*N15</f>
        <v>0</v>
      </c>
      <c r="P15" s="19">
        <v>0</v>
      </c>
      <c r="Q15" s="13">
        <f>(F15+G15)*P15</f>
        <v>0</v>
      </c>
      <c r="R15" s="13">
        <f t="shared" si="4"/>
        <v>2179.4050207753207</v>
      </c>
    </row>
    <row r="16" spans="1:18" ht="15.75" thickBot="1">
      <c r="A16" s="26"/>
      <c r="B16" s="53"/>
      <c r="C16" s="36"/>
      <c r="D16" s="37"/>
      <c r="E16" s="37"/>
      <c r="F16" s="37"/>
      <c r="G16" s="38"/>
      <c r="H16" s="12"/>
      <c r="I16" s="6"/>
      <c r="J16" s="13"/>
      <c r="K16" s="12"/>
      <c r="L16" s="6"/>
      <c r="M16" s="13"/>
      <c r="N16" s="19"/>
      <c r="O16" s="13"/>
      <c r="P16" s="19"/>
      <c r="Q16" s="13"/>
      <c r="R16" s="13"/>
    </row>
    <row r="17" spans="1:18" ht="15.75" thickBot="1">
      <c r="A17" s="55" t="s">
        <v>58</v>
      </c>
      <c r="B17" s="56"/>
      <c r="C17" s="57"/>
      <c r="D17" s="58">
        <f>SUM(D4:D16)</f>
        <v>18024</v>
      </c>
      <c r="E17" s="58"/>
      <c r="F17" s="58">
        <f>SUM(F4:F16)</f>
        <v>11188981.307929179</v>
      </c>
      <c r="G17" s="58">
        <f>SUM(G4:G16)</f>
        <v>0</v>
      </c>
      <c r="H17" s="60"/>
      <c r="I17" s="61"/>
      <c r="J17" s="62">
        <f>SUM(J4:J16)</f>
        <v>4961.163039722476</v>
      </c>
      <c r="K17" s="60"/>
      <c r="L17" s="61"/>
      <c r="M17" s="62">
        <f>SUM(M4:M16)</f>
        <v>21191.69720958138</v>
      </c>
      <c r="N17" s="63"/>
      <c r="O17" s="62">
        <f>SUM(O4:O16)</f>
        <v>0</v>
      </c>
      <c r="P17" s="63"/>
      <c r="Q17" s="62">
        <f>SUM(Q4:Q16)</f>
        <v>0</v>
      </c>
      <c r="R17" s="62">
        <f>SUM(R4:R16)</f>
        <v>26152.86024930385</v>
      </c>
    </row>
    <row r="18" spans="1:18" ht="15">
      <c r="A18" s="26"/>
      <c r="B18" s="53"/>
      <c r="C18" s="36"/>
      <c r="D18" s="37"/>
      <c r="E18" s="37"/>
      <c r="F18" s="37"/>
      <c r="G18" s="38"/>
      <c r="H18" s="12"/>
      <c r="I18" s="6"/>
      <c r="J18" s="13"/>
      <c r="K18" s="12"/>
      <c r="L18" s="6"/>
      <c r="M18" s="13"/>
      <c r="N18" s="19"/>
      <c r="O18" s="13"/>
      <c r="P18" s="19"/>
      <c r="Q18" s="13"/>
      <c r="R18" s="13"/>
    </row>
    <row r="19" spans="1:18" ht="15">
      <c r="A19" s="26" t="s">
        <v>1</v>
      </c>
      <c r="B19" s="53">
        <v>2003</v>
      </c>
      <c r="C19" s="36" t="s">
        <v>39</v>
      </c>
      <c r="D19" s="37">
        <f>'Customer Count'!D17</f>
        <v>270</v>
      </c>
      <c r="E19" s="37">
        <v>1</v>
      </c>
      <c r="F19" s="37">
        <f>'Monthly Volumes'!D22</f>
        <v>513865.7052219657</v>
      </c>
      <c r="G19" s="38"/>
      <c r="H19" s="12">
        <f>'2002  PILS Recoveries'!H16</f>
        <v>0.4593959768840128</v>
      </c>
      <c r="I19" s="6">
        <f>'2002  PILS Recoveries'!I16</f>
        <v>4.957181252495116E-05</v>
      </c>
      <c r="J19" s="13">
        <f>D19*E19*H19+(F19+G19)*I19</f>
        <v>149.51016816094855</v>
      </c>
      <c r="K19" s="12">
        <f>'2002  PILS Recoveries'!K16</f>
        <v>1.9623181829497855</v>
      </c>
      <c r="L19" s="6">
        <f>'2002  PILS Recoveries'!L16</f>
        <v>0.00021174688933779995</v>
      </c>
      <c r="M19" s="13">
        <f>D19*E19*K19+(F19+G19)*L19</f>
        <v>638.6353740145681</v>
      </c>
      <c r="N19" s="19"/>
      <c r="O19" s="13">
        <f>(F19+G19)*N19</f>
        <v>0</v>
      </c>
      <c r="P19" s="19">
        <v>0</v>
      </c>
      <c r="Q19" s="13">
        <f>(F19+G19)*P19</f>
        <v>0</v>
      </c>
      <c r="R19" s="13">
        <f>J19+M19+O19+Q19</f>
        <v>788.1455421755167</v>
      </c>
    </row>
    <row r="20" spans="1:18" ht="15">
      <c r="A20" s="26" t="s">
        <v>1</v>
      </c>
      <c r="B20" s="53">
        <v>2003</v>
      </c>
      <c r="C20" s="36" t="s">
        <v>40</v>
      </c>
      <c r="D20" s="37">
        <f>'Customer Count'!D18</f>
        <v>270</v>
      </c>
      <c r="E20" s="37">
        <v>1</v>
      </c>
      <c r="F20" s="37">
        <f>'Monthly Volumes'!D23</f>
        <v>513865.7052219657</v>
      </c>
      <c r="G20" s="38"/>
      <c r="H20" s="12">
        <f>'2002  PILS Recoveries'!H17</f>
        <v>0.4593959768840128</v>
      </c>
      <c r="I20" s="6">
        <f>'2002  PILS Recoveries'!I17</f>
        <v>4.957181252495116E-05</v>
      </c>
      <c r="J20" s="13">
        <f aca="true" t="shared" si="5" ref="J20:J30">D20*E20*H20+(F20+G20)*I20</f>
        <v>149.51016816094855</v>
      </c>
      <c r="K20" s="12">
        <f>'2002  PILS Recoveries'!K17</f>
        <v>1.9623181829497855</v>
      </c>
      <c r="L20" s="6">
        <f>'2002  PILS Recoveries'!L17</f>
        <v>0.00021174688933779995</v>
      </c>
      <c r="M20" s="13">
        <f aca="true" t="shared" si="6" ref="M20:M30">D20*E20*K20+(F20+G20)*L20</f>
        <v>638.6353740145681</v>
      </c>
      <c r="N20" s="19"/>
      <c r="O20" s="13">
        <f aca="true" t="shared" si="7" ref="O20:O30">(F20+G20)*N20</f>
        <v>0</v>
      </c>
      <c r="P20" s="19">
        <v>0</v>
      </c>
      <c r="Q20" s="13">
        <f aca="true" t="shared" si="8" ref="Q20:Q30">(F20+G20)*P20</f>
        <v>0</v>
      </c>
      <c r="R20" s="13">
        <f aca="true" t="shared" si="9" ref="R20:R30">J20+M20+O20+Q20</f>
        <v>788.1455421755167</v>
      </c>
    </row>
    <row r="21" spans="1:18" ht="15">
      <c r="A21" s="26" t="s">
        <v>1</v>
      </c>
      <c r="B21" s="53">
        <v>2003</v>
      </c>
      <c r="C21" s="36" t="s">
        <v>41</v>
      </c>
      <c r="D21" s="37">
        <f>'Customer Count'!D19</f>
        <v>270</v>
      </c>
      <c r="E21" s="37">
        <v>1</v>
      </c>
      <c r="F21" s="37">
        <f>'Monthly Volumes'!D24</f>
        <v>513865.7052219657</v>
      </c>
      <c r="G21" s="38"/>
      <c r="H21" s="12">
        <f>'2002  PILS Recoveries'!H18</f>
        <v>0.4593959768840128</v>
      </c>
      <c r="I21" s="6">
        <f>'2002  PILS Recoveries'!I18</f>
        <v>4.957181252495116E-05</v>
      </c>
      <c r="J21" s="13">
        <f t="shared" si="5"/>
        <v>149.51016816094855</v>
      </c>
      <c r="K21" s="12">
        <f>'2002  PILS Recoveries'!K18</f>
        <v>1.9623181829497855</v>
      </c>
      <c r="L21" s="6">
        <f>'2002  PILS Recoveries'!L18</f>
        <v>0.00021174688933779995</v>
      </c>
      <c r="M21" s="13">
        <f t="shared" si="6"/>
        <v>638.6353740145681</v>
      </c>
      <c r="N21" s="19"/>
      <c r="O21" s="13">
        <f t="shared" si="7"/>
        <v>0</v>
      </c>
      <c r="P21" s="19">
        <v>0</v>
      </c>
      <c r="Q21" s="13">
        <f t="shared" si="8"/>
        <v>0</v>
      </c>
      <c r="R21" s="13">
        <f t="shared" si="9"/>
        <v>788.1455421755167</v>
      </c>
    </row>
    <row r="22" spans="1:18" ht="15">
      <c r="A22" s="26" t="s">
        <v>1</v>
      </c>
      <c r="B22" s="53">
        <v>2003</v>
      </c>
      <c r="C22" s="36" t="s">
        <v>42</v>
      </c>
      <c r="D22" s="37">
        <f>'Customer Count'!D20</f>
        <v>270</v>
      </c>
      <c r="E22" s="37">
        <v>1</v>
      </c>
      <c r="F22" s="37">
        <f>'Monthly Volumes'!D25</f>
        <v>513865.7052219657</v>
      </c>
      <c r="G22" s="38"/>
      <c r="H22" s="12">
        <f>'2002  PILS Recoveries'!H19</f>
        <v>0.4593959768840128</v>
      </c>
      <c r="I22" s="6">
        <f>'2002  PILS Recoveries'!I19</f>
        <v>4.957181252495116E-05</v>
      </c>
      <c r="J22" s="13">
        <f t="shared" si="5"/>
        <v>149.51016816094855</v>
      </c>
      <c r="K22" s="12">
        <f>'2002  PILS Recoveries'!K19</f>
        <v>1.9623181829497855</v>
      </c>
      <c r="L22" s="6">
        <f>'2002  PILS Recoveries'!L19</f>
        <v>0.00021174688933779995</v>
      </c>
      <c r="M22" s="13">
        <f t="shared" si="6"/>
        <v>638.6353740145681</v>
      </c>
      <c r="N22" s="19"/>
      <c r="O22" s="13">
        <f t="shared" si="7"/>
        <v>0</v>
      </c>
      <c r="P22" s="19">
        <v>0</v>
      </c>
      <c r="Q22" s="13">
        <f t="shared" si="8"/>
        <v>0</v>
      </c>
      <c r="R22" s="13">
        <f t="shared" si="9"/>
        <v>788.1455421755167</v>
      </c>
    </row>
    <row r="23" spans="1:18" ht="15">
      <c r="A23" s="26" t="s">
        <v>1</v>
      </c>
      <c r="B23" s="53">
        <v>2003</v>
      </c>
      <c r="C23" s="36" t="s">
        <v>35</v>
      </c>
      <c r="D23" s="37">
        <f>'Customer Count'!D21</f>
        <v>270</v>
      </c>
      <c r="E23" s="37">
        <v>1</v>
      </c>
      <c r="F23" s="37">
        <f>'Monthly Volumes'!D26</f>
        <v>513865.7052219657</v>
      </c>
      <c r="G23" s="38"/>
      <c r="H23" s="12">
        <f>'2002  PILS Recoveries'!H20</f>
        <v>0.4593959768840128</v>
      </c>
      <c r="I23" s="6">
        <f>'2002  PILS Recoveries'!I20</f>
        <v>4.957181252495116E-05</v>
      </c>
      <c r="J23" s="13">
        <f t="shared" si="5"/>
        <v>149.51016816094855</v>
      </c>
      <c r="K23" s="12">
        <f>'2002  PILS Recoveries'!K20</f>
        <v>1.9623181829497855</v>
      </c>
      <c r="L23" s="6">
        <f>'2002  PILS Recoveries'!L20</f>
        <v>0.00021174688933779995</v>
      </c>
      <c r="M23" s="13">
        <f t="shared" si="6"/>
        <v>638.6353740145681</v>
      </c>
      <c r="N23" s="19"/>
      <c r="O23" s="13">
        <f t="shared" si="7"/>
        <v>0</v>
      </c>
      <c r="P23" s="19">
        <v>0</v>
      </c>
      <c r="Q23" s="13">
        <f t="shared" si="8"/>
        <v>0</v>
      </c>
      <c r="R23" s="13">
        <f t="shared" si="9"/>
        <v>788.1455421755167</v>
      </c>
    </row>
    <row r="24" spans="1:18" ht="15">
      <c r="A24" s="26" t="s">
        <v>1</v>
      </c>
      <c r="B24" s="53">
        <v>2003</v>
      </c>
      <c r="C24" s="36" t="s">
        <v>43</v>
      </c>
      <c r="D24" s="37">
        <f>'Customer Count'!D22</f>
        <v>270</v>
      </c>
      <c r="E24" s="37">
        <v>1</v>
      </c>
      <c r="F24" s="37">
        <f>'Monthly Volumes'!D27</f>
        <v>513865.7052219657</v>
      </c>
      <c r="G24" s="38"/>
      <c r="H24" s="12">
        <f>'2002  PILS Recoveries'!H21</f>
        <v>0.4593959768840128</v>
      </c>
      <c r="I24" s="6">
        <f>'2002  PILS Recoveries'!I21</f>
        <v>4.957181252495116E-05</v>
      </c>
      <c r="J24" s="13">
        <f t="shared" si="5"/>
        <v>149.51016816094855</v>
      </c>
      <c r="K24" s="12">
        <f>'2002  PILS Recoveries'!K21</f>
        <v>1.9623181829497855</v>
      </c>
      <c r="L24" s="6">
        <f>'2002  PILS Recoveries'!L21</f>
        <v>0.00021174688933779995</v>
      </c>
      <c r="M24" s="13">
        <f t="shared" si="6"/>
        <v>638.6353740145681</v>
      </c>
      <c r="N24" s="19"/>
      <c r="O24" s="13">
        <f t="shared" si="7"/>
        <v>0</v>
      </c>
      <c r="P24" s="19">
        <v>0</v>
      </c>
      <c r="Q24" s="13">
        <f t="shared" si="8"/>
        <v>0</v>
      </c>
      <c r="R24" s="13">
        <f t="shared" si="9"/>
        <v>788.1455421755167</v>
      </c>
    </row>
    <row r="25" spans="1:18" ht="15">
      <c r="A25" s="26" t="s">
        <v>1</v>
      </c>
      <c r="B25" s="53">
        <v>2003</v>
      </c>
      <c r="C25" s="36" t="s">
        <v>44</v>
      </c>
      <c r="D25" s="37">
        <f>'Customer Count'!D23</f>
        <v>270</v>
      </c>
      <c r="E25" s="37">
        <v>1</v>
      </c>
      <c r="F25" s="37">
        <f>'Monthly Volumes'!D28</f>
        <v>513865.7052219657</v>
      </c>
      <c r="G25" s="38"/>
      <c r="H25" s="12">
        <f>'2002  PILS Recoveries'!H22</f>
        <v>0.4593959768840128</v>
      </c>
      <c r="I25" s="6">
        <f>'2002  PILS Recoveries'!I22</f>
        <v>4.957181252495116E-05</v>
      </c>
      <c r="J25" s="13">
        <f t="shared" si="5"/>
        <v>149.51016816094855</v>
      </c>
      <c r="K25" s="12">
        <f>'2002  PILS Recoveries'!K22</f>
        <v>1.9623181829497855</v>
      </c>
      <c r="L25" s="6">
        <f>'2002  PILS Recoveries'!L22</f>
        <v>0.00021174688933779995</v>
      </c>
      <c r="M25" s="13">
        <f t="shared" si="6"/>
        <v>638.6353740145681</v>
      </c>
      <c r="N25" s="19"/>
      <c r="O25" s="13">
        <f t="shared" si="7"/>
        <v>0</v>
      </c>
      <c r="P25" s="19">
        <v>0</v>
      </c>
      <c r="Q25" s="13">
        <f t="shared" si="8"/>
        <v>0</v>
      </c>
      <c r="R25" s="13">
        <f t="shared" si="9"/>
        <v>788.1455421755167</v>
      </c>
    </row>
    <row r="26" spans="1:18" ht="15">
      <c r="A26" s="26" t="s">
        <v>1</v>
      </c>
      <c r="B26" s="53">
        <v>2003</v>
      </c>
      <c r="C26" s="36" t="s">
        <v>45</v>
      </c>
      <c r="D26" s="37">
        <f>'Customer Count'!D24</f>
        <v>270</v>
      </c>
      <c r="E26" s="37">
        <v>1</v>
      </c>
      <c r="F26" s="37">
        <f>'Monthly Volumes'!D29</f>
        <v>513865.7052219657</v>
      </c>
      <c r="G26" s="38"/>
      <c r="H26" s="12">
        <f>'2002  PILS Recoveries'!H23</f>
        <v>0.4593959768840128</v>
      </c>
      <c r="I26" s="6">
        <f>'2002  PILS Recoveries'!I23</f>
        <v>4.957181252495116E-05</v>
      </c>
      <c r="J26" s="13">
        <f t="shared" si="5"/>
        <v>149.51016816094855</v>
      </c>
      <c r="K26" s="12">
        <f>'2002  PILS Recoveries'!K23</f>
        <v>1.9623181829497855</v>
      </c>
      <c r="L26" s="6">
        <f>'2002  PILS Recoveries'!L23</f>
        <v>0.00021174688933779995</v>
      </c>
      <c r="M26" s="13">
        <f t="shared" si="6"/>
        <v>638.6353740145681</v>
      </c>
      <c r="N26" s="19"/>
      <c r="O26" s="13">
        <f t="shared" si="7"/>
        <v>0</v>
      </c>
      <c r="P26" s="19">
        <v>0</v>
      </c>
      <c r="Q26" s="13">
        <f t="shared" si="8"/>
        <v>0</v>
      </c>
      <c r="R26" s="13">
        <f t="shared" si="9"/>
        <v>788.1455421755167</v>
      </c>
    </row>
    <row r="27" spans="1:18" ht="15">
      <c r="A27" s="26" t="s">
        <v>1</v>
      </c>
      <c r="B27" s="53">
        <v>2003</v>
      </c>
      <c r="C27" s="36" t="s">
        <v>46</v>
      </c>
      <c r="D27" s="37">
        <f>'Customer Count'!D25</f>
        <v>270</v>
      </c>
      <c r="E27" s="37">
        <v>1</v>
      </c>
      <c r="F27" s="37">
        <f>'Monthly Volumes'!D30</f>
        <v>513865.7052219657</v>
      </c>
      <c r="G27" s="38"/>
      <c r="H27" s="12">
        <f>'2002  PILS Recoveries'!H24</f>
        <v>0.4593959768840128</v>
      </c>
      <c r="I27" s="6">
        <f>'2002  PILS Recoveries'!I24</f>
        <v>4.957181252495116E-05</v>
      </c>
      <c r="J27" s="13">
        <f t="shared" si="5"/>
        <v>149.51016816094855</v>
      </c>
      <c r="K27" s="12">
        <f>'2002  PILS Recoveries'!K24</f>
        <v>1.9623181829497855</v>
      </c>
      <c r="L27" s="6">
        <f>'2002  PILS Recoveries'!L24</f>
        <v>0.00021174688933779995</v>
      </c>
      <c r="M27" s="13">
        <f t="shared" si="6"/>
        <v>638.6353740145681</v>
      </c>
      <c r="N27" s="19"/>
      <c r="O27" s="13">
        <f t="shared" si="7"/>
        <v>0</v>
      </c>
      <c r="P27" s="19">
        <v>0</v>
      </c>
      <c r="Q27" s="13">
        <f t="shared" si="8"/>
        <v>0</v>
      </c>
      <c r="R27" s="13">
        <f t="shared" si="9"/>
        <v>788.1455421755167</v>
      </c>
    </row>
    <row r="28" spans="1:18" ht="15">
      <c r="A28" s="26" t="s">
        <v>1</v>
      </c>
      <c r="B28" s="53">
        <v>2003</v>
      </c>
      <c r="C28" s="36" t="s">
        <v>47</v>
      </c>
      <c r="D28" s="37">
        <f>'Customer Count'!D26</f>
        <v>270</v>
      </c>
      <c r="E28" s="37">
        <v>1</v>
      </c>
      <c r="F28" s="37">
        <f>'Monthly Volumes'!D31</f>
        <v>513865.7052219657</v>
      </c>
      <c r="G28" s="38"/>
      <c r="H28" s="12">
        <f>'2002  PILS Recoveries'!H25</f>
        <v>0.4593959768840128</v>
      </c>
      <c r="I28" s="6">
        <f>'2002  PILS Recoveries'!I25</f>
        <v>4.957181252495116E-05</v>
      </c>
      <c r="J28" s="13">
        <f t="shared" si="5"/>
        <v>149.51016816094855</v>
      </c>
      <c r="K28" s="12">
        <f>'2002  PILS Recoveries'!K25</f>
        <v>1.9623181829497855</v>
      </c>
      <c r="L28" s="6">
        <f>'2002  PILS Recoveries'!L25</f>
        <v>0.00021174688933779995</v>
      </c>
      <c r="M28" s="13">
        <f t="shared" si="6"/>
        <v>638.6353740145681</v>
      </c>
      <c r="N28" s="19"/>
      <c r="O28" s="13">
        <f t="shared" si="7"/>
        <v>0</v>
      </c>
      <c r="P28" s="19">
        <v>0</v>
      </c>
      <c r="Q28" s="13">
        <f t="shared" si="8"/>
        <v>0</v>
      </c>
      <c r="R28" s="13">
        <f t="shared" si="9"/>
        <v>788.1455421755167</v>
      </c>
    </row>
    <row r="29" spans="1:18" ht="15">
      <c r="A29" s="26" t="s">
        <v>1</v>
      </c>
      <c r="B29" s="53">
        <v>2003</v>
      </c>
      <c r="C29" s="36" t="s">
        <v>48</v>
      </c>
      <c r="D29" s="37">
        <f>'Customer Count'!D27</f>
        <v>270</v>
      </c>
      <c r="E29" s="37">
        <v>1</v>
      </c>
      <c r="F29" s="37">
        <f>'Monthly Volumes'!D32</f>
        <v>513865.7052219657</v>
      </c>
      <c r="G29" s="38"/>
      <c r="H29" s="12">
        <f>H28</f>
        <v>0.4593959768840128</v>
      </c>
      <c r="I29" s="6">
        <f>I28</f>
        <v>4.957181252495116E-05</v>
      </c>
      <c r="J29" s="13">
        <f t="shared" si="5"/>
        <v>149.51016816094855</v>
      </c>
      <c r="K29" s="12">
        <f>K28</f>
        <v>1.9623181829497855</v>
      </c>
      <c r="L29" s="6">
        <f>L28</f>
        <v>0.00021174688933779995</v>
      </c>
      <c r="M29" s="13">
        <f t="shared" si="6"/>
        <v>638.6353740145681</v>
      </c>
      <c r="N29" s="19"/>
      <c r="O29" s="13">
        <f t="shared" si="7"/>
        <v>0</v>
      </c>
      <c r="P29" s="19">
        <v>0</v>
      </c>
      <c r="Q29" s="13">
        <f t="shared" si="8"/>
        <v>0</v>
      </c>
      <c r="R29" s="13">
        <f t="shared" si="9"/>
        <v>788.1455421755167</v>
      </c>
    </row>
    <row r="30" spans="1:18" ht="15">
      <c r="A30" s="26" t="s">
        <v>1</v>
      </c>
      <c r="B30" s="53">
        <v>2003</v>
      </c>
      <c r="C30" s="36" t="s">
        <v>49</v>
      </c>
      <c r="D30" s="37">
        <f>'Customer Count'!D28</f>
        <v>270</v>
      </c>
      <c r="E30" s="37">
        <v>1</v>
      </c>
      <c r="F30" s="37">
        <f>'Monthly Volumes'!D33</f>
        <v>513865.7052219657</v>
      </c>
      <c r="G30" s="38"/>
      <c r="H30" s="12">
        <f>H29</f>
        <v>0.4593959768840128</v>
      </c>
      <c r="I30" s="6">
        <f>I29</f>
        <v>4.957181252495116E-05</v>
      </c>
      <c r="J30" s="13">
        <f t="shared" si="5"/>
        <v>149.51016816094855</v>
      </c>
      <c r="K30" s="12">
        <f>K29</f>
        <v>1.9623181829497855</v>
      </c>
      <c r="L30" s="6">
        <f>L29</f>
        <v>0.00021174688933779995</v>
      </c>
      <c r="M30" s="13">
        <f t="shared" si="6"/>
        <v>638.6353740145681</v>
      </c>
      <c r="N30" s="19"/>
      <c r="O30" s="13">
        <f t="shared" si="7"/>
        <v>0</v>
      </c>
      <c r="P30" s="19">
        <v>0</v>
      </c>
      <c r="Q30" s="13">
        <f t="shared" si="8"/>
        <v>0</v>
      </c>
      <c r="R30" s="13">
        <f t="shared" si="9"/>
        <v>788.1455421755167</v>
      </c>
    </row>
    <row r="31" spans="1:18" ht="15.75" thickBot="1">
      <c r="A31" s="26"/>
      <c r="B31" s="53"/>
      <c r="C31" s="36"/>
      <c r="D31" s="37"/>
      <c r="E31" s="37"/>
      <c r="F31" s="37"/>
      <c r="G31" s="38"/>
      <c r="H31" s="12"/>
      <c r="I31" s="6"/>
      <c r="J31" s="13"/>
      <c r="K31" s="12"/>
      <c r="L31" s="6"/>
      <c r="M31" s="13"/>
      <c r="N31" s="19"/>
      <c r="O31" s="13"/>
      <c r="P31" s="19"/>
      <c r="Q31" s="13"/>
      <c r="R31" s="13"/>
    </row>
    <row r="32" spans="1:18" ht="15.75" thickBot="1">
      <c r="A32" s="55" t="s">
        <v>59</v>
      </c>
      <c r="B32" s="56"/>
      <c r="C32" s="57"/>
      <c r="D32" s="58">
        <f>SUM(D19:D31)</f>
        <v>3240</v>
      </c>
      <c r="E32" s="58"/>
      <c r="F32" s="58">
        <f>SUM(F19:F31)</f>
        <v>6166388.46266359</v>
      </c>
      <c r="G32" s="58">
        <f>SUM(G19:G31)</f>
        <v>0</v>
      </c>
      <c r="H32" s="60"/>
      <c r="I32" s="61"/>
      <c r="J32" s="62">
        <f>SUM(J19:J31)</f>
        <v>1794.1220179313825</v>
      </c>
      <c r="K32" s="60"/>
      <c r="L32" s="61"/>
      <c r="M32" s="62">
        <f>SUM(M19:M31)</f>
        <v>7663.624488174816</v>
      </c>
      <c r="N32" s="63"/>
      <c r="O32" s="62">
        <f>SUM(O19:O31)</f>
        <v>0</v>
      </c>
      <c r="P32" s="63"/>
      <c r="Q32" s="62">
        <f>SUM(Q19:Q31)</f>
        <v>0</v>
      </c>
      <c r="R32" s="62">
        <f>SUM(R19:R31)</f>
        <v>9457.746506106198</v>
      </c>
    </row>
    <row r="33" spans="1:18" ht="15">
      <c r="A33" s="26"/>
      <c r="B33" s="53"/>
      <c r="C33" s="36"/>
      <c r="D33" s="37"/>
      <c r="E33" s="37"/>
      <c r="F33" s="37"/>
      <c r="G33" s="38"/>
      <c r="H33" s="12"/>
      <c r="I33" s="6"/>
      <c r="J33" s="13"/>
      <c r="K33" s="12"/>
      <c r="L33" s="6"/>
      <c r="M33" s="13"/>
      <c r="N33" s="19"/>
      <c r="O33" s="13"/>
      <c r="P33" s="19"/>
      <c r="Q33" s="13"/>
      <c r="R33" s="13"/>
    </row>
    <row r="34" spans="1:18" ht="15">
      <c r="A34" s="26" t="s">
        <v>8</v>
      </c>
      <c r="B34" s="53">
        <v>2003</v>
      </c>
      <c r="C34" s="36" t="s">
        <v>39</v>
      </c>
      <c r="D34" s="37">
        <f>'Customer Count'!E17</f>
        <v>0</v>
      </c>
      <c r="E34" s="37">
        <v>1</v>
      </c>
      <c r="F34" s="37">
        <f>'Monthly Volumes'!D40</f>
        <v>0</v>
      </c>
      <c r="G34" s="38"/>
      <c r="H34" s="12"/>
      <c r="I34" s="6"/>
      <c r="J34" s="13">
        <f>D34*E34*H34+(F34+G34)*I34</f>
        <v>0</v>
      </c>
      <c r="K34" s="12"/>
      <c r="L34" s="6"/>
      <c r="M34" s="13">
        <f>D34*E34*K34+(F34+G34)*L34</f>
        <v>0</v>
      </c>
      <c r="N34" s="19"/>
      <c r="O34" s="13">
        <f>(F34+G34)*N34</f>
        <v>0</v>
      </c>
      <c r="P34" s="19">
        <v>0</v>
      </c>
      <c r="Q34" s="13">
        <f>(F34+G34)*P34</f>
        <v>0</v>
      </c>
      <c r="R34" s="13">
        <f>J34+M34+O34+Q34</f>
        <v>0</v>
      </c>
    </row>
    <row r="35" spans="1:18" ht="15">
      <c r="A35" s="26" t="s">
        <v>8</v>
      </c>
      <c r="B35" s="53">
        <v>2003</v>
      </c>
      <c r="C35" s="36" t="s">
        <v>40</v>
      </c>
      <c r="D35" s="37">
        <f>'Customer Count'!E18</f>
        <v>0</v>
      </c>
      <c r="E35" s="37">
        <v>1</v>
      </c>
      <c r="F35" s="37">
        <f>'Monthly Volumes'!D41</f>
        <v>0</v>
      </c>
      <c r="G35" s="38"/>
      <c r="H35" s="12"/>
      <c r="I35" s="6"/>
      <c r="J35" s="13">
        <f aca="true" t="shared" si="10" ref="J35:J45">D35*E35*H35+(F35+G35)*I35</f>
        <v>0</v>
      </c>
      <c r="K35" s="12"/>
      <c r="L35" s="6"/>
      <c r="M35" s="13">
        <f aca="true" t="shared" si="11" ref="M35:M45">D35*E35*K35+(F35+G35)*L35</f>
        <v>0</v>
      </c>
      <c r="N35" s="19"/>
      <c r="O35" s="13">
        <f aca="true" t="shared" si="12" ref="O35:O45">(F35+G35)*N35</f>
        <v>0</v>
      </c>
      <c r="P35" s="19">
        <v>0</v>
      </c>
      <c r="Q35" s="13">
        <f aca="true" t="shared" si="13" ref="Q35:Q45">(F35+G35)*P35</f>
        <v>0</v>
      </c>
      <c r="R35" s="13">
        <f aca="true" t="shared" si="14" ref="R35:R45">J35+M35+O35+Q35</f>
        <v>0</v>
      </c>
    </row>
    <row r="36" spans="1:18" ht="15">
      <c r="A36" s="26" t="s">
        <v>8</v>
      </c>
      <c r="B36" s="53">
        <v>2003</v>
      </c>
      <c r="C36" s="36" t="s">
        <v>41</v>
      </c>
      <c r="D36" s="37">
        <f>'Customer Count'!E19</f>
        <v>0</v>
      </c>
      <c r="E36" s="37">
        <v>1</v>
      </c>
      <c r="F36" s="37">
        <f>'Monthly Volumes'!D42</f>
        <v>0</v>
      </c>
      <c r="G36" s="38"/>
      <c r="H36" s="12"/>
      <c r="I36" s="6"/>
      <c r="J36" s="13">
        <f t="shared" si="10"/>
        <v>0</v>
      </c>
      <c r="K36" s="12"/>
      <c r="L36" s="6"/>
      <c r="M36" s="13">
        <f t="shared" si="11"/>
        <v>0</v>
      </c>
      <c r="N36" s="19"/>
      <c r="O36" s="13">
        <f t="shared" si="12"/>
        <v>0</v>
      </c>
      <c r="P36" s="19">
        <v>0</v>
      </c>
      <c r="Q36" s="13">
        <f t="shared" si="13"/>
        <v>0</v>
      </c>
      <c r="R36" s="13">
        <f t="shared" si="14"/>
        <v>0</v>
      </c>
    </row>
    <row r="37" spans="1:18" ht="15">
      <c r="A37" s="26" t="s">
        <v>8</v>
      </c>
      <c r="B37" s="53">
        <v>2003</v>
      </c>
      <c r="C37" s="36" t="s">
        <v>42</v>
      </c>
      <c r="D37" s="37">
        <f>'Customer Count'!E20</f>
        <v>0</v>
      </c>
      <c r="E37" s="37">
        <v>1</v>
      </c>
      <c r="F37" s="37">
        <f>'Monthly Volumes'!D43</f>
        <v>0</v>
      </c>
      <c r="G37" s="38"/>
      <c r="H37" s="12"/>
      <c r="I37" s="6"/>
      <c r="J37" s="13">
        <f t="shared" si="10"/>
        <v>0</v>
      </c>
      <c r="K37" s="12"/>
      <c r="L37" s="6"/>
      <c r="M37" s="13">
        <f t="shared" si="11"/>
        <v>0</v>
      </c>
      <c r="N37" s="19"/>
      <c r="O37" s="13">
        <f t="shared" si="12"/>
        <v>0</v>
      </c>
      <c r="P37" s="19">
        <v>0</v>
      </c>
      <c r="Q37" s="13">
        <f t="shared" si="13"/>
        <v>0</v>
      </c>
      <c r="R37" s="13">
        <f t="shared" si="14"/>
        <v>0</v>
      </c>
    </row>
    <row r="38" spans="1:18" ht="15">
      <c r="A38" s="26" t="s">
        <v>8</v>
      </c>
      <c r="B38" s="53">
        <v>2003</v>
      </c>
      <c r="C38" s="36" t="s">
        <v>35</v>
      </c>
      <c r="D38" s="37">
        <f>'Customer Count'!E21</f>
        <v>0</v>
      </c>
      <c r="E38" s="37">
        <v>1</v>
      </c>
      <c r="F38" s="37">
        <f>'Monthly Volumes'!D44</f>
        <v>0</v>
      </c>
      <c r="G38" s="38"/>
      <c r="H38" s="12"/>
      <c r="I38" s="6"/>
      <c r="J38" s="13">
        <f t="shared" si="10"/>
        <v>0</v>
      </c>
      <c r="K38" s="12"/>
      <c r="L38" s="6"/>
      <c r="M38" s="13">
        <f t="shared" si="11"/>
        <v>0</v>
      </c>
      <c r="N38" s="19"/>
      <c r="O38" s="13">
        <f t="shared" si="12"/>
        <v>0</v>
      </c>
      <c r="P38" s="19">
        <v>0</v>
      </c>
      <c r="Q38" s="13">
        <f t="shared" si="13"/>
        <v>0</v>
      </c>
      <c r="R38" s="13">
        <f t="shared" si="14"/>
        <v>0</v>
      </c>
    </row>
    <row r="39" spans="1:18" ht="15">
      <c r="A39" s="26" t="s">
        <v>8</v>
      </c>
      <c r="B39" s="53">
        <v>2003</v>
      </c>
      <c r="C39" s="36" t="s">
        <v>43</v>
      </c>
      <c r="D39" s="37">
        <f>'Customer Count'!E22</f>
        <v>0</v>
      </c>
      <c r="E39" s="37">
        <v>1</v>
      </c>
      <c r="F39" s="37">
        <f>'Monthly Volumes'!D45</f>
        <v>0</v>
      </c>
      <c r="G39" s="38"/>
      <c r="H39" s="12"/>
      <c r="I39" s="6"/>
      <c r="J39" s="13">
        <f t="shared" si="10"/>
        <v>0</v>
      </c>
      <c r="K39" s="12"/>
      <c r="L39" s="6"/>
      <c r="M39" s="13">
        <f t="shared" si="11"/>
        <v>0</v>
      </c>
      <c r="N39" s="19"/>
      <c r="O39" s="13">
        <f t="shared" si="12"/>
        <v>0</v>
      </c>
      <c r="P39" s="19">
        <v>0</v>
      </c>
      <c r="Q39" s="13">
        <f t="shared" si="13"/>
        <v>0</v>
      </c>
      <c r="R39" s="13">
        <f t="shared" si="14"/>
        <v>0</v>
      </c>
    </row>
    <row r="40" spans="1:18" ht="15">
      <c r="A40" s="26" t="s">
        <v>8</v>
      </c>
      <c r="B40" s="53">
        <v>2003</v>
      </c>
      <c r="C40" s="36" t="s">
        <v>44</v>
      </c>
      <c r="D40" s="37">
        <f>'Customer Count'!E23</f>
        <v>0</v>
      </c>
      <c r="E40" s="37">
        <v>1</v>
      </c>
      <c r="F40" s="37">
        <f>'Monthly Volumes'!D46</f>
        <v>0</v>
      </c>
      <c r="G40" s="38"/>
      <c r="H40" s="12"/>
      <c r="I40" s="6"/>
      <c r="J40" s="13">
        <f t="shared" si="10"/>
        <v>0</v>
      </c>
      <c r="K40" s="12"/>
      <c r="L40" s="6"/>
      <c r="M40" s="13">
        <f t="shared" si="11"/>
        <v>0</v>
      </c>
      <c r="N40" s="19"/>
      <c r="O40" s="13">
        <f t="shared" si="12"/>
        <v>0</v>
      </c>
      <c r="P40" s="19">
        <v>0</v>
      </c>
      <c r="Q40" s="13">
        <f t="shared" si="13"/>
        <v>0</v>
      </c>
      <c r="R40" s="13">
        <f t="shared" si="14"/>
        <v>0</v>
      </c>
    </row>
    <row r="41" spans="1:18" ht="15">
      <c r="A41" s="26" t="s">
        <v>8</v>
      </c>
      <c r="B41" s="53">
        <v>2003</v>
      </c>
      <c r="C41" s="36" t="s">
        <v>45</v>
      </c>
      <c r="D41" s="37">
        <f>'Customer Count'!E24</f>
        <v>0</v>
      </c>
      <c r="E41" s="37">
        <v>1</v>
      </c>
      <c r="F41" s="37">
        <f>'Monthly Volumes'!D47</f>
        <v>0</v>
      </c>
      <c r="G41" s="38"/>
      <c r="H41" s="12"/>
      <c r="I41" s="6"/>
      <c r="J41" s="13">
        <f t="shared" si="10"/>
        <v>0</v>
      </c>
      <c r="K41" s="12"/>
      <c r="L41" s="6"/>
      <c r="M41" s="13">
        <f t="shared" si="11"/>
        <v>0</v>
      </c>
      <c r="N41" s="19"/>
      <c r="O41" s="13">
        <f t="shared" si="12"/>
        <v>0</v>
      </c>
      <c r="P41" s="19">
        <v>0</v>
      </c>
      <c r="Q41" s="13">
        <f t="shared" si="13"/>
        <v>0</v>
      </c>
      <c r="R41" s="13">
        <f t="shared" si="14"/>
        <v>0</v>
      </c>
    </row>
    <row r="42" spans="1:18" ht="15">
      <c r="A42" s="26" t="s">
        <v>8</v>
      </c>
      <c r="B42" s="53">
        <v>2003</v>
      </c>
      <c r="C42" s="36" t="s">
        <v>46</v>
      </c>
      <c r="D42" s="37">
        <f>'Customer Count'!E25</f>
        <v>0</v>
      </c>
      <c r="E42" s="37">
        <v>1</v>
      </c>
      <c r="F42" s="37">
        <f>'Monthly Volumes'!D48</f>
        <v>0</v>
      </c>
      <c r="G42" s="38"/>
      <c r="H42" s="12"/>
      <c r="I42" s="6"/>
      <c r="J42" s="13">
        <f t="shared" si="10"/>
        <v>0</v>
      </c>
      <c r="K42" s="12"/>
      <c r="L42" s="6"/>
      <c r="M42" s="13">
        <f t="shared" si="11"/>
        <v>0</v>
      </c>
      <c r="N42" s="19"/>
      <c r="O42" s="13">
        <f t="shared" si="12"/>
        <v>0</v>
      </c>
      <c r="P42" s="19">
        <v>0</v>
      </c>
      <c r="Q42" s="13">
        <f t="shared" si="13"/>
        <v>0</v>
      </c>
      <c r="R42" s="13">
        <f t="shared" si="14"/>
        <v>0</v>
      </c>
    </row>
    <row r="43" spans="1:18" ht="15">
      <c r="A43" s="26" t="s">
        <v>8</v>
      </c>
      <c r="B43" s="53">
        <v>2003</v>
      </c>
      <c r="C43" s="36" t="s">
        <v>47</v>
      </c>
      <c r="D43" s="37">
        <f>'Customer Count'!E26</f>
        <v>0</v>
      </c>
      <c r="E43" s="37">
        <v>1</v>
      </c>
      <c r="F43" s="37">
        <f>'Monthly Volumes'!D49</f>
        <v>0</v>
      </c>
      <c r="G43" s="38"/>
      <c r="H43" s="12"/>
      <c r="I43" s="6"/>
      <c r="J43" s="13">
        <f t="shared" si="10"/>
        <v>0</v>
      </c>
      <c r="K43" s="12"/>
      <c r="L43" s="6"/>
      <c r="M43" s="13">
        <f t="shared" si="11"/>
        <v>0</v>
      </c>
      <c r="N43" s="19"/>
      <c r="O43" s="13">
        <f t="shared" si="12"/>
        <v>0</v>
      </c>
      <c r="P43" s="19">
        <v>0</v>
      </c>
      <c r="Q43" s="13">
        <f t="shared" si="13"/>
        <v>0</v>
      </c>
      <c r="R43" s="13">
        <f t="shared" si="14"/>
        <v>0</v>
      </c>
    </row>
    <row r="44" spans="1:18" ht="15">
      <c r="A44" s="26" t="s">
        <v>8</v>
      </c>
      <c r="B44" s="53">
        <v>2003</v>
      </c>
      <c r="C44" s="36" t="s">
        <v>48</v>
      </c>
      <c r="D44" s="37">
        <f>'Customer Count'!E27</f>
        <v>0</v>
      </c>
      <c r="E44" s="37">
        <v>1</v>
      </c>
      <c r="F44" s="37">
        <f>'Monthly Volumes'!D50</f>
        <v>0</v>
      </c>
      <c r="G44" s="38"/>
      <c r="H44" s="12"/>
      <c r="I44" s="6"/>
      <c r="J44" s="13">
        <f t="shared" si="10"/>
        <v>0</v>
      </c>
      <c r="K44" s="12"/>
      <c r="L44" s="6"/>
      <c r="M44" s="13">
        <f t="shared" si="11"/>
        <v>0</v>
      </c>
      <c r="N44" s="19"/>
      <c r="O44" s="13">
        <f t="shared" si="12"/>
        <v>0</v>
      </c>
      <c r="P44" s="19">
        <v>0</v>
      </c>
      <c r="Q44" s="13">
        <f t="shared" si="13"/>
        <v>0</v>
      </c>
      <c r="R44" s="13">
        <f t="shared" si="14"/>
        <v>0</v>
      </c>
    </row>
    <row r="45" spans="1:18" ht="15">
      <c r="A45" s="26" t="s">
        <v>8</v>
      </c>
      <c r="B45" s="53">
        <v>2003</v>
      </c>
      <c r="C45" s="36" t="s">
        <v>49</v>
      </c>
      <c r="D45" s="37">
        <f>'Customer Count'!E28</f>
        <v>0</v>
      </c>
      <c r="E45" s="37">
        <v>1</v>
      </c>
      <c r="F45" s="37">
        <f>'Monthly Volumes'!D51</f>
        <v>0</v>
      </c>
      <c r="G45" s="38"/>
      <c r="H45" s="12"/>
      <c r="I45" s="6"/>
      <c r="J45" s="13">
        <f t="shared" si="10"/>
        <v>0</v>
      </c>
      <c r="K45" s="12"/>
      <c r="L45" s="6"/>
      <c r="M45" s="13">
        <f t="shared" si="11"/>
        <v>0</v>
      </c>
      <c r="N45" s="19"/>
      <c r="O45" s="13">
        <f t="shared" si="12"/>
        <v>0</v>
      </c>
      <c r="P45" s="19">
        <v>0</v>
      </c>
      <c r="Q45" s="13">
        <f t="shared" si="13"/>
        <v>0</v>
      </c>
      <c r="R45" s="13">
        <f t="shared" si="14"/>
        <v>0</v>
      </c>
    </row>
    <row r="46" spans="1:18" ht="15.75" thickBot="1">
      <c r="A46" s="26"/>
      <c r="B46" s="53"/>
      <c r="C46" s="36"/>
      <c r="D46" s="37"/>
      <c r="E46" s="37"/>
      <c r="F46" s="37"/>
      <c r="G46" s="38"/>
      <c r="H46" s="12"/>
      <c r="I46" s="6"/>
      <c r="J46" s="13"/>
      <c r="K46" s="12"/>
      <c r="L46" s="6"/>
      <c r="M46" s="13"/>
      <c r="N46" s="19"/>
      <c r="O46" s="13"/>
      <c r="P46" s="19"/>
      <c r="Q46" s="13"/>
      <c r="R46" s="13"/>
    </row>
    <row r="47" spans="1:18" ht="15.75" thickBot="1">
      <c r="A47" s="55" t="s">
        <v>60</v>
      </c>
      <c r="B47" s="56"/>
      <c r="C47" s="57"/>
      <c r="D47" s="58">
        <f>SUM(D34:D46)</f>
        <v>0</v>
      </c>
      <c r="E47" s="58"/>
      <c r="F47" s="58">
        <f>SUM(F34:F46)</f>
        <v>0</v>
      </c>
      <c r="G47" s="58">
        <f>SUM(G34:G46)</f>
        <v>0</v>
      </c>
      <c r="H47" s="60"/>
      <c r="I47" s="61"/>
      <c r="J47" s="62">
        <f>SUM(J34:J46)</f>
        <v>0</v>
      </c>
      <c r="K47" s="60"/>
      <c r="L47" s="61"/>
      <c r="M47" s="62">
        <f>SUM(M34:M46)</f>
        <v>0</v>
      </c>
      <c r="N47" s="63"/>
      <c r="O47" s="62">
        <f>SUM(O34:O46)</f>
        <v>0</v>
      </c>
      <c r="P47" s="63"/>
      <c r="Q47" s="62">
        <f>SUM(Q34:Q46)</f>
        <v>0</v>
      </c>
      <c r="R47" s="62">
        <f>SUM(R34:R46)</f>
        <v>0</v>
      </c>
    </row>
    <row r="48" spans="1:18" ht="15">
      <c r="A48" s="26"/>
      <c r="B48" s="53"/>
      <c r="C48" s="36"/>
      <c r="D48" s="37"/>
      <c r="E48" s="37"/>
      <c r="F48" s="37"/>
      <c r="G48" s="54"/>
      <c r="H48" s="12"/>
      <c r="I48" s="6"/>
      <c r="J48" s="13"/>
      <c r="K48" s="12"/>
      <c r="L48" s="6"/>
      <c r="M48" s="13"/>
      <c r="N48" s="19"/>
      <c r="O48" s="13"/>
      <c r="P48" s="19"/>
      <c r="Q48" s="13"/>
      <c r="R48" s="13"/>
    </row>
    <row r="49" spans="1:18" ht="15">
      <c r="A49" s="26" t="s">
        <v>2</v>
      </c>
      <c r="B49" s="53">
        <v>2003</v>
      </c>
      <c r="C49" s="36" t="s">
        <v>39</v>
      </c>
      <c r="D49" s="37">
        <f>'Customer Count'!F17</f>
        <v>21.5</v>
      </c>
      <c r="E49" s="37">
        <v>1</v>
      </c>
      <c r="F49" s="39"/>
      <c r="G49" s="40">
        <f>'Monthly Volumes'!M4</f>
        <v>1725.675</v>
      </c>
      <c r="H49" s="12">
        <f>'2002  PILS Recoveries'!H42</f>
        <v>0.653445326530753</v>
      </c>
      <c r="I49" s="6">
        <f>'2002  PILS Recoveries'!I42</f>
        <v>0.0014104393614148571</v>
      </c>
      <c r="J49" s="13">
        <f>D49*E49*H49+(F49+G49)*I49</f>
        <v>16.483034465420776</v>
      </c>
      <c r="K49" s="12">
        <f>'2002  PILS Recoveries'!K42</f>
        <v>2.7912034722467767</v>
      </c>
      <c r="L49" s="6">
        <f>'2002  PILS Recoveries'!L42</f>
        <v>0.006024717115777546</v>
      </c>
      <c r="M49" s="13">
        <f>D49*E49*K49+(F49+G49)*L49</f>
        <v>70.40757836207511</v>
      </c>
      <c r="N49" s="19"/>
      <c r="O49" s="13">
        <f>(F49+G49)*N49</f>
        <v>0</v>
      </c>
      <c r="P49" s="19">
        <v>0</v>
      </c>
      <c r="Q49" s="13">
        <f>(F49+G49)*P49</f>
        <v>0</v>
      </c>
      <c r="R49" s="13">
        <f>J49+M49+O49+Q49</f>
        <v>86.89061282749589</v>
      </c>
    </row>
    <row r="50" spans="1:18" ht="15">
      <c r="A50" s="26" t="s">
        <v>2</v>
      </c>
      <c r="B50" s="53">
        <v>2003</v>
      </c>
      <c r="C50" s="36" t="s">
        <v>40</v>
      </c>
      <c r="D50" s="37">
        <f>'Customer Count'!F18</f>
        <v>21.5</v>
      </c>
      <c r="E50" s="37">
        <v>1</v>
      </c>
      <c r="F50" s="39"/>
      <c r="G50" s="40">
        <f>'Monthly Volumes'!M5</f>
        <v>1725.675</v>
      </c>
      <c r="H50" s="12">
        <f>'2002  PILS Recoveries'!H43</f>
        <v>0.653445326530753</v>
      </c>
      <c r="I50" s="6">
        <f>'2002  PILS Recoveries'!I43</f>
        <v>0.0014104393614148571</v>
      </c>
      <c r="J50" s="13">
        <f aca="true" t="shared" si="15" ref="J50:J60">D50*E50*H50+(F50+G50)*I50</f>
        <v>16.483034465420776</v>
      </c>
      <c r="K50" s="12">
        <f>'2002  PILS Recoveries'!K43</f>
        <v>2.7912034722467767</v>
      </c>
      <c r="L50" s="6">
        <f>'2002  PILS Recoveries'!L43</f>
        <v>0.006024717115777546</v>
      </c>
      <c r="M50" s="13">
        <f aca="true" t="shared" si="16" ref="M50:M60">D50*E50*K50+(F50+G50)*L50</f>
        <v>70.40757836207511</v>
      </c>
      <c r="N50" s="19"/>
      <c r="O50" s="13">
        <f aca="true" t="shared" si="17" ref="O50:O60">(F50+G50)*N50</f>
        <v>0</v>
      </c>
      <c r="P50" s="19">
        <v>0</v>
      </c>
      <c r="Q50" s="13">
        <f aca="true" t="shared" si="18" ref="Q50:Q60">(F50+G50)*P50</f>
        <v>0</v>
      </c>
      <c r="R50" s="13">
        <f aca="true" t="shared" si="19" ref="R50:R60">J50+M50+O50+Q50</f>
        <v>86.89061282749589</v>
      </c>
    </row>
    <row r="51" spans="1:18" ht="15">
      <c r="A51" s="26" t="s">
        <v>2</v>
      </c>
      <c r="B51" s="53">
        <v>2003</v>
      </c>
      <c r="C51" s="36" t="s">
        <v>41</v>
      </c>
      <c r="D51" s="37">
        <f>'Customer Count'!F19</f>
        <v>21.5</v>
      </c>
      <c r="E51" s="37">
        <v>1</v>
      </c>
      <c r="F51" s="39"/>
      <c r="G51" s="40">
        <f>'Monthly Volumes'!M6</f>
        <v>1725.675</v>
      </c>
      <c r="H51" s="12">
        <f>'2002  PILS Recoveries'!H44</f>
        <v>0.653445326530753</v>
      </c>
      <c r="I51" s="6">
        <f>'2002  PILS Recoveries'!I44</f>
        <v>0.0014104393614148571</v>
      </c>
      <c r="J51" s="13">
        <f t="shared" si="15"/>
        <v>16.483034465420776</v>
      </c>
      <c r="K51" s="12">
        <f>'2002  PILS Recoveries'!K44</f>
        <v>2.7912034722467767</v>
      </c>
      <c r="L51" s="6">
        <f>'2002  PILS Recoveries'!L44</f>
        <v>0.006024717115777546</v>
      </c>
      <c r="M51" s="13">
        <f t="shared" si="16"/>
        <v>70.40757836207511</v>
      </c>
      <c r="N51" s="19"/>
      <c r="O51" s="13">
        <f t="shared" si="17"/>
        <v>0</v>
      </c>
      <c r="P51" s="19">
        <v>0</v>
      </c>
      <c r="Q51" s="13">
        <f t="shared" si="18"/>
        <v>0</v>
      </c>
      <c r="R51" s="13">
        <f t="shared" si="19"/>
        <v>86.89061282749589</v>
      </c>
    </row>
    <row r="52" spans="1:18" ht="15">
      <c r="A52" s="26" t="s">
        <v>2</v>
      </c>
      <c r="B52" s="53">
        <v>2003</v>
      </c>
      <c r="C52" s="36" t="s">
        <v>42</v>
      </c>
      <c r="D52" s="37">
        <f>'Customer Count'!F20</f>
        <v>21.5</v>
      </c>
      <c r="E52" s="37">
        <v>1</v>
      </c>
      <c r="F52" s="39"/>
      <c r="G52" s="40">
        <f>'Monthly Volumes'!M7</f>
        <v>1725.675</v>
      </c>
      <c r="H52" s="12">
        <f>'2002  PILS Recoveries'!H45</f>
        <v>0.653445326530753</v>
      </c>
      <c r="I52" s="6">
        <f>'2002  PILS Recoveries'!I45</f>
        <v>0.0014104393614148571</v>
      </c>
      <c r="J52" s="13">
        <f t="shared" si="15"/>
        <v>16.483034465420776</v>
      </c>
      <c r="K52" s="12">
        <f>'2002  PILS Recoveries'!K45</f>
        <v>2.7912034722467767</v>
      </c>
      <c r="L52" s="6">
        <f>'2002  PILS Recoveries'!L45</f>
        <v>0.006024717115777546</v>
      </c>
      <c r="M52" s="13">
        <f t="shared" si="16"/>
        <v>70.40757836207511</v>
      </c>
      <c r="N52" s="19"/>
      <c r="O52" s="13">
        <f t="shared" si="17"/>
        <v>0</v>
      </c>
      <c r="P52" s="19">
        <v>0</v>
      </c>
      <c r="Q52" s="13">
        <f t="shared" si="18"/>
        <v>0</v>
      </c>
      <c r="R52" s="13">
        <f t="shared" si="19"/>
        <v>86.89061282749589</v>
      </c>
    </row>
    <row r="53" spans="1:18" ht="15">
      <c r="A53" s="26" t="s">
        <v>2</v>
      </c>
      <c r="B53" s="53">
        <v>2003</v>
      </c>
      <c r="C53" s="36" t="s">
        <v>35</v>
      </c>
      <c r="D53" s="37">
        <f>'Customer Count'!F21</f>
        <v>21.5</v>
      </c>
      <c r="E53" s="37">
        <v>1</v>
      </c>
      <c r="F53" s="39"/>
      <c r="G53" s="40">
        <f>'Monthly Volumes'!M8</f>
        <v>1725.675</v>
      </c>
      <c r="H53" s="12">
        <f>'2002  PILS Recoveries'!H46</f>
        <v>0.653445326530753</v>
      </c>
      <c r="I53" s="6">
        <f>'2002  PILS Recoveries'!I46</f>
        <v>0.0014104393614148571</v>
      </c>
      <c r="J53" s="13">
        <f t="shared" si="15"/>
        <v>16.483034465420776</v>
      </c>
      <c r="K53" s="12">
        <f>'2002  PILS Recoveries'!K46</f>
        <v>2.7912034722467767</v>
      </c>
      <c r="L53" s="6">
        <f>'2002  PILS Recoveries'!L46</f>
        <v>0.006024717115777546</v>
      </c>
      <c r="M53" s="13">
        <f t="shared" si="16"/>
        <v>70.40757836207511</v>
      </c>
      <c r="N53" s="19"/>
      <c r="O53" s="13">
        <f t="shared" si="17"/>
        <v>0</v>
      </c>
      <c r="P53" s="19">
        <v>0</v>
      </c>
      <c r="Q53" s="13">
        <f t="shared" si="18"/>
        <v>0</v>
      </c>
      <c r="R53" s="13">
        <f t="shared" si="19"/>
        <v>86.89061282749589</v>
      </c>
    </row>
    <row r="54" spans="1:18" ht="15">
      <c r="A54" s="26" t="s">
        <v>2</v>
      </c>
      <c r="B54" s="53">
        <v>2003</v>
      </c>
      <c r="C54" s="36" t="s">
        <v>43</v>
      </c>
      <c r="D54" s="37">
        <f>'Customer Count'!F22</f>
        <v>21.5</v>
      </c>
      <c r="E54" s="37">
        <v>1</v>
      </c>
      <c r="F54" s="39"/>
      <c r="G54" s="40">
        <f>'Monthly Volumes'!M9</f>
        <v>1725.675</v>
      </c>
      <c r="H54" s="12">
        <f>'2002  PILS Recoveries'!H47</f>
        <v>0.653445326530753</v>
      </c>
      <c r="I54" s="6">
        <f>'2002  PILS Recoveries'!I47</f>
        <v>0.0014104393614148571</v>
      </c>
      <c r="J54" s="13">
        <f t="shared" si="15"/>
        <v>16.483034465420776</v>
      </c>
      <c r="K54" s="12">
        <f>'2002  PILS Recoveries'!K47</f>
        <v>2.7912034722467767</v>
      </c>
      <c r="L54" s="6">
        <f>'2002  PILS Recoveries'!L47</f>
        <v>0.006024717115777546</v>
      </c>
      <c r="M54" s="13">
        <f t="shared" si="16"/>
        <v>70.40757836207511</v>
      </c>
      <c r="N54" s="19"/>
      <c r="O54" s="13">
        <f t="shared" si="17"/>
        <v>0</v>
      </c>
      <c r="P54" s="19">
        <v>0</v>
      </c>
      <c r="Q54" s="13">
        <f t="shared" si="18"/>
        <v>0</v>
      </c>
      <c r="R54" s="13">
        <f t="shared" si="19"/>
        <v>86.89061282749589</v>
      </c>
    </row>
    <row r="55" spans="1:18" ht="15">
      <c r="A55" s="26" t="s">
        <v>2</v>
      </c>
      <c r="B55" s="53">
        <v>2003</v>
      </c>
      <c r="C55" s="36" t="s">
        <v>44</v>
      </c>
      <c r="D55" s="37">
        <f>'Customer Count'!F23</f>
        <v>21.5</v>
      </c>
      <c r="E55" s="37">
        <v>1</v>
      </c>
      <c r="F55" s="39"/>
      <c r="G55" s="40">
        <f>'Monthly Volumes'!M10</f>
        <v>1725.675</v>
      </c>
      <c r="H55" s="12">
        <f>'2002  PILS Recoveries'!H48</f>
        <v>0.653445326530753</v>
      </c>
      <c r="I55" s="6">
        <f>'2002  PILS Recoveries'!I48</f>
        <v>0.0014104393614148571</v>
      </c>
      <c r="J55" s="13">
        <f t="shared" si="15"/>
        <v>16.483034465420776</v>
      </c>
      <c r="K55" s="12">
        <f>'2002  PILS Recoveries'!K48</f>
        <v>2.7912034722467767</v>
      </c>
      <c r="L55" s="6">
        <f>'2002  PILS Recoveries'!L48</f>
        <v>0.006024717115777546</v>
      </c>
      <c r="M55" s="13">
        <f t="shared" si="16"/>
        <v>70.40757836207511</v>
      </c>
      <c r="N55" s="19"/>
      <c r="O55" s="13">
        <f t="shared" si="17"/>
        <v>0</v>
      </c>
      <c r="P55" s="19">
        <v>0</v>
      </c>
      <c r="Q55" s="13">
        <f t="shared" si="18"/>
        <v>0</v>
      </c>
      <c r="R55" s="13">
        <f t="shared" si="19"/>
        <v>86.89061282749589</v>
      </c>
    </row>
    <row r="56" spans="1:18" ht="15">
      <c r="A56" s="26" t="s">
        <v>2</v>
      </c>
      <c r="B56" s="53">
        <v>2003</v>
      </c>
      <c r="C56" s="36" t="s">
        <v>45</v>
      </c>
      <c r="D56" s="37">
        <f>'Customer Count'!F24</f>
        <v>21.5</v>
      </c>
      <c r="E56" s="37">
        <v>1</v>
      </c>
      <c r="F56" s="39"/>
      <c r="G56" s="40">
        <f>'Monthly Volumes'!M11</f>
        <v>1725.675</v>
      </c>
      <c r="H56" s="12">
        <f>'2002  PILS Recoveries'!H49</f>
        <v>0.653445326530753</v>
      </c>
      <c r="I56" s="6">
        <f>'2002  PILS Recoveries'!I49</f>
        <v>0.0014104393614148571</v>
      </c>
      <c r="J56" s="13">
        <f t="shared" si="15"/>
        <v>16.483034465420776</v>
      </c>
      <c r="K56" s="12">
        <f>'2002  PILS Recoveries'!K49</f>
        <v>2.7912034722467767</v>
      </c>
      <c r="L56" s="6">
        <f>'2002  PILS Recoveries'!L49</f>
        <v>0.006024717115777546</v>
      </c>
      <c r="M56" s="13">
        <f t="shared" si="16"/>
        <v>70.40757836207511</v>
      </c>
      <c r="N56" s="19"/>
      <c r="O56" s="13">
        <f t="shared" si="17"/>
        <v>0</v>
      </c>
      <c r="P56" s="19">
        <v>0</v>
      </c>
      <c r="Q56" s="13">
        <f t="shared" si="18"/>
        <v>0</v>
      </c>
      <c r="R56" s="13">
        <f t="shared" si="19"/>
        <v>86.89061282749589</v>
      </c>
    </row>
    <row r="57" spans="1:18" ht="15">
      <c r="A57" s="26" t="s">
        <v>2</v>
      </c>
      <c r="B57" s="53">
        <v>2003</v>
      </c>
      <c r="C57" s="36" t="s">
        <v>46</v>
      </c>
      <c r="D57" s="37">
        <f>'Customer Count'!F25</f>
        <v>21.5</v>
      </c>
      <c r="E57" s="37">
        <v>1</v>
      </c>
      <c r="F57" s="39"/>
      <c r="G57" s="40">
        <f>'Monthly Volumes'!M12</f>
        <v>1725.675</v>
      </c>
      <c r="H57" s="12">
        <f>'2002  PILS Recoveries'!H50</f>
        <v>0.653445326530753</v>
      </c>
      <c r="I57" s="6">
        <f>'2002  PILS Recoveries'!I50</f>
        <v>0.0014104393614148571</v>
      </c>
      <c r="J57" s="13">
        <f t="shared" si="15"/>
        <v>16.483034465420776</v>
      </c>
      <c r="K57" s="12">
        <f>'2002  PILS Recoveries'!K50</f>
        <v>2.7912034722467767</v>
      </c>
      <c r="L57" s="6">
        <f>'2002  PILS Recoveries'!L50</f>
        <v>0.006024717115777546</v>
      </c>
      <c r="M57" s="13">
        <f t="shared" si="16"/>
        <v>70.40757836207511</v>
      </c>
      <c r="N57" s="19"/>
      <c r="O57" s="13">
        <f t="shared" si="17"/>
        <v>0</v>
      </c>
      <c r="P57" s="19">
        <v>0</v>
      </c>
      <c r="Q57" s="13">
        <f t="shared" si="18"/>
        <v>0</v>
      </c>
      <c r="R57" s="13">
        <f t="shared" si="19"/>
        <v>86.89061282749589</v>
      </c>
    </row>
    <row r="58" spans="1:18" ht="15">
      <c r="A58" s="26" t="s">
        <v>2</v>
      </c>
      <c r="B58" s="53">
        <v>2003</v>
      </c>
      <c r="C58" s="36" t="s">
        <v>47</v>
      </c>
      <c r="D58" s="37">
        <f>'Customer Count'!F26</f>
        <v>21.5</v>
      </c>
      <c r="E58" s="37">
        <v>1</v>
      </c>
      <c r="F58" s="39"/>
      <c r="G58" s="40">
        <f>'Monthly Volumes'!M13</f>
        <v>1725.675</v>
      </c>
      <c r="H58" s="12">
        <f>'2002  PILS Recoveries'!H51</f>
        <v>0.653445326530753</v>
      </c>
      <c r="I58" s="6">
        <f>'2002  PILS Recoveries'!I51</f>
        <v>0.0014104393614148571</v>
      </c>
      <c r="J58" s="13">
        <f t="shared" si="15"/>
        <v>16.483034465420776</v>
      </c>
      <c r="K58" s="12">
        <f>'2002  PILS Recoveries'!K51</f>
        <v>2.7912034722467767</v>
      </c>
      <c r="L58" s="6">
        <f>'2002  PILS Recoveries'!L51</f>
        <v>0.006024717115777546</v>
      </c>
      <c r="M58" s="13">
        <f t="shared" si="16"/>
        <v>70.40757836207511</v>
      </c>
      <c r="N58" s="19"/>
      <c r="O58" s="13">
        <f t="shared" si="17"/>
        <v>0</v>
      </c>
      <c r="P58" s="19">
        <v>0</v>
      </c>
      <c r="Q58" s="13">
        <f t="shared" si="18"/>
        <v>0</v>
      </c>
      <c r="R58" s="13">
        <f t="shared" si="19"/>
        <v>86.89061282749589</v>
      </c>
    </row>
    <row r="59" spans="1:18" ht="15">
      <c r="A59" s="26" t="s">
        <v>2</v>
      </c>
      <c r="B59" s="53">
        <v>2003</v>
      </c>
      <c r="C59" s="36" t="s">
        <v>48</v>
      </c>
      <c r="D59" s="37">
        <f>'Customer Count'!F27</f>
        <v>21.5</v>
      </c>
      <c r="E59" s="37">
        <v>1</v>
      </c>
      <c r="F59" s="39"/>
      <c r="G59" s="40">
        <f>'Monthly Volumes'!M14</f>
        <v>1725.675</v>
      </c>
      <c r="H59" s="12">
        <f>H58</f>
        <v>0.653445326530753</v>
      </c>
      <c r="I59" s="6">
        <f>I58</f>
        <v>0.0014104393614148571</v>
      </c>
      <c r="J59" s="13">
        <f t="shared" si="15"/>
        <v>16.483034465420776</v>
      </c>
      <c r="K59" s="12">
        <f>K58</f>
        <v>2.7912034722467767</v>
      </c>
      <c r="L59" s="6">
        <f>L58</f>
        <v>0.006024717115777546</v>
      </c>
      <c r="M59" s="13">
        <f t="shared" si="16"/>
        <v>70.40757836207511</v>
      </c>
      <c r="N59" s="19"/>
      <c r="O59" s="13">
        <f t="shared" si="17"/>
        <v>0</v>
      </c>
      <c r="P59" s="19">
        <v>0</v>
      </c>
      <c r="Q59" s="13">
        <f t="shared" si="18"/>
        <v>0</v>
      </c>
      <c r="R59" s="13">
        <f t="shared" si="19"/>
        <v>86.89061282749589</v>
      </c>
    </row>
    <row r="60" spans="1:18" ht="15">
      <c r="A60" s="26" t="s">
        <v>2</v>
      </c>
      <c r="B60" s="53">
        <v>2003</v>
      </c>
      <c r="C60" s="36" t="s">
        <v>49</v>
      </c>
      <c r="D60" s="37">
        <f>'Customer Count'!F28</f>
        <v>21.5</v>
      </c>
      <c r="E60" s="37">
        <v>1</v>
      </c>
      <c r="F60" s="39"/>
      <c r="G60" s="40">
        <f>'Monthly Volumes'!M15</f>
        <v>1725.675</v>
      </c>
      <c r="H60" s="12">
        <f>H59</f>
        <v>0.653445326530753</v>
      </c>
      <c r="I60" s="6">
        <f>I59</f>
        <v>0.0014104393614148571</v>
      </c>
      <c r="J60" s="13">
        <f t="shared" si="15"/>
        <v>16.483034465420776</v>
      </c>
      <c r="K60" s="12">
        <f>K59</f>
        <v>2.7912034722467767</v>
      </c>
      <c r="L60" s="6">
        <f>L59</f>
        <v>0.006024717115777546</v>
      </c>
      <c r="M60" s="13">
        <f t="shared" si="16"/>
        <v>70.40757836207511</v>
      </c>
      <c r="N60" s="19"/>
      <c r="O60" s="13">
        <f t="shared" si="17"/>
        <v>0</v>
      </c>
      <c r="P60" s="19">
        <v>0</v>
      </c>
      <c r="Q60" s="13">
        <f t="shared" si="18"/>
        <v>0</v>
      </c>
      <c r="R60" s="13">
        <f t="shared" si="19"/>
        <v>86.89061282749589</v>
      </c>
    </row>
    <row r="61" spans="1:18" ht="16.5" customHeight="1" thickBot="1">
      <c r="A61" s="26"/>
      <c r="B61" s="53"/>
      <c r="C61" s="36"/>
      <c r="D61" s="37"/>
      <c r="E61" s="37"/>
      <c r="F61" s="39"/>
      <c r="G61" s="40"/>
      <c r="H61" s="12"/>
      <c r="I61" s="6"/>
      <c r="J61" s="13"/>
      <c r="K61" s="12"/>
      <c r="L61" s="6"/>
      <c r="M61" s="13"/>
      <c r="N61" s="19"/>
      <c r="O61" s="13"/>
      <c r="P61" s="19"/>
      <c r="Q61" s="13"/>
      <c r="R61" s="13"/>
    </row>
    <row r="62" spans="1:18" ht="15.75" thickBot="1">
      <c r="A62" s="55" t="s">
        <v>61</v>
      </c>
      <c r="B62" s="56"/>
      <c r="C62" s="57"/>
      <c r="D62" s="58">
        <f>SUM(D49:D61)</f>
        <v>258</v>
      </c>
      <c r="E62" s="58"/>
      <c r="F62" s="58">
        <f>SUM(F49:F61)</f>
        <v>0</v>
      </c>
      <c r="G62" s="58">
        <f>SUM(G49:G61)</f>
        <v>20708.099999999995</v>
      </c>
      <c r="H62" s="60"/>
      <c r="I62" s="61"/>
      <c r="J62" s="62">
        <f>SUM(J49:J61)</f>
        <v>197.79641358504935</v>
      </c>
      <c r="K62" s="60"/>
      <c r="L62" s="61"/>
      <c r="M62" s="62">
        <f>SUM(M49:M61)</f>
        <v>844.8909403449014</v>
      </c>
      <c r="N62" s="63"/>
      <c r="O62" s="62">
        <f>SUM(O49:O61)</f>
        <v>0</v>
      </c>
      <c r="P62" s="63"/>
      <c r="Q62" s="62">
        <f>SUM(Q49:Q61)</f>
        <v>0</v>
      </c>
      <c r="R62" s="62">
        <f>SUM(R49:R61)</f>
        <v>1042.6873539299509</v>
      </c>
    </row>
    <row r="63" spans="1:18" ht="15">
      <c r="A63" s="26"/>
      <c r="B63" s="53"/>
      <c r="C63" s="36"/>
      <c r="D63" s="37"/>
      <c r="E63" s="37"/>
      <c r="F63" s="39"/>
      <c r="G63" s="40"/>
      <c r="H63" s="12"/>
      <c r="I63" s="6"/>
      <c r="J63" s="13"/>
      <c r="K63" s="12"/>
      <c r="L63" s="6"/>
      <c r="M63" s="13"/>
      <c r="N63" s="19"/>
      <c r="O63" s="13"/>
      <c r="P63" s="19"/>
      <c r="Q63" s="13"/>
      <c r="R63" s="13"/>
    </row>
    <row r="64" spans="1:18" ht="15">
      <c r="A64" s="26" t="str">
        <f>'2002  PILS Recoveries'!A55</f>
        <v>Intermediate</v>
      </c>
      <c r="B64" s="53">
        <v>2003</v>
      </c>
      <c r="C64" s="36" t="s">
        <v>39</v>
      </c>
      <c r="D64" s="37">
        <f>'Customer Count'!G17</f>
        <v>1</v>
      </c>
      <c r="E64" s="37">
        <v>1</v>
      </c>
      <c r="F64" s="39"/>
      <c r="G64" s="40">
        <f>'Monthly Volumes'!M22</f>
        <v>3041.6666666666665</v>
      </c>
      <c r="H64" s="14">
        <f>'2002  PILS Recoveries'!H55</f>
        <v>20.8190647206934</v>
      </c>
      <c r="I64" s="6">
        <f>'2002  PILS Recoveries'!I55</f>
        <v>0.0011267227637440235</v>
      </c>
      <c r="J64" s="13">
        <f>D64*E64*H64+(F64+G64)*I64</f>
        <v>24.24617979374814</v>
      </c>
      <c r="K64" s="14">
        <f>'2002  PILS Recoveries'!K55</f>
        <v>88.92900963244544</v>
      </c>
      <c r="L64" s="6">
        <f>'2002  PILS Recoveries'!L55</f>
        <v>0.004812816562815825</v>
      </c>
      <c r="M64" s="13">
        <f>D64*E64*K64+(F64+G64)*L64</f>
        <v>103.56799334434358</v>
      </c>
      <c r="N64" s="19"/>
      <c r="O64" s="13">
        <f>(F64+G64)*N64</f>
        <v>0</v>
      </c>
      <c r="P64" s="19">
        <v>0</v>
      </c>
      <c r="Q64" s="13">
        <f>(F64+G64)*P64</f>
        <v>0</v>
      </c>
      <c r="R64" s="13">
        <f>J64+M64+O64+Q64</f>
        <v>127.81417313809172</v>
      </c>
    </row>
    <row r="65" spans="1:18" ht="15">
      <c r="A65" s="26" t="str">
        <f>'2002  PILS Recoveries'!A56</f>
        <v>Intermediate</v>
      </c>
      <c r="B65" s="53">
        <v>2003</v>
      </c>
      <c r="C65" s="36" t="s">
        <v>40</v>
      </c>
      <c r="D65" s="37">
        <f>'Customer Count'!G18</f>
        <v>1</v>
      </c>
      <c r="E65" s="37">
        <v>1</v>
      </c>
      <c r="F65" s="39"/>
      <c r="G65" s="40">
        <f>'Monthly Volumes'!M23</f>
        <v>3041.6666666666665</v>
      </c>
      <c r="H65" s="14">
        <f>'2002  PILS Recoveries'!H56</f>
        <v>20.8190647206934</v>
      </c>
      <c r="I65" s="6">
        <f>'2002  PILS Recoveries'!I56</f>
        <v>0.0011267227637440235</v>
      </c>
      <c r="J65" s="13">
        <f aca="true" t="shared" si="20" ref="J65:J75">D65*E65*H65+(F65+G65)*I65</f>
        <v>24.24617979374814</v>
      </c>
      <c r="K65" s="14">
        <f>'2002  PILS Recoveries'!K56</f>
        <v>88.92900963244544</v>
      </c>
      <c r="L65" s="6">
        <f>'2002  PILS Recoveries'!L56</f>
        <v>0.004812816562815825</v>
      </c>
      <c r="M65" s="13">
        <f aca="true" t="shared" si="21" ref="M65:M75">D65*E65*K65+(F65+G65)*L65</f>
        <v>103.56799334434358</v>
      </c>
      <c r="N65" s="19"/>
      <c r="O65" s="13">
        <f aca="true" t="shared" si="22" ref="O65:O75">(F65+G65)*N65</f>
        <v>0</v>
      </c>
      <c r="P65" s="19">
        <v>0</v>
      </c>
      <c r="Q65" s="13">
        <f aca="true" t="shared" si="23" ref="Q65:Q75">(F65+G65)*P65</f>
        <v>0</v>
      </c>
      <c r="R65" s="13">
        <f aca="true" t="shared" si="24" ref="R65:R75">J65+M65+O65+Q65</f>
        <v>127.81417313809172</v>
      </c>
    </row>
    <row r="66" spans="1:18" ht="15">
      <c r="A66" s="26" t="str">
        <f>'2002  PILS Recoveries'!A57</f>
        <v>Intermediate</v>
      </c>
      <c r="B66" s="53">
        <v>2003</v>
      </c>
      <c r="C66" s="36" t="s">
        <v>41</v>
      </c>
      <c r="D66" s="37">
        <f>'Customer Count'!G19</f>
        <v>1</v>
      </c>
      <c r="E66" s="37">
        <v>1</v>
      </c>
      <c r="F66" s="39"/>
      <c r="G66" s="40">
        <f>'Monthly Volumes'!M24</f>
        <v>3041.6666666666665</v>
      </c>
      <c r="H66" s="14">
        <f>'2002  PILS Recoveries'!H57</f>
        <v>20.8190647206934</v>
      </c>
      <c r="I66" s="6">
        <f>'2002  PILS Recoveries'!I57</f>
        <v>0.0011267227637440235</v>
      </c>
      <c r="J66" s="13">
        <f t="shared" si="20"/>
        <v>24.24617979374814</v>
      </c>
      <c r="K66" s="14">
        <f>'2002  PILS Recoveries'!K57</f>
        <v>88.92900963244544</v>
      </c>
      <c r="L66" s="6">
        <f>'2002  PILS Recoveries'!L57</f>
        <v>0.004812816562815825</v>
      </c>
      <c r="M66" s="13">
        <f t="shared" si="21"/>
        <v>103.56799334434358</v>
      </c>
      <c r="N66" s="19"/>
      <c r="O66" s="13">
        <f t="shared" si="22"/>
        <v>0</v>
      </c>
      <c r="P66" s="19">
        <v>0</v>
      </c>
      <c r="Q66" s="13">
        <f t="shared" si="23"/>
        <v>0</v>
      </c>
      <c r="R66" s="13">
        <f t="shared" si="24"/>
        <v>127.81417313809172</v>
      </c>
    </row>
    <row r="67" spans="1:18" ht="15">
      <c r="A67" s="26" t="str">
        <f>'2002  PILS Recoveries'!A58</f>
        <v>Intermediate</v>
      </c>
      <c r="B67" s="53">
        <v>2003</v>
      </c>
      <c r="C67" s="36" t="s">
        <v>42</v>
      </c>
      <c r="D67" s="37">
        <f>'Customer Count'!G20</f>
        <v>1</v>
      </c>
      <c r="E67" s="37">
        <v>1</v>
      </c>
      <c r="F67" s="39"/>
      <c r="G67" s="40">
        <f>'Monthly Volumes'!M25</f>
        <v>3041.6666666666665</v>
      </c>
      <c r="H67" s="14">
        <f>'2002  PILS Recoveries'!H58</f>
        <v>20.8190647206934</v>
      </c>
      <c r="I67" s="6">
        <f>'2002  PILS Recoveries'!I58</f>
        <v>0.0011267227637440235</v>
      </c>
      <c r="J67" s="13">
        <f t="shared" si="20"/>
        <v>24.24617979374814</v>
      </c>
      <c r="K67" s="14">
        <f>'2002  PILS Recoveries'!K58</f>
        <v>88.92900963244544</v>
      </c>
      <c r="L67" s="6">
        <f>'2002  PILS Recoveries'!L58</f>
        <v>0.004812816562815825</v>
      </c>
      <c r="M67" s="13">
        <f t="shared" si="21"/>
        <v>103.56799334434358</v>
      </c>
      <c r="N67" s="19"/>
      <c r="O67" s="13">
        <f t="shared" si="22"/>
        <v>0</v>
      </c>
      <c r="P67" s="19">
        <v>0</v>
      </c>
      <c r="Q67" s="13">
        <f t="shared" si="23"/>
        <v>0</v>
      </c>
      <c r="R67" s="13">
        <f t="shared" si="24"/>
        <v>127.81417313809172</v>
      </c>
    </row>
    <row r="68" spans="1:18" ht="15">
      <c r="A68" s="26" t="str">
        <f>'2002  PILS Recoveries'!A59</f>
        <v>Intermediate</v>
      </c>
      <c r="B68" s="53">
        <v>2003</v>
      </c>
      <c r="C68" s="36" t="s">
        <v>35</v>
      </c>
      <c r="D68" s="37">
        <f>'Customer Count'!G21</f>
        <v>1</v>
      </c>
      <c r="E68" s="37">
        <v>1</v>
      </c>
      <c r="F68" s="39"/>
      <c r="G68" s="40">
        <f>'Monthly Volumes'!M26</f>
        <v>3041.6666666666665</v>
      </c>
      <c r="H68" s="14">
        <f>'2002  PILS Recoveries'!H59</f>
        <v>20.8190647206934</v>
      </c>
      <c r="I68" s="6">
        <f>'2002  PILS Recoveries'!I59</f>
        <v>0.0011267227637440235</v>
      </c>
      <c r="J68" s="13">
        <f t="shared" si="20"/>
        <v>24.24617979374814</v>
      </c>
      <c r="K68" s="14">
        <f>'2002  PILS Recoveries'!K59</f>
        <v>88.92900963244544</v>
      </c>
      <c r="L68" s="6">
        <f>'2002  PILS Recoveries'!L59</f>
        <v>0.004812816562815825</v>
      </c>
      <c r="M68" s="13">
        <f t="shared" si="21"/>
        <v>103.56799334434358</v>
      </c>
      <c r="N68" s="19"/>
      <c r="O68" s="13">
        <f t="shared" si="22"/>
        <v>0</v>
      </c>
      <c r="P68" s="19">
        <v>0</v>
      </c>
      <c r="Q68" s="13">
        <f t="shared" si="23"/>
        <v>0</v>
      </c>
      <c r="R68" s="13">
        <f t="shared" si="24"/>
        <v>127.81417313809172</v>
      </c>
    </row>
    <row r="69" spans="1:18" ht="15">
      <c r="A69" s="26" t="str">
        <f>'2002  PILS Recoveries'!A60</f>
        <v>Intermediate</v>
      </c>
      <c r="B69" s="53">
        <v>2003</v>
      </c>
      <c r="C69" s="36" t="s">
        <v>43</v>
      </c>
      <c r="D69" s="37">
        <f>'Customer Count'!G22</f>
        <v>1</v>
      </c>
      <c r="E69" s="37">
        <v>1</v>
      </c>
      <c r="F69" s="39"/>
      <c r="G69" s="40">
        <f>'Monthly Volumes'!M27</f>
        <v>3041.6666666666665</v>
      </c>
      <c r="H69" s="14">
        <f>'2002  PILS Recoveries'!H60</f>
        <v>20.8190647206934</v>
      </c>
      <c r="I69" s="6">
        <f>'2002  PILS Recoveries'!I60</f>
        <v>0.0011267227637440235</v>
      </c>
      <c r="J69" s="13">
        <f t="shared" si="20"/>
        <v>24.24617979374814</v>
      </c>
      <c r="K69" s="14">
        <f>'2002  PILS Recoveries'!K60</f>
        <v>88.92900963244544</v>
      </c>
      <c r="L69" s="6">
        <f>'2002  PILS Recoveries'!L60</f>
        <v>0.004812816562815825</v>
      </c>
      <c r="M69" s="13">
        <f t="shared" si="21"/>
        <v>103.56799334434358</v>
      </c>
      <c r="N69" s="19"/>
      <c r="O69" s="13">
        <f t="shared" si="22"/>
        <v>0</v>
      </c>
      <c r="P69" s="19">
        <v>0</v>
      </c>
      <c r="Q69" s="13">
        <f t="shared" si="23"/>
        <v>0</v>
      </c>
      <c r="R69" s="13">
        <f t="shared" si="24"/>
        <v>127.81417313809172</v>
      </c>
    </row>
    <row r="70" spans="1:18" ht="15">
      <c r="A70" s="26" t="str">
        <f>'2002  PILS Recoveries'!A61</f>
        <v>Intermediate</v>
      </c>
      <c r="B70" s="53">
        <v>2003</v>
      </c>
      <c r="C70" s="36" t="s">
        <v>44</v>
      </c>
      <c r="D70" s="37">
        <f>'Customer Count'!G23</f>
        <v>1</v>
      </c>
      <c r="E70" s="37">
        <v>1</v>
      </c>
      <c r="F70" s="39"/>
      <c r="G70" s="40">
        <f>'Monthly Volumes'!M28</f>
        <v>3041.6666666666665</v>
      </c>
      <c r="H70" s="14">
        <f>'2002  PILS Recoveries'!H61</f>
        <v>20.8190647206934</v>
      </c>
      <c r="I70" s="6">
        <f>'2002  PILS Recoveries'!I61</f>
        <v>0.0011267227637440235</v>
      </c>
      <c r="J70" s="13">
        <f t="shared" si="20"/>
        <v>24.24617979374814</v>
      </c>
      <c r="K70" s="14">
        <f>'2002  PILS Recoveries'!K61</f>
        <v>88.92900963244544</v>
      </c>
      <c r="L70" s="6">
        <f>'2002  PILS Recoveries'!L61</f>
        <v>0.004812816562815825</v>
      </c>
      <c r="M70" s="13">
        <f t="shared" si="21"/>
        <v>103.56799334434358</v>
      </c>
      <c r="N70" s="19"/>
      <c r="O70" s="13">
        <f t="shared" si="22"/>
        <v>0</v>
      </c>
      <c r="P70" s="19">
        <v>0</v>
      </c>
      <c r="Q70" s="13">
        <f t="shared" si="23"/>
        <v>0</v>
      </c>
      <c r="R70" s="13">
        <f t="shared" si="24"/>
        <v>127.81417313809172</v>
      </c>
    </row>
    <row r="71" spans="1:18" ht="15">
      <c r="A71" s="26" t="str">
        <f>'2002  PILS Recoveries'!A62</f>
        <v>Intermediate</v>
      </c>
      <c r="B71" s="53">
        <v>2003</v>
      </c>
      <c r="C71" s="36" t="s">
        <v>45</v>
      </c>
      <c r="D71" s="37">
        <f>'Customer Count'!G24</f>
        <v>1</v>
      </c>
      <c r="E71" s="37">
        <v>1</v>
      </c>
      <c r="F71" s="39"/>
      <c r="G71" s="40">
        <f>'Monthly Volumes'!M29</f>
        <v>3041.6666666666665</v>
      </c>
      <c r="H71" s="14">
        <f>'2002  PILS Recoveries'!H62</f>
        <v>20.8190647206934</v>
      </c>
      <c r="I71" s="6">
        <f>'2002  PILS Recoveries'!I62</f>
        <v>0.0011267227637440235</v>
      </c>
      <c r="J71" s="13">
        <f t="shared" si="20"/>
        <v>24.24617979374814</v>
      </c>
      <c r="K71" s="14">
        <f>'2002  PILS Recoveries'!K62</f>
        <v>88.92900963244544</v>
      </c>
      <c r="L71" s="6">
        <f>'2002  PILS Recoveries'!L62</f>
        <v>0.004812816562815825</v>
      </c>
      <c r="M71" s="13">
        <f t="shared" si="21"/>
        <v>103.56799334434358</v>
      </c>
      <c r="N71" s="19"/>
      <c r="O71" s="13">
        <f t="shared" si="22"/>
        <v>0</v>
      </c>
      <c r="P71" s="19">
        <v>0</v>
      </c>
      <c r="Q71" s="13">
        <f t="shared" si="23"/>
        <v>0</v>
      </c>
      <c r="R71" s="13">
        <f t="shared" si="24"/>
        <v>127.81417313809172</v>
      </c>
    </row>
    <row r="72" spans="1:18" ht="15">
      <c r="A72" s="26" t="str">
        <f>'2002  PILS Recoveries'!A63</f>
        <v>Intermediate</v>
      </c>
      <c r="B72" s="53">
        <v>2003</v>
      </c>
      <c r="C72" s="36" t="s">
        <v>46</v>
      </c>
      <c r="D72" s="37">
        <f>'Customer Count'!G25</f>
        <v>1</v>
      </c>
      <c r="E72" s="37">
        <v>1</v>
      </c>
      <c r="F72" s="39"/>
      <c r="G72" s="40">
        <f>'Monthly Volumes'!M30</f>
        <v>3041.6666666666665</v>
      </c>
      <c r="H72" s="14">
        <f>'2002  PILS Recoveries'!H63</f>
        <v>20.8190647206934</v>
      </c>
      <c r="I72" s="6">
        <f>'2002  PILS Recoveries'!I63</f>
        <v>0.0011267227637440235</v>
      </c>
      <c r="J72" s="13">
        <f t="shared" si="20"/>
        <v>24.24617979374814</v>
      </c>
      <c r="K72" s="14">
        <f>'2002  PILS Recoveries'!K63</f>
        <v>88.92900963244544</v>
      </c>
      <c r="L72" s="6">
        <f>'2002  PILS Recoveries'!L63</f>
        <v>0.004812816562815825</v>
      </c>
      <c r="M72" s="13">
        <f t="shared" si="21"/>
        <v>103.56799334434358</v>
      </c>
      <c r="N72" s="19"/>
      <c r="O72" s="13">
        <f t="shared" si="22"/>
        <v>0</v>
      </c>
      <c r="P72" s="19">
        <v>0</v>
      </c>
      <c r="Q72" s="13">
        <f t="shared" si="23"/>
        <v>0</v>
      </c>
      <c r="R72" s="13">
        <f t="shared" si="24"/>
        <v>127.81417313809172</v>
      </c>
    </row>
    <row r="73" spans="1:18" ht="15">
      <c r="A73" s="26" t="str">
        <f>'2002  PILS Recoveries'!A64</f>
        <v>Intermediate</v>
      </c>
      <c r="B73" s="53">
        <v>2003</v>
      </c>
      <c r="C73" s="36" t="s">
        <v>47</v>
      </c>
      <c r="D73" s="37">
        <f>'Customer Count'!G26</f>
        <v>1</v>
      </c>
      <c r="E73" s="37">
        <v>1</v>
      </c>
      <c r="F73" s="39"/>
      <c r="G73" s="40">
        <f>'Monthly Volumes'!M31</f>
        <v>3041.6666666666665</v>
      </c>
      <c r="H73" s="14">
        <f>'2002  PILS Recoveries'!H64</f>
        <v>20.8190647206934</v>
      </c>
      <c r="I73" s="6">
        <f>'2002  PILS Recoveries'!I64</f>
        <v>0.0011267227637440235</v>
      </c>
      <c r="J73" s="13">
        <f t="shared" si="20"/>
        <v>24.24617979374814</v>
      </c>
      <c r="K73" s="14">
        <f>'2002  PILS Recoveries'!K64</f>
        <v>88.92900963244544</v>
      </c>
      <c r="L73" s="6">
        <f>'2002  PILS Recoveries'!L64</f>
        <v>0.004812816562815825</v>
      </c>
      <c r="M73" s="13">
        <f t="shared" si="21"/>
        <v>103.56799334434358</v>
      </c>
      <c r="N73" s="19"/>
      <c r="O73" s="13">
        <f t="shared" si="22"/>
        <v>0</v>
      </c>
      <c r="P73" s="19">
        <v>0</v>
      </c>
      <c r="Q73" s="13">
        <f t="shared" si="23"/>
        <v>0</v>
      </c>
      <c r="R73" s="13">
        <f t="shared" si="24"/>
        <v>127.81417313809172</v>
      </c>
    </row>
    <row r="74" spans="1:18" ht="15">
      <c r="A74" s="26" t="str">
        <f>A73</f>
        <v>Intermediate</v>
      </c>
      <c r="B74" s="53">
        <v>2003</v>
      </c>
      <c r="C74" s="36" t="s">
        <v>48</v>
      </c>
      <c r="D74" s="37">
        <f>'Customer Count'!G27</f>
        <v>1</v>
      </c>
      <c r="E74" s="37">
        <v>1</v>
      </c>
      <c r="F74" s="39"/>
      <c r="G74" s="40">
        <f>'Monthly Volumes'!M32</f>
        <v>3041.6666666666665</v>
      </c>
      <c r="H74" s="14">
        <f>H73</f>
        <v>20.8190647206934</v>
      </c>
      <c r="I74" s="6">
        <f>I73</f>
        <v>0.0011267227637440235</v>
      </c>
      <c r="J74" s="13">
        <f t="shared" si="20"/>
        <v>24.24617979374814</v>
      </c>
      <c r="K74" s="14">
        <f>K73</f>
        <v>88.92900963244544</v>
      </c>
      <c r="L74" s="6">
        <f>L73</f>
        <v>0.004812816562815825</v>
      </c>
      <c r="M74" s="13">
        <f t="shared" si="21"/>
        <v>103.56799334434358</v>
      </c>
      <c r="N74" s="19"/>
      <c r="O74" s="13">
        <f t="shared" si="22"/>
        <v>0</v>
      </c>
      <c r="P74" s="19">
        <v>0</v>
      </c>
      <c r="Q74" s="13">
        <f t="shared" si="23"/>
        <v>0</v>
      </c>
      <c r="R74" s="13">
        <f t="shared" si="24"/>
        <v>127.81417313809172</v>
      </c>
    </row>
    <row r="75" spans="1:18" ht="15">
      <c r="A75" s="26" t="str">
        <f>A74</f>
        <v>Intermediate</v>
      </c>
      <c r="B75" s="53">
        <v>2003</v>
      </c>
      <c r="C75" s="36" t="s">
        <v>49</v>
      </c>
      <c r="D75" s="37">
        <f>'Customer Count'!G28</f>
        <v>1</v>
      </c>
      <c r="E75" s="37">
        <v>1</v>
      </c>
      <c r="F75" s="39"/>
      <c r="G75" s="40">
        <f>'Monthly Volumes'!M33</f>
        <v>3041.6666666666665</v>
      </c>
      <c r="H75" s="14">
        <f>H74</f>
        <v>20.8190647206934</v>
      </c>
      <c r="I75" s="6">
        <f>I74</f>
        <v>0.0011267227637440235</v>
      </c>
      <c r="J75" s="13">
        <f t="shared" si="20"/>
        <v>24.24617979374814</v>
      </c>
      <c r="K75" s="14">
        <f>K74</f>
        <v>88.92900963244544</v>
      </c>
      <c r="L75" s="6">
        <f>L74</f>
        <v>0.004812816562815825</v>
      </c>
      <c r="M75" s="13">
        <f t="shared" si="21"/>
        <v>103.56799334434358</v>
      </c>
      <c r="N75" s="19"/>
      <c r="O75" s="13">
        <f t="shared" si="22"/>
        <v>0</v>
      </c>
      <c r="P75" s="19">
        <v>0</v>
      </c>
      <c r="Q75" s="13">
        <f t="shared" si="23"/>
        <v>0</v>
      </c>
      <c r="R75" s="13">
        <f t="shared" si="24"/>
        <v>127.81417313809172</v>
      </c>
    </row>
    <row r="76" spans="1:18" ht="15.75" thickBot="1">
      <c r="A76" s="26"/>
      <c r="B76" s="53"/>
      <c r="C76" s="36"/>
      <c r="D76" s="37"/>
      <c r="E76" s="37"/>
      <c r="F76" s="39"/>
      <c r="G76" s="40"/>
      <c r="H76" s="14"/>
      <c r="I76" s="6"/>
      <c r="J76" s="13"/>
      <c r="K76" s="14"/>
      <c r="L76" s="6"/>
      <c r="M76" s="13"/>
      <c r="N76" s="19"/>
      <c r="O76" s="13"/>
      <c r="P76" s="19"/>
      <c r="Q76" s="13"/>
      <c r="R76" s="13"/>
    </row>
    <row r="77" spans="1:18" ht="15.75" thickBot="1">
      <c r="A77" s="55" t="s">
        <v>62</v>
      </c>
      <c r="B77" s="56"/>
      <c r="C77" s="57"/>
      <c r="D77" s="58">
        <f>SUM(D64:D76)</f>
        <v>12</v>
      </c>
      <c r="E77" s="58"/>
      <c r="F77" s="58">
        <f>SUM(F64:F76)</f>
        <v>0</v>
      </c>
      <c r="G77" s="58">
        <f>SUM(G64:G76)</f>
        <v>36500</v>
      </c>
      <c r="H77" s="60"/>
      <c r="I77" s="61"/>
      <c r="J77" s="62">
        <f>SUM(J64:J76)</f>
        <v>290.95415752497763</v>
      </c>
      <c r="K77" s="60"/>
      <c r="L77" s="61"/>
      <c r="M77" s="62">
        <f>SUM(M64:M76)</f>
        <v>1242.8159201321232</v>
      </c>
      <c r="N77" s="63"/>
      <c r="O77" s="62">
        <f>SUM(O64:O76)</f>
        <v>0</v>
      </c>
      <c r="P77" s="63"/>
      <c r="Q77" s="62">
        <f>SUM(Q64:Q76)</f>
        <v>0</v>
      </c>
      <c r="R77" s="62">
        <f>SUM(R64:R76)</f>
        <v>1533.7700776571007</v>
      </c>
    </row>
    <row r="78" spans="1:18" ht="15">
      <c r="A78" s="26"/>
      <c r="B78" s="53"/>
      <c r="C78" s="36"/>
      <c r="D78" s="37"/>
      <c r="E78" s="37"/>
      <c r="F78" s="39"/>
      <c r="G78" s="40"/>
      <c r="H78" s="14"/>
      <c r="I78" s="6"/>
      <c r="J78" s="13"/>
      <c r="K78" s="14"/>
      <c r="L78" s="6"/>
      <c r="M78" s="13"/>
      <c r="N78" s="19"/>
      <c r="O78" s="13"/>
      <c r="P78" s="19"/>
      <c r="Q78" s="13"/>
      <c r="R78" s="13"/>
    </row>
    <row r="79" spans="1:18" ht="15">
      <c r="A79" s="26" t="s">
        <v>4</v>
      </c>
      <c r="B79" s="53">
        <v>2003</v>
      </c>
      <c r="C79" s="36" t="s">
        <v>39</v>
      </c>
      <c r="D79" s="37">
        <f>'Customer Count'!H17</f>
        <v>44</v>
      </c>
      <c r="E79" s="37">
        <v>1</v>
      </c>
      <c r="F79" s="39"/>
      <c r="G79" s="40">
        <f>'Monthly Volumes'!M58</f>
        <v>0.25</v>
      </c>
      <c r="H79" s="14">
        <f>'2002  PILS Recoveries'!H68</f>
        <v>0.0071358684847055084</v>
      </c>
      <c r="I79" s="6">
        <f>'2002  PILS Recoveries'!I68</f>
        <v>0.23390073305976586</v>
      </c>
      <c r="J79" s="13">
        <f>D79*E79*H79+(F79+G79)*I79</f>
        <v>0.3724533965919838</v>
      </c>
      <c r="K79" s="14">
        <f>'2002  PILS Recoveries'!K68</f>
        <v>0.030480990655717823</v>
      </c>
      <c r="L79" s="6">
        <f>'2002  PILS Recoveries'!L68</f>
        <v>0.9991111907459014</v>
      </c>
      <c r="M79" s="13">
        <f>D79*E79*K79+(F79+G79)*L79</f>
        <v>1.5909413865380597</v>
      </c>
      <c r="N79" s="19"/>
      <c r="O79" s="13">
        <f>(F79+G79)*N79</f>
        <v>0</v>
      </c>
      <c r="P79" s="19">
        <v>0</v>
      </c>
      <c r="Q79" s="13">
        <f>(F79+G79)*P79</f>
        <v>0</v>
      </c>
      <c r="R79" s="13">
        <f>J79+M79+O79+Q79</f>
        <v>1.9633947831300436</v>
      </c>
    </row>
    <row r="80" spans="1:18" ht="15">
      <c r="A80" s="26" t="s">
        <v>4</v>
      </c>
      <c r="B80" s="53">
        <v>2003</v>
      </c>
      <c r="C80" s="36" t="s">
        <v>40</v>
      </c>
      <c r="D80" s="37">
        <f>'Customer Count'!H18</f>
        <v>44</v>
      </c>
      <c r="E80" s="37">
        <v>1</v>
      </c>
      <c r="F80" s="39"/>
      <c r="G80" s="40">
        <f>'Monthly Volumes'!M59</f>
        <v>0.25</v>
      </c>
      <c r="H80" s="14">
        <f>'2002  PILS Recoveries'!H69</f>
        <v>0.0071358684847055084</v>
      </c>
      <c r="I80" s="6">
        <f>'2002  PILS Recoveries'!I69</f>
        <v>0.23390073305976586</v>
      </c>
      <c r="J80" s="13">
        <f aca="true" t="shared" si="25" ref="J80:J90">D80*E80*H80+(F80+G80)*I80</f>
        <v>0.3724533965919838</v>
      </c>
      <c r="K80" s="14">
        <f>'2002  PILS Recoveries'!K69</f>
        <v>0.030480990655717823</v>
      </c>
      <c r="L80" s="6">
        <f>'2002  PILS Recoveries'!L69</f>
        <v>0.9991111907459014</v>
      </c>
      <c r="M80" s="13">
        <f aca="true" t="shared" si="26" ref="M80:M90">D80*E80*K80+(F80+G80)*L80</f>
        <v>1.5909413865380597</v>
      </c>
      <c r="N80" s="19"/>
      <c r="O80" s="13">
        <f aca="true" t="shared" si="27" ref="O80:O90">(F80+G80)*N80</f>
        <v>0</v>
      </c>
      <c r="P80" s="19">
        <v>0</v>
      </c>
      <c r="Q80" s="13">
        <f aca="true" t="shared" si="28" ref="Q80:Q90">(F80+G80)*P80</f>
        <v>0</v>
      </c>
      <c r="R80" s="13">
        <f aca="true" t="shared" si="29" ref="R80:R90">J80+M80+O80+Q80</f>
        <v>1.9633947831300436</v>
      </c>
    </row>
    <row r="81" spans="1:18" ht="15">
      <c r="A81" s="26" t="s">
        <v>4</v>
      </c>
      <c r="B81" s="53">
        <v>2003</v>
      </c>
      <c r="C81" s="36" t="s">
        <v>41</v>
      </c>
      <c r="D81" s="37">
        <f>'Customer Count'!H19</f>
        <v>44</v>
      </c>
      <c r="E81" s="37">
        <v>1</v>
      </c>
      <c r="F81" s="39"/>
      <c r="G81" s="40">
        <f>'Monthly Volumes'!M60</f>
        <v>0.25</v>
      </c>
      <c r="H81" s="14">
        <f>'2002  PILS Recoveries'!H70</f>
        <v>0.0071358684847055084</v>
      </c>
      <c r="I81" s="6">
        <f>'2002  PILS Recoveries'!I70</f>
        <v>0.23390073305976586</v>
      </c>
      <c r="J81" s="13">
        <f t="shared" si="25"/>
        <v>0.3724533965919838</v>
      </c>
      <c r="K81" s="14">
        <f>'2002  PILS Recoveries'!K70</f>
        <v>0.030480990655717823</v>
      </c>
      <c r="L81" s="6">
        <f>'2002  PILS Recoveries'!L70</f>
        <v>0.9991111907459014</v>
      </c>
      <c r="M81" s="13">
        <f t="shared" si="26"/>
        <v>1.5909413865380597</v>
      </c>
      <c r="N81" s="19"/>
      <c r="O81" s="13">
        <f t="shared" si="27"/>
        <v>0</v>
      </c>
      <c r="P81" s="19">
        <v>0</v>
      </c>
      <c r="Q81" s="13">
        <f t="shared" si="28"/>
        <v>0</v>
      </c>
      <c r="R81" s="13">
        <f t="shared" si="29"/>
        <v>1.9633947831300436</v>
      </c>
    </row>
    <row r="82" spans="1:18" ht="15">
      <c r="A82" s="26" t="s">
        <v>4</v>
      </c>
      <c r="B82" s="53">
        <v>2003</v>
      </c>
      <c r="C82" s="36" t="s">
        <v>42</v>
      </c>
      <c r="D82" s="37">
        <f>'Customer Count'!H20</f>
        <v>44</v>
      </c>
      <c r="E82" s="37">
        <v>1</v>
      </c>
      <c r="F82" s="39"/>
      <c r="G82" s="40">
        <f>'Monthly Volumes'!M61</f>
        <v>0.25</v>
      </c>
      <c r="H82" s="14">
        <f>'2002  PILS Recoveries'!H71</f>
        <v>0.0071358684847055084</v>
      </c>
      <c r="I82" s="6">
        <f>'2002  PILS Recoveries'!I71</f>
        <v>0.23390073305976586</v>
      </c>
      <c r="J82" s="13">
        <f t="shared" si="25"/>
        <v>0.3724533965919838</v>
      </c>
      <c r="K82" s="14">
        <f>'2002  PILS Recoveries'!K71</f>
        <v>0.030480990655717823</v>
      </c>
      <c r="L82" s="6">
        <f>'2002  PILS Recoveries'!L71</f>
        <v>0.9991111907459014</v>
      </c>
      <c r="M82" s="13">
        <f t="shared" si="26"/>
        <v>1.5909413865380597</v>
      </c>
      <c r="N82" s="19"/>
      <c r="O82" s="13">
        <f t="shared" si="27"/>
        <v>0</v>
      </c>
      <c r="P82" s="19">
        <v>0</v>
      </c>
      <c r="Q82" s="13">
        <f t="shared" si="28"/>
        <v>0</v>
      </c>
      <c r="R82" s="13">
        <f t="shared" si="29"/>
        <v>1.9633947831300436</v>
      </c>
    </row>
    <row r="83" spans="1:18" ht="15">
      <c r="A83" s="26" t="s">
        <v>4</v>
      </c>
      <c r="B83" s="53">
        <v>2003</v>
      </c>
      <c r="C83" s="36" t="s">
        <v>35</v>
      </c>
      <c r="D83" s="37">
        <f>'Customer Count'!H21</f>
        <v>44</v>
      </c>
      <c r="E83" s="37">
        <v>1</v>
      </c>
      <c r="F83" s="39"/>
      <c r="G83" s="40">
        <f>'Monthly Volumes'!M62</f>
        <v>0.25</v>
      </c>
      <c r="H83" s="14">
        <f>'2002  PILS Recoveries'!H72</f>
        <v>0.0071358684847055084</v>
      </c>
      <c r="I83" s="6">
        <f>'2002  PILS Recoveries'!I72</f>
        <v>0.23390073305976586</v>
      </c>
      <c r="J83" s="13">
        <f t="shared" si="25"/>
        <v>0.3724533965919838</v>
      </c>
      <c r="K83" s="14">
        <f>'2002  PILS Recoveries'!K72</f>
        <v>0.030480990655717823</v>
      </c>
      <c r="L83" s="6">
        <f>'2002  PILS Recoveries'!L72</f>
        <v>0.9991111907459014</v>
      </c>
      <c r="M83" s="13">
        <f t="shared" si="26"/>
        <v>1.5909413865380597</v>
      </c>
      <c r="N83" s="19"/>
      <c r="O83" s="13">
        <f t="shared" si="27"/>
        <v>0</v>
      </c>
      <c r="P83" s="19">
        <v>0</v>
      </c>
      <c r="Q83" s="13">
        <f t="shared" si="28"/>
        <v>0</v>
      </c>
      <c r="R83" s="13">
        <f t="shared" si="29"/>
        <v>1.9633947831300436</v>
      </c>
    </row>
    <row r="84" spans="1:18" ht="15">
      <c r="A84" s="26" t="s">
        <v>4</v>
      </c>
      <c r="B84" s="53">
        <v>2003</v>
      </c>
      <c r="C84" s="36" t="s">
        <v>43</v>
      </c>
      <c r="D84" s="37">
        <f>'Customer Count'!H22</f>
        <v>44</v>
      </c>
      <c r="E84" s="37">
        <v>1</v>
      </c>
      <c r="F84" s="39"/>
      <c r="G84" s="40">
        <f>'Monthly Volumes'!M63</f>
        <v>0.25</v>
      </c>
      <c r="H84" s="14">
        <f>'2002  PILS Recoveries'!H73</f>
        <v>0.0071358684847055084</v>
      </c>
      <c r="I84" s="6">
        <f>'2002  PILS Recoveries'!I73</f>
        <v>0.23390073305976586</v>
      </c>
      <c r="J84" s="13">
        <f t="shared" si="25"/>
        <v>0.3724533965919838</v>
      </c>
      <c r="K84" s="14">
        <f>'2002  PILS Recoveries'!K73</f>
        <v>0.030480990655717823</v>
      </c>
      <c r="L84" s="6">
        <f>'2002  PILS Recoveries'!L73</f>
        <v>0.9991111907459014</v>
      </c>
      <c r="M84" s="13">
        <f t="shared" si="26"/>
        <v>1.5909413865380597</v>
      </c>
      <c r="N84" s="19"/>
      <c r="O84" s="13">
        <f t="shared" si="27"/>
        <v>0</v>
      </c>
      <c r="P84" s="19">
        <v>0</v>
      </c>
      <c r="Q84" s="13">
        <f t="shared" si="28"/>
        <v>0</v>
      </c>
      <c r="R84" s="13">
        <f t="shared" si="29"/>
        <v>1.9633947831300436</v>
      </c>
    </row>
    <row r="85" spans="1:18" ht="15">
      <c r="A85" s="26" t="s">
        <v>4</v>
      </c>
      <c r="B85" s="53">
        <v>2003</v>
      </c>
      <c r="C85" s="36" t="s">
        <v>44</v>
      </c>
      <c r="D85" s="37">
        <f>'Customer Count'!H23</f>
        <v>44</v>
      </c>
      <c r="E85" s="37">
        <v>1</v>
      </c>
      <c r="F85" s="39"/>
      <c r="G85" s="40">
        <f>'Monthly Volumes'!M64</f>
        <v>0.25</v>
      </c>
      <c r="H85" s="14">
        <f>'2002  PILS Recoveries'!H74</f>
        <v>0.0071358684847055084</v>
      </c>
      <c r="I85" s="6">
        <f>'2002  PILS Recoveries'!I74</f>
        <v>0.23390073305976586</v>
      </c>
      <c r="J85" s="13">
        <f t="shared" si="25"/>
        <v>0.3724533965919838</v>
      </c>
      <c r="K85" s="14">
        <f>'2002  PILS Recoveries'!K74</f>
        <v>0.030480990655717823</v>
      </c>
      <c r="L85" s="6">
        <f>'2002  PILS Recoveries'!L74</f>
        <v>0.9991111907459014</v>
      </c>
      <c r="M85" s="13">
        <f t="shared" si="26"/>
        <v>1.5909413865380597</v>
      </c>
      <c r="N85" s="19"/>
      <c r="O85" s="13">
        <f t="shared" si="27"/>
        <v>0</v>
      </c>
      <c r="P85" s="19">
        <v>0</v>
      </c>
      <c r="Q85" s="13">
        <f t="shared" si="28"/>
        <v>0</v>
      </c>
      <c r="R85" s="13">
        <f t="shared" si="29"/>
        <v>1.9633947831300436</v>
      </c>
    </row>
    <row r="86" spans="1:18" ht="15">
      <c r="A86" s="26" t="s">
        <v>4</v>
      </c>
      <c r="B86" s="53">
        <v>2003</v>
      </c>
      <c r="C86" s="36" t="s">
        <v>45</v>
      </c>
      <c r="D86" s="37">
        <f>'Customer Count'!H24</f>
        <v>44</v>
      </c>
      <c r="E86" s="37">
        <v>1</v>
      </c>
      <c r="F86" s="39"/>
      <c r="G86" s="40">
        <f>'Monthly Volumes'!M65</f>
        <v>0.25</v>
      </c>
      <c r="H86" s="14">
        <f>'2002  PILS Recoveries'!H75</f>
        <v>0.0071358684847055084</v>
      </c>
      <c r="I86" s="6">
        <f>'2002  PILS Recoveries'!I75</f>
        <v>0.23390073305976586</v>
      </c>
      <c r="J86" s="13">
        <f t="shared" si="25"/>
        <v>0.3724533965919838</v>
      </c>
      <c r="K86" s="14">
        <f>'2002  PILS Recoveries'!K75</f>
        <v>0.030480990655717823</v>
      </c>
      <c r="L86" s="6">
        <f>'2002  PILS Recoveries'!L75</f>
        <v>0.9991111907459014</v>
      </c>
      <c r="M86" s="13">
        <f t="shared" si="26"/>
        <v>1.5909413865380597</v>
      </c>
      <c r="N86" s="19"/>
      <c r="O86" s="13">
        <f t="shared" si="27"/>
        <v>0</v>
      </c>
      <c r="P86" s="19">
        <v>0</v>
      </c>
      <c r="Q86" s="13">
        <f t="shared" si="28"/>
        <v>0</v>
      </c>
      <c r="R86" s="13">
        <f t="shared" si="29"/>
        <v>1.9633947831300436</v>
      </c>
    </row>
    <row r="87" spans="1:18" ht="15">
      <c r="A87" s="26" t="s">
        <v>4</v>
      </c>
      <c r="B87" s="53">
        <v>2003</v>
      </c>
      <c r="C87" s="36" t="s">
        <v>46</v>
      </c>
      <c r="D87" s="37">
        <f>'Customer Count'!H25</f>
        <v>44</v>
      </c>
      <c r="E87" s="37">
        <v>1</v>
      </c>
      <c r="F87" s="39"/>
      <c r="G87" s="40">
        <f>'Monthly Volumes'!M66</f>
        <v>0.25</v>
      </c>
      <c r="H87" s="14">
        <f>'2002  PILS Recoveries'!H76</f>
        <v>0.0071358684847055084</v>
      </c>
      <c r="I87" s="6">
        <f>'2002  PILS Recoveries'!I76</f>
        <v>0.23390073305976586</v>
      </c>
      <c r="J87" s="13">
        <f t="shared" si="25"/>
        <v>0.3724533965919838</v>
      </c>
      <c r="K87" s="14">
        <f>'2002  PILS Recoveries'!K76</f>
        <v>0.030480990655717823</v>
      </c>
      <c r="L87" s="6">
        <f>'2002  PILS Recoveries'!L76</f>
        <v>0.9991111907459014</v>
      </c>
      <c r="M87" s="13">
        <f t="shared" si="26"/>
        <v>1.5909413865380597</v>
      </c>
      <c r="N87" s="19"/>
      <c r="O87" s="13">
        <f t="shared" si="27"/>
        <v>0</v>
      </c>
      <c r="P87" s="19">
        <v>0</v>
      </c>
      <c r="Q87" s="13">
        <f t="shared" si="28"/>
        <v>0</v>
      </c>
      <c r="R87" s="13">
        <f t="shared" si="29"/>
        <v>1.9633947831300436</v>
      </c>
    </row>
    <row r="88" spans="1:18" ht="15">
      <c r="A88" s="26" t="s">
        <v>4</v>
      </c>
      <c r="B88" s="53">
        <v>2003</v>
      </c>
      <c r="C88" s="36" t="s">
        <v>47</v>
      </c>
      <c r="D88" s="37">
        <f>'Customer Count'!H26</f>
        <v>44</v>
      </c>
      <c r="E88" s="37">
        <v>1</v>
      </c>
      <c r="F88" s="39"/>
      <c r="G88" s="40">
        <f>'Monthly Volumes'!M67</f>
        <v>0.25</v>
      </c>
      <c r="H88" s="14">
        <f>'2002  PILS Recoveries'!H77</f>
        <v>0.0071358684847055084</v>
      </c>
      <c r="I88" s="6">
        <f>'2002  PILS Recoveries'!I77</f>
        <v>0.23390073305976586</v>
      </c>
      <c r="J88" s="13">
        <f t="shared" si="25"/>
        <v>0.3724533965919838</v>
      </c>
      <c r="K88" s="14">
        <f>'2002  PILS Recoveries'!K77</f>
        <v>0.030480990655717823</v>
      </c>
      <c r="L88" s="6">
        <f>'2002  PILS Recoveries'!L77</f>
        <v>0.9991111907459014</v>
      </c>
      <c r="M88" s="13">
        <f t="shared" si="26"/>
        <v>1.5909413865380597</v>
      </c>
      <c r="N88" s="19"/>
      <c r="O88" s="13">
        <f t="shared" si="27"/>
        <v>0</v>
      </c>
      <c r="P88" s="19">
        <v>0</v>
      </c>
      <c r="Q88" s="13">
        <f t="shared" si="28"/>
        <v>0</v>
      </c>
      <c r="R88" s="13">
        <f t="shared" si="29"/>
        <v>1.9633947831300436</v>
      </c>
    </row>
    <row r="89" spans="1:18" ht="15">
      <c r="A89" s="26" t="s">
        <v>4</v>
      </c>
      <c r="B89" s="53">
        <v>2003</v>
      </c>
      <c r="C89" s="36" t="s">
        <v>48</v>
      </c>
      <c r="D89" s="37">
        <f>'Customer Count'!H27</f>
        <v>44</v>
      </c>
      <c r="E89" s="37">
        <v>1</v>
      </c>
      <c r="F89" s="39"/>
      <c r="G89" s="40">
        <f>'Monthly Volumes'!M68</f>
        <v>0.25</v>
      </c>
      <c r="H89" s="14">
        <f>H88</f>
        <v>0.0071358684847055084</v>
      </c>
      <c r="I89" s="6">
        <f>I88</f>
        <v>0.23390073305976586</v>
      </c>
      <c r="J89" s="13">
        <f t="shared" si="25"/>
        <v>0.3724533965919838</v>
      </c>
      <c r="K89" s="14">
        <f>K88</f>
        <v>0.030480990655717823</v>
      </c>
      <c r="L89" s="6">
        <f>L88</f>
        <v>0.9991111907459014</v>
      </c>
      <c r="M89" s="13">
        <f t="shared" si="26"/>
        <v>1.5909413865380597</v>
      </c>
      <c r="N89" s="19"/>
      <c r="O89" s="13">
        <f t="shared" si="27"/>
        <v>0</v>
      </c>
      <c r="P89" s="19">
        <v>0</v>
      </c>
      <c r="Q89" s="13">
        <f t="shared" si="28"/>
        <v>0</v>
      </c>
      <c r="R89" s="13">
        <f t="shared" si="29"/>
        <v>1.9633947831300436</v>
      </c>
    </row>
    <row r="90" spans="1:18" ht="15">
      <c r="A90" s="26" t="s">
        <v>4</v>
      </c>
      <c r="B90" s="53">
        <v>2003</v>
      </c>
      <c r="C90" s="36" t="s">
        <v>49</v>
      </c>
      <c r="D90" s="37">
        <f>'Customer Count'!H28</f>
        <v>44</v>
      </c>
      <c r="E90" s="37">
        <v>1</v>
      </c>
      <c r="F90" s="39"/>
      <c r="G90" s="40">
        <f>'Monthly Volumes'!M69</f>
        <v>0.25</v>
      </c>
      <c r="H90" s="14">
        <f>H89</f>
        <v>0.0071358684847055084</v>
      </c>
      <c r="I90" s="6">
        <f>I89</f>
        <v>0.23390073305976586</v>
      </c>
      <c r="J90" s="13">
        <f t="shared" si="25"/>
        <v>0.3724533965919838</v>
      </c>
      <c r="K90" s="14">
        <f>K89</f>
        <v>0.030480990655717823</v>
      </c>
      <c r="L90" s="6">
        <f>L89</f>
        <v>0.9991111907459014</v>
      </c>
      <c r="M90" s="13">
        <f t="shared" si="26"/>
        <v>1.5909413865380597</v>
      </c>
      <c r="N90" s="19"/>
      <c r="O90" s="13">
        <f t="shared" si="27"/>
        <v>0</v>
      </c>
      <c r="P90" s="19">
        <v>0</v>
      </c>
      <c r="Q90" s="13">
        <f t="shared" si="28"/>
        <v>0</v>
      </c>
      <c r="R90" s="13">
        <f t="shared" si="29"/>
        <v>1.9633947831300436</v>
      </c>
    </row>
    <row r="91" spans="1:18" ht="15.75" thickBot="1">
      <c r="A91" s="26"/>
      <c r="B91" s="53"/>
      <c r="C91" s="36"/>
      <c r="D91" s="37"/>
      <c r="E91" s="37"/>
      <c r="F91" s="39"/>
      <c r="G91" s="40"/>
      <c r="H91" s="14"/>
      <c r="I91" s="6"/>
      <c r="J91" s="13"/>
      <c r="K91" s="14"/>
      <c r="L91" s="6"/>
      <c r="M91" s="13"/>
      <c r="N91" s="19"/>
      <c r="O91" s="13"/>
      <c r="P91" s="19"/>
      <c r="Q91" s="13"/>
      <c r="R91" s="13"/>
    </row>
    <row r="92" spans="1:18" ht="15.75" thickBot="1">
      <c r="A92" s="55" t="s">
        <v>63</v>
      </c>
      <c r="B92" s="56"/>
      <c r="C92" s="57"/>
      <c r="D92" s="58">
        <f>SUM(D79:D91)</f>
        <v>528</v>
      </c>
      <c r="E92" s="58"/>
      <c r="F92" s="58">
        <f>SUM(F79:F91)</f>
        <v>0</v>
      </c>
      <c r="G92" s="58">
        <f>SUM(G79:G91)</f>
        <v>3</v>
      </c>
      <c r="H92" s="60"/>
      <c r="I92" s="61"/>
      <c r="J92" s="62">
        <f>SUM(J79:J91)</f>
        <v>4.469440759103805</v>
      </c>
      <c r="K92" s="60"/>
      <c r="L92" s="61"/>
      <c r="M92" s="62">
        <f>SUM(M79:M91)</f>
        <v>19.091296638456715</v>
      </c>
      <c r="N92" s="63"/>
      <c r="O92" s="62">
        <f>SUM(O79:O91)</f>
        <v>0</v>
      </c>
      <c r="P92" s="63"/>
      <c r="Q92" s="62">
        <f>SUM(Q79:Q91)</f>
        <v>0</v>
      </c>
      <c r="R92" s="62">
        <f>SUM(R79:R91)</f>
        <v>23.560737397560516</v>
      </c>
    </row>
    <row r="93" spans="1:18" ht="15">
      <c r="A93" s="26"/>
      <c r="B93" s="53"/>
      <c r="C93" s="36"/>
      <c r="D93" s="37"/>
      <c r="E93" s="37"/>
      <c r="F93" s="39"/>
      <c r="G93" s="40"/>
      <c r="H93" s="14"/>
      <c r="I93" s="6"/>
      <c r="J93" s="13"/>
      <c r="K93" s="14"/>
      <c r="L93" s="6"/>
      <c r="M93" s="13"/>
      <c r="N93" s="19"/>
      <c r="O93" s="13"/>
      <c r="P93" s="19"/>
      <c r="Q93" s="13"/>
      <c r="R93" s="13"/>
    </row>
    <row r="94" spans="1:18" ht="15">
      <c r="A94" s="26" t="s">
        <v>5</v>
      </c>
      <c r="B94" s="53">
        <v>2003</v>
      </c>
      <c r="C94" s="36" t="s">
        <v>39</v>
      </c>
      <c r="D94" s="37">
        <f>'Customer Count'!I17</f>
        <v>621.5</v>
      </c>
      <c r="E94" s="37">
        <v>1</v>
      </c>
      <c r="F94" s="39"/>
      <c r="G94" s="40">
        <f>'Monthly Volumes'!M40</f>
        <v>133.43333333333334</v>
      </c>
      <c r="H94" s="14">
        <f>'2002  PILS Recoveries'!H81</f>
        <v>0.017030225858714457</v>
      </c>
      <c r="I94" s="6">
        <f>'2002  PILS Recoveries'!I81</f>
        <v>0.014345483772545306</v>
      </c>
      <c r="J94" s="13">
        <f>D94*E94*H94+(F94+G94)*I94</f>
        <v>12.498451089240996</v>
      </c>
      <c r="K94" s="14">
        <f>'2002  PILS Recoveries'!K81</f>
        <v>0.0727449162462615</v>
      </c>
      <c r="L94" s="6">
        <f>'2002  PILS Recoveries'!L81</f>
        <v>0.06127699210823539</v>
      </c>
      <c r="M94" s="13">
        <f>D94*E94*K94+(F94+G94)*L94</f>
        <v>53.387358760693736</v>
      </c>
      <c r="N94" s="19"/>
      <c r="O94" s="13">
        <f>(F94+G94)*N94</f>
        <v>0</v>
      </c>
      <c r="P94" s="19">
        <v>0</v>
      </c>
      <c r="Q94" s="13">
        <f>(F94+G94)*P94</f>
        <v>0</v>
      </c>
      <c r="R94" s="13">
        <f>J94+M94+O94+Q94</f>
        <v>65.88580984993473</v>
      </c>
    </row>
    <row r="95" spans="1:18" ht="15">
      <c r="A95" s="26" t="s">
        <v>5</v>
      </c>
      <c r="B95" s="53">
        <v>2003</v>
      </c>
      <c r="C95" s="36" t="s">
        <v>40</v>
      </c>
      <c r="D95" s="37">
        <f>'Customer Count'!I18</f>
        <v>621.5</v>
      </c>
      <c r="E95" s="37">
        <v>1</v>
      </c>
      <c r="F95" s="39"/>
      <c r="G95" s="40">
        <f>'Monthly Volumes'!M41</f>
        <v>133.43333333333334</v>
      </c>
      <c r="H95" s="14">
        <f>'2002  PILS Recoveries'!H82</f>
        <v>0.017030225858714457</v>
      </c>
      <c r="I95" s="6">
        <f>'2002  PILS Recoveries'!I82</f>
        <v>0.014345483772545306</v>
      </c>
      <c r="J95" s="13">
        <f aca="true" t="shared" si="30" ref="J95:J105">D95*E95*H95+(F95+G95)*I95</f>
        <v>12.498451089240996</v>
      </c>
      <c r="K95" s="14">
        <f>'2002  PILS Recoveries'!K82</f>
        <v>0.0727449162462615</v>
      </c>
      <c r="L95" s="6">
        <f>'2002  PILS Recoveries'!L82</f>
        <v>0.06127699210823539</v>
      </c>
      <c r="M95" s="13">
        <f aca="true" t="shared" si="31" ref="M95:M105">D95*E95*K95+(F95+G95)*L95</f>
        <v>53.387358760693736</v>
      </c>
      <c r="N95" s="19"/>
      <c r="O95" s="13">
        <f aca="true" t="shared" si="32" ref="O95:O105">(F95+G95)*N95</f>
        <v>0</v>
      </c>
      <c r="P95" s="19">
        <v>0</v>
      </c>
      <c r="Q95" s="13">
        <f aca="true" t="shared" si="33" ref="Q95:Q105">(F95+G95)*P95</f>
        <v>0</v>
      </c>
      <c r="R95" s="13">
        <f aca="true" t="shared" si="34" ref="R95:R105">J95+M95+O95+Q95</f>
        <v>65.88580984993473</v>
      </c>
    </row>
    <row r="96" spans="1:18" ht="15">
      <c r="A96" s="26" t="s">
        <v>5</v>
      </c>
      <c r="B96" s="53">
        <v>2003</v>
      </c>
      <c r="C96" s="36" t="s">
        <v>41</v>
      </c>
      <c r="D96" s="37">
        <f>'Customer Count'!I19</f>
        <v>621.5</v>
      </c>
      <c r="E96" s="37">
        <v>1</v>
      </c>
      <c r="F96" s="39"/>
      <c r="G96" s="40">
        <f>'Monthly Volumes'!M42</f>
        <v>133.43333333333334</v>
      </c>
      <c r="H96" s="14">
        <f>'2002  PILS Recoveries'!H83</f>
        <v>0.017030225858714457</v>
      </c>
      <c r="I96" s="6">
        <f>'2002  PILS Recoveries'!I83</f>
        <v>0.014345483772545306</v>
      </c>
      <c r="J96" s="13">
        <f t="shared" si="30"/>
        <v>12.498451089240996</v>
      </c>
      <c r="K96" s="14">
        <f>'2002  PILS Recoveries'!K83</f>
        <v>0.0727449162462615</v>
      </c>
      <c r="L96" s="6">
        <f>'2002  PILS Recoveries'!L83</f>
        <v>0.06127699210823539</v>
      </c>
      <c r="M96" s="13">
        <f t="shared" si="31"/>
        <v>53.387358760693736</v>
      </c>
      <c r="N96" s="19"/>
      <c r="O96" s="13">
        <f t="shared" si="32"/>
        <v>0</v>
      </c>
      <c r="P96" s="19">
        <v>0</v>
      </c>
      <c r="Q96" s="13">
        <f t="shared" si="33"/>
        <v>0</v>
      </c>
      <c r="R96" s="13">
        <f t="shared" si="34"/>
        <v>65.88580984993473</v>
      </c>
    </row>
    <row r="97" spans="1:18" ht="15">
      <c r="A97" s="26" t="s">
        <v>5</v>
      </c>
      <c r="B97" s="53">
        <v>2003</v>
      </c>
      <c r="C97" s="36" t="s">
        <v>42</v>
      </c>
      <c r="D97" s="37">
        <f>'Customer Count'!I20</f>
        <v>621.5</v>
      </c>
      <c r="E97" s="37">
        <v>1</v>
      </c>
      <c r="F97" s="39"/>
      <c r="G97" s="40">
        <f>'Monthly Volumes'!M43</f>
        <v>133.43333333333334</v>
      </c>
      <c r="H97" s="14">
        <f>'2002  PILS Recoveries'!H84</f>
        <v>0.017030225858714457</v>
      </c>
      <c r="I97" s="6">
        <f>'2002  PILS Recoveries'!I84</f>
        <v>0.014345483772545306</v>
      </c>
      <c r="J97" s="13">
        <f t="shared" si="30"/>
        <v>12.498451089240996</v>
      </c>
      <c r="K97" s="14">
        <f>'2002  PILS Recoveries'!K84</f>
        <v>0.0727449162462615</v>
      </c>
      <c r="L97" s="6">
        <f>'2002  PILS Recoveries'!L84</f>
        <v>0.06127699210823539</v>
      </c>
      <c r="M97" s="13">
        <f t="shared" si="31"/>
        <v>53.387358760693736</v>
      </c>
      <c r="N97" s="19"/>
      <c r="O97" s="13">
        <f t="shared" si="32"/>
        <v>0</v>
      </c>
      <c r="P97" s="19">
        <v>0</v>
      </c>
      <c r="Q97" s="13">
        <f t="shared" si="33"/>
        <v>0</v>
      </c>
      <c r="R97" s="13">
        <f t="shared" si="34"/>
        <v>65.88580984993473</v>
      </c>
    </row>
    <row r="98" spans="1:18" ht="15">
      <c r="A98" s="26" t="s">
        <v>5</v>
      </c>
      <c r="B98" s="53">
        <v>2003</v>
      </c>
      <c r="C98" s="36" t="s">
        <v>35</v>
      </c>
      <c r="D98" s="37">
        <f>'Customer Count'!I21</f>
        <v>621.5</v>
      </c>
      <c r="E98" s="37">
        <v>1</v>
      </c>
      <c r="F98" s="39"/>
      <c r="G98" s="40">
        <f>'Monthly Volumes'!M44</f>
        <v>133.43333333333334</v>
      </c>
      <c r="H98" s="14">
        <f>'2002  PILS Recoveries'!H85</f>
        <v>0.017030225858714457</v>
      </c>
      <c r="I98" s="6">
        <f>'2002  PILS Recoveries'!I85</f>
        <v>0.014345483772545306</v>
      </c>
      <c r="J98" s="13">
        <f t="shared" si="30"/>
        <v>12.498451089240996</v>
      </c>
      <c r="K98" s="14">
        <f>'2002  PILS Recoveries'!K85</f>
        <v>0.0727449162462615</v>
      </c>
      <c r="L98" s="6">
        <f>'2002  PILS Recoveries'!L85</f>
        <v>0.06127699210823539</v>
      </c>
      <c r="M98" s="13">
        <f t="shared" si="31"/>
        <v>53.387358760693736</v>
      </c>
      <c r="N98" s="19"/>
      <c r="O98" s="13">
        <f t="shared" si="32"/>
        <v>0</v>
      </c>
      <c r="P98" s="19">
        <v>0</v>
      </c>
      <c r="Q98" s="13">
        <f t="shared" si="33"/>
        <v>0</v>
      </c>
      <c r="R98" s="13">
        <f t="shared" si="34"/>
        <v>65.88580984993473</v>
      </c>
    </row>
    <row r="99" spans="1:18" ht="15">
      <c r="A99" s="26" t="s">
        <v>5</v>
      </c>
      <c r="B99" s="53">
        <v>2003</v>
      </c>
      <c r="C99" s="36" t="s">
        <v>43</v>
      </c>
      <c r="D99" s="37">
        <f>'Customer Count'!I22</f>
        <v>621.5</v>
      </c>
      <c r="E99" s="37">
        <v>1</v>
      </c>
      <c r="F99" s="39"/>
      <c r="G99" s="40">
        <f>'Monthly Volumes'!M45</f>
        <v>133.43333333333334</v>
      </c>
      <c r="H99" s="14">
        <f>'2002  PILS Recoveries'!H86</f>
        <v>0.017030225858714457</v>
      </c>
      <c r="I99" s="6">
        <f>'2002  PILS Recoveries'!I86</f>
        <v>0.014345483772545306</v>
      </c>
      <c r="J99" s="13">
        <f t="shared" si="30"/>
        <v>12.498451089240996</v>
      </c>
      <c r="K99" s="14">
        <f>'2002  PILS Recoveries'!K86</f>
        <v>0.0727449162462615</v>
      </c>
      <c r="L99" s="6">
        <f>'2002  PILS Recoveries'!L86</f>
        <v>0.06127699210823539</v>
      </c>
      <c r="M99" s="13">
        <f t="shared" si="31"/>
        <v>53.387358760693736</v>
      </c>
      <c r="N99" s="19"/>
      <c r="O99" s="13">
        <f t="shared" si="32"/>
        <v>0</v>
      </c>
      <c r="P99" s="19">
        <v>0</v>
      </c>
      <c r="Q99" s="13">
        <f t="shared" si="33"/>
        <v>0</v>
      </c>
      <c r="R99" s="13">
        <f t="shared" si="34"/>
        <v>65.88580984993473</v>
      </c>
    </row>
    <row r="100" spans="1:18" ht="15">
      <c r="A100" s="26" t="s">
        <v>5</v>
      </c>
      <c r="B100" s="53">
        <v>2003</v>
      </c>
      <c r="C100" s="36" t="s">
        <v>44</v>
      </c>
      <c r="D100" s="37">
        <f>'Customer Count'!I23</f>
        <v>621.5</v>
      </c>
      <c r="E100" s="37">
        <v>1</v>
      </c>
      <c r="F100" s="39"/>
      <c r="G100" s="40">
        <f>'Monthly Volumes'!M46</f>
        <v>133.43333333333334</v>
      </c>
      <c r="H100" s="14">
        <f>'2002  PILS Recoveries'!H87</f>
        <v>0.017030225858714457</v>
      </c>
      <c r="I100" s="6">
        <f>'2002  PILS Recoveries'!I87</f>
        <v>0.014345483772545306</v>
      </c>
      <c r="J100" s="13">
        <f t="shared" si="30"/>
        <v>12.498451089240996</v>
      </c>
      <c r="K100" s="14">
        <f>'2002  PILS Recoveries'!K87</f>
        <v>0.0727449162462615</v>
      </c>
      <c r="L100" s="6">
        <f>'2002  PILS Recoveries'!L87</f>
        <v>0.06127699210823539</v>
      </c>
      <c r="M100" s="13">
        <f t="shared" si="31"/>
        <v>53.387358760693736</v>
      </c>
      <c r="N100" s="19"/>
      <c r="O100" s="13">
        <f t="shared" si="32"/>
        <v>0</v>
      </c>
      <c r="P100" s="19">
        <v>0</v>
      </c>
      <c r="Q100" s="13">
        <f t="shared" si="33"/>
        <v>0</v>
      </c>
      <c r="R100" s="13">
        <f t="shared" si="34"/>
        <v>65.88580984993473</v>
      </c>
    </row>
    <row r="101" spans="1:18" ht="15">
      <c r="A101" s="26" t="s">
        <v>5</v>
      </c>
      <c r="B101" s="53">
        <v>2003</v>
      </c>
      <c r="C101" s="36" t="s">
        <v>45</v>
      </c>
      <c r="D101" s="37">
        <f>'Customer Count'!I24</f>
        <v>621.5</v>
      </c>
      <c r="E101" s="37">
        <v>1</v>
      </c>
      <c r="F101" s="39"/>
      <c r="G101" s="40">
        <f>'Monthly Volumes'!M47</f>
        <v>133.43333333333334</v>
      </c>
      <c r="H101" s="14">
        <f>'2002  PILS Recoveries'!H88</f>
        <v>0.017030225858714457</v>
      </c>
      <c r="I101" s="6">
        <f>'2002  PILS Recoveries'!I88</f>
        <v>0.014345483772545306</v>
      </c>
      <c r="J101" s="13">
        <f t="shared" si="30"/>
        <v>12.498451089240996</v>
      </c>
      <c r="K101" s="14">
        <f>'2002  PILS Recoveries'!K88</f>
        <v>0.0727449162462615</v>
      </c>
      <c r="L101" s="6">
        <f>'2002  PILS Recoveries'!L88</f>
        <v>0.06127699210823539</v>
      </c>
      <c r="M101" s="13">
        <f t="shared" si="31"/>
        <v>53.387358760693736</v>
      </c>
      <c r="N101" s="19"/>
      <c r="O101" s="13">
        <f t="shared" si="32"/>
        <v>0</v>
      </c>
      <c r="P101" s="19">
        <v>0</v>
      </c>
      <c r="Q101" s="13">
        <f t="shared" si="33"/>
        <v>0</v>
      </c>
      <c r="R101" s="13">
        <f t="shared" si="34"/>
        <v>65.88580984993473</v>
      </c>
    </row>
    <row r="102" spans="1:18" ht="15">
      <c r="A102" s="26" t="s">
        <v>5</v>
      </c>
      <c r="B102" s="53">
        <v>2003</v>
      </c>
      <c r="C102" s="36" t="s">
        <v>46</v>
      </c>
      <c r="D102" s="37">
        <f>'Customer Count'!I25</f>
        <v>621.5</v>
      </c>
      <c r="E102" s="37">
        <v>1</v>
      </c>
      <c r="F102" s="39"/>
      <c r="G102" s="40">
        <f>'Monthly Volumes'!M48</f>
        <v>133.43333333333334</v>
      </c>
      <c r="H102" s="14">
        <f>'2002  PILS Recoveries'!H89</f>
        <v>0.017030225858714457</v>
      </c>
      <c r="I102" s="6">
        <f>'2002  PILS Recoveries'!I89</f>
        <v>0.014345483772545306</v>
      </c>
      <c r="J102" s="13">
        <f t="shared" si="30"/>
        <v>12.498451089240996</v>
      </c>
      <c r="K102" s="14">
        <f>'2002  PILS Recoveries'!K89</f>
        <v>0.0727449162462615</v>
      </c>
      <c r="L102" s="6">
        <f>'2002  PILS Recoveries'!L89</f>
        <v>0.06127699210823539</v>
      </c>
      <c r="M102" s="13">
        <f t="shared" si="31"/>
        <v>53.387358760693736</v>
      </c>
      <c r="N102" s="19"/>
      <c r="O102" s="13">
        <f t="shared" si="32"/>
        <v>0</v>
      </c>
      <c r="P102" s="19">
        <v>0</v>
      </c>
      <c r="Q102" s="13">
        <f t="shared" si="33"/>
        <v>0</v>
      </c>
      <c r="R102" s="13">
        <f t="shared" si="34"/>
        <v>65.88580984993473</v>
      </c>
    </row>
    <row r="103" spans="1:18" ht="15">
      <c r="A103" s="26" t="s">
        <v>5</v>
      </c>
      <c r="B103" s="53">
        <v>2003</v>
      </c>
      <c r="C103" s="36" t="s">
        <v>47</v>
      </c>
      <c r="D103" s="37">
        <f>'Customer Count'!I26</f>
        <v>621.5</v>
      </c>
      <c r="E103" s="37">
        <v>1</v>
      </c>
      <c r="F103" s="39"/>
      <c r="G103" s="40">
        <f>'Monthly Volumes'!M49</f>
        <v>133.43333333333334</v>
      </c>
      <c r="H103" s="14">
        <f>'2002  PILS Recoveries'!H90</f>
        <v>0.017030225858714457</v>
      </c>
      <c r="I103" s="6">
        <f>'2002  PILS Recoveries'!I90</f>
        <v>0.014345483772545306</v>
      </c>
      <c r="J103" s="13">
        <f t="shared" si="30"/>
        <v>12.498451089240996</v>
      </c>
      <c r="K103" s="14">
        <f>'2002  PILS Recoveries'!K90</f>
        <v>0.0727449162462615</v>
      </c>
      <c r="L103" s="6">
        <f>'2002  PILS Recoveries'!L90</f>
        <v>0.06127699210823539</v>
      </c>
      <c r="M103" s="13">
        <f t="shared" si="31"/>
        <v>53.387358760693736</v>
      </c>
      <c r="N103" s="19"/>
      <c r="O103" s="13">
        <f t="shared" si="32"/>
        <v>0</v>
      </c>
      <c r="P103" s="19">
        <v>0</v>
      </c>
      <c r="Q103" s="13">
        <f t="shared" si="33"/>
        <v>0</v>
      </c>
      <c r="R103" s="13">
        <f t="shared" si="34"/>
        <v>65.88580984993473</v>
      </c>
    </row>
    <row r="104" spans="1:18" ht="15">
      <c r="A104" s="26" t="s">
        <v>5</v>
      </c>
      <c r="B104" s="53">
        <v>2003</v>
      </c>
      <c r="C104" s="36" t="s">
        <v>48</v>
      </c>
      <c r="D104" s="37">
        <f>'Customer Count'!I27</f>
        <v>621.5</v>
      </c>
      <c r="E104" s="37">
        <v>1</v>
      </c>
      <c r="F104" s="39"/>
      <c r="G104" s="40">
        <f>'Monthly Volumes'!M50</f>
        <v>133.43333333333334</v>
      </c>
      <c r="H104" s="14">
        <f>H103</f>
        <v>0.017030225858714457</v>
      </c>
      <c r="I104" s="6">
        <f>I103</f>
        <v>0.014345483772545306</v>
      </c>
      <c r="J104" s="13">
        <f t="shared" si="30"/>
        <v>12.498451089240996</v>
      </c>
      <c r="K104" s="14">
        <f>K103</f>
        <v>0.0727449162462615</v>
      </c>
      <c r="L104" s="6">
        <f>L103</f>
        <v>0.06127699210823539</v>
      </c>
      <c r="M104" s="13">
        <f t="shared" si="31"/>
        <v>53.387358760693736</v>
      </c>
      <c r="N104" s="19"/>
      <c r="O104" s="13">
        <f t="shared" si="32"/>
        <v>0</v>
      </c>
      <c r="P104" s="19">
        <v>0</v>
      </c>
      <c r="Q104" s="13">
        <f t="shared" si="33"/>
        <v>0</v>
      </c>
      <c r="R104" s="13">
        <f t="shared" si="34"/>
        <v>65.88580984993473</v>
      </c>
    </row>
    <row r="105" spans="1:18" ht="15">
      <c r="A105" s="26" t="s">
        <v>5</v>
      </c>
      <c r="B105" s="53">
        <v>2003</v>
      </c>
      <c r="C105" s="36" t="s">
        <v>49</v>
      </c>
      <c r="D105" s="37">
        <f>'Customer Count'!I28</f>
        <v>621.5</v>
      </c>
      <c r="E105" s="37">
        <v>1</v>
      </c>
      <c r="F105" s="39"/>
      <c r="G105" s="40">
        <f>'Monthly Volumes'!M51</f>
        <v>133.43333333333334</v>
      </c>
      <c r="H105" s="14">
        <f>H104</f>
        <v>0.017030225858714457</v>
      </c>
      <c r="I105" s="6">
        <f>I104</f>
        <v>0.014345483772545306</v>
      </c>
      <c r="J105" s="13">
        <f t="shared" si="30"/>
        <v>12.498451089240996</v>
      </c>
      <c r="K105" s="14">
        <f>K104</f>
        <v>0.0727449162462615</v>
      </c>
      <c r="L105" s="6">
        <f>L104</f>
        <v>0.06127699210823539</v>
      </c>
      <c r="M105" s="13">
        <f t="shared" si="31"/>
        <v>53.387358760693736</v>
      </c>
      <c r="N105" s="19"/>
      <c r="O105" s="13">
        <f t="shared" si="32"/>
        <v>0</v>
      </c>
      <c r="P105" s="19">
        <v>0</v>
      </c>
      <c r="Q105" s="13">
        <f t="shared" si="33"/>
        <v>0</v>
      </c>
      <c r="R105" s="13">
        <f t="shared" si="34"/>
        <v>65.88580984993473</v>
      </c>
    </row>
    <row r="106" spans="1:18" ht="15.75" thickBot="1">
      <c r="A106" s="26"/>
      <c r="B106" s="53"/>
      <c r="C106" s="36"/>
      <c r="D106" s="37"/>
      <c r="E106" s="37"/>
      <c r="F106" s="39"/>
      <c r="G106" s="40"/>
      <c r="H106" s="14"/>
      <c r="I106" s="6"/>
      <c r="J106" s="13"/>
      <c r="K106" s="14"/>
      <c r="L106" s="6"/>
      <c r="M106" s="13"/>
      <c r="N106" s="19"/>
      <c r="O106" s="13"/>
      <c r="P106" s="19"/>
      <c r="Q106" s="13"/>
      <c r="R106" s="13"/>
    </row>
    <row r="107" spans="1:18" ht="15.75" thickBot="1">
      <c r="A107" s="55" t="s">
        <v>64</v>
      </c>
      <c r="B107" s="56"/>
      <c r="C107" s="57"/>
      <c r="D107" s="58">
        <f>SUM(D94:D106)</f>
        <v>7458</v>
      </c>
      <c r="E107" s="58"/>
      <c r="F107" s="58">
        <f>SUM(F94:F106)</f>
        <v>0</v>
      </c>
      <c r="G107" s="58">
        <f>SUM(G94:G106)</f>
        <v>1601.2000000000005</v>
      </c>
      <c r="H107" s="60"/>
      <c r="I107" s="61"/>
      <c r="J107" s="62">
        <f>SUM(J94:J106)</f>
        <v>149.981413070892</v>
      </c>
      <c r="K107" s="60"/>
      <c r="L107" s="61"/>
      <c r="M107" s="62">
        <f>SUM(M94:M106)</f>
        <v>640.6483051283249</v>
      </c>
      <c r="N107" s="63"/>
      <c r="O107" s="62">
        <f>SUM(O94:O106)</f>
        <v>0</v>
      </c>
      <c r="P107" s="63"/>
      <c r="Q107" s="62">
        <f>SUM(Q94:Q106)</f>
        <v>0</v>
      </c>
      <c r="R107" s="62">
        <f>SUM(R94:R106)</f>
        <v>790.6297181992168</v>
      </c>
    </row>
    <row r="108" spans="1:18" ht="15">
      <c r="A108" s="16"/>
      <c r="B108" s="3"/>
      <c r="C108" s="3"/>
      <c r="D108" s="64"/>
      <c r="E108" s="64"/>
      <c r="F108" s="64"/>
      <c r="G108" s="65"/>
      <c r="H108" s="14"/>
      <c r="I108" s="6"/>
      <c r="J108" s="13"/>
      <c r="K108" s="14"/>
      <c r="L108" s="6"/>
      <c r="M108" s="13"/>
      <c r="N108" s="19"/>
      <c r="O108" s="13"/>
      <c r="P108" s="19"/>
      <c r="Q108" s="13"/>
      <c r="R108" s="13"/>
    </row>
    <row r="109" spans="1:18" s="18" customFormat="1" ht="15.75" thickBot="1">
      <c r="A109" s="114" t="s">
        <v>25</v>
      </c>
      <c r="B109" s="115"/>
      <c r="C109" s="115"/>
      <c r="D109" s="116"/>
      <c r="E109" s="116"/>
      <c r="F109" s="116">
        <f>F17+F32+F47+F62+F77+F92+F107</f>
        <v>17355369.770592768</v>
      </c>
      <c r="G109" s="116">
        <f>G17+G32+G47+G62+G77+G92+G107</f>
        <v>58812.29999999999</v>
      </c>
      <c r="H109" s="114"/>
      <c r="I109" s="115"/>
      <c r="J109" s="117">
        <f>J17+J32+J47+J62+J77+J92+J107</f>
        <v>7398.486482593882</v>
      </c>
      <c r="K109" s="114"/>
      <c r="L109" s="115"/>
      <c r="M109" s="117">
        <f>M17+M32+M47+M62+M77+M92+M107</f>
        <v>31602.768160000003</v>
      </c>
      <c r="N109" s="114"/>
      <c r="O109" s="117">
        <f>O17+O32+O47+O62+O77+O92+O107</f>
        <v>0</v>
      </c>
      <c r="P109" s="114"/>
      <c r="Q109" s="117">
        <f>Q17+Q32+Q47+Q62+Q77+Q92+Q107</f>
        <v>0</v>
      </c>
      <c r="R109" s="117">
        <f>R17+R32+R47+R62+R77+R92+R107</f>
        <v>39001.25464259387</v>
      </c>
    </row>
    <row r="110" spans="1:18" ht="15">
      <c r="A110" s="3"/>
      <c r="B110" s="3"/>
      <c r="C110" s="3"/>
      <c r="D110" s="9"/>
      <c r="E110" s="9"/>
      <c r="F110" s="9"/>
      <c r="G110" s="9"/>
      <c r="H110" s="3"/>
      <c r="I110" s="3"/>
      <c r="J110" s="4"/>
      <c r="K110" s="3"/>
      <c r="L110" s="3"/>
      <c r="M110" s="4"/>
      <c r="N110" s="4"/>
      <c r="O110" s="4"/>
      <c r="P110" s="4"/>
      <c r="Q110" s="4"/>
      <c r="R110" s="4"/>
    </row>
    <row r="112" spans="6:11" ht="15">
      <c r="F112" s="10"/>
      <c r="J112" s="8"/>
      <c r="K112" s="2"/>
    </row>
    <row r="113" spans="10:11" ht="15">
      <c r="J113" s="8"/>
      <c r="K113" s="2"/>
    </row>
    <row r="114" spans="10:11" ht="15">
      <c r="J114" s="8"/>
      <c r="K114" s="2"/>
    </row>
    <row r="115" spans="10:11" ht="15">
      <c r="J115" s="8"/>
      <c r="K115" s="2"/>
    </row>
    <row r="116" spans="10:11" ht="15">
      <c r="J116" s="8"/>
      <c r="K116" s="2"/>
    </row>
    <row r="117" spans="10:11" ht="15">
      <c r="J117" s="8"/>
      <c r="K117" s="2"/>
    </row>
  </sheetData>
  <sheetProtection/>
  <printOptions/>
  <pageMargins left="0.45" right="0.45" top="0.75" bottom="0.75" header="0.3" footer="0.3"/>
  <pageSetup fitToHeight="2" fitToWidth="1" horizontalDpi="600" verticalDpi="600" orientation="landscape" scale="54" r:id="rId1"/>
  <headerFooter alignWithMargins="0">
    <oddHeader>&amp;C&amp;A&amp;RWoodstock Hydro
EB-2011-0207
September 2011</oddHeader>
    <oddFooter>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6"/>
  <sheetViews>
    <sheetView showGridLines="0" zoomScalePageLayoutView="0" workbookViewId="0" topLeftCell="A92">
      <selection activeCell="N15" sqref="N15"/>
    </sheetView>
  </sheetViews>
  <sheetFormatPr defaultColWidth="9.140625" defaultRowHeight="15"/>
  <cols>
    <col min="1" max="1" width="22.8515625" style="0" bestFit="1" customWidth="1"/>
    <col min="2" max="2" width="7.57421875" style="0" customWidth="1"/>
    <col min="3" max="3" width="8.57421875" style="0" bestFit="1" customWidth="1"/>
    <col min="4" max="4" width="10.421875" style="0" bestFit="1" customWidth="1"/>
    <col min="5" max="5" width="7.57421875" style="0" hidden="1" customWidth="1"/>
    <col min="6" max="6" width="12.57421875" style="0" bestFit="1" customWidth="1"/>
    <col min="7" max="7" width="9.00390625" style="0" bestFit="1" customWidth="1"/>
    <col min="8" max="8" width="11.28125" style="0" bestFit="1" customWidth="1"/>
    <col min="9" max="9" width="11.00390625" style="0" bestFit="1" customWidth="1"/>
    <col min="10" max="10" width="11.57421875" style="0" bestFit="1" customWidth="1"/>
    <col min="11" max="11" width="12.57421875" style="0" bestFit="1" customWidth="1"/>
    <col min="12" max="12" width="11.421875" style="0" customWidth="1"/>
    <col min="13" max="13" width="12.57421875" style="0" bestFit="1" customWidth="1"/>
    <col min="14" max="14" width="11.00390625" style="0" bestFit="1" customWidth="1"/>
    <col min="15" max="15" width="12.57421875" style="0" bestFit="1" customWidth="1"/>
    <col min="16" max="16" width="9.8515625" style="0" hidden="1" customWidth="1"/>
    <col min="17" max="17" width="14.57421875" style="0" hidden="1" customWidth="1"/>
    <col min="18" max="18" width="12.57421875" style="0" bestFit="1" customWidth="1"/>
  </cols>
  <sheetData>
    <row r="1" s="1" customFormat="1" ht="15.75" thickBot="1"/>
    <row r="2" spans="1:18" s="23" customFormat="1" ht="75">
      <c r="A2" s="33" t="s">
        <v>24</v>
      </c>
      <c r="B2" s="52"/>
      <c r="C2" s="34" t="s">
        <v>23</v>
      </c>
      <c r="D2" s="34" t="s">
        <v>57</v>
      </c>
      <c r="E2" s="34" t="s">
        <v>27</v>
      </c>
      <c r="F2" s="34" t="s">
        <v>9</v>
      </c>
      <c r="G2" s="35" t="s">
        <v>10</v>
      </c>
      <c r="H2" s="15" t="s">
        <v>12</v>
      </c>
      <c r="I2" s="17" t="s">
        <v>19</v>
      </c>
      <c r="J2" s="22" t="s">
        <v>13</v>
      </c>
      <c r="K2" s="15" t="s">
        <v>88</v>
      </c>
      <c r="L2" s="17" t="s">
        <v>89</v>
      </c>
      <c r="M2" s="22" t="s">
        <v>90</v>
      </c>
      <c r="N2" s="15" t="s">
        <v>17</v>
      </c>
      <c r="O2" s="22" t="s">
        <v>18</v>
      </c>
      <c r="P2" s="15" t="s">
        <v>20</v>
      </c>
      <c r="Q2" s="22" t="s">
        <v>21</v>
      </c>
      <c r="R2" s="22" t="s">
        <v>6</v>
      </c>
    </row>
    <row r="3" spans="1:18" ht="15">
      <c r="A3" s="26" t="s">
        <v>0</v>
      </c>
      <c r="B3" s="53">
        <v>2004</v>
      </c>
      <c r="C3" s="36" t="s">
        <v>39</v>
      </c>
      <c r="D3" s="37">
        <f>'Customer Count'!C29</f>
        <v>1481.5</v>
      </c>
      <c r="E3" s="37">
        <v>1</v>
      </c>
      <c r="F3" s="37">
        <f>'Monthly Volumes'!E4</f>
        <v>904107.5</v>
      </c>
      <c r="G3" s="38"/>
      <c r="H3" s="12">
        <f>'2003 PILS Recoveries'!H4</f>
        <v>0.2334631907874097</v>
      </c>
      <c r="I3" s="6">
        <f>'2003 PILS Recoveries'!I4</f>
        <v>6.7318236418576E-05</v>
      </c>
      <c r="J3" s="13">
        <f>D3*E3*H3+(F3+G3)*I3</f>
        <v>406.73863958435516</v>
      </c>
      <c r="K3" s="12">
        <f>'2003 PILS Recoveries'!K4</f>
        <v>0.9972422210551405</v>
      </c>
      <c r="L3" s="6">
        <f>'2003 PILS Recoveries'!L4</f>
        <v>0.0002875510583795042</v>
      </c>
      <c r="M3" s="13">
        <f>D3*E3*K3+(F3+G3)*L3</f>
        <v>1737.3914190070382</v>
      </c>
      <c r="N3" s="19"/>
      <c r="O3" s="13">
        <f>(F3+G3)*N3</f>
        <v>0</v>
      </c>
      <c r="P3" s="19">
        <v>0</v>
      </c>
      <c r="Q3" s="13">
        <f>(F3+G3)*P3</f>
        <v>0</v>
      </c>
      <c r="R3" s="13">
        <f>J3+M3+O3+Q3</f>
        <v>2144.130058591393</v>
      </c>
    </row>
    <row r="4" spans="1:18" ht="15">
      <c r="A4" s="26" t="s">
        <v>0</v>
      </c>
      <c r="B4" s="53">
        <v>2004</v>
      </c>
      <c r="C4" s="36" t="s">
        <v>40</v>
      </c>
      <c r="D4" s="37">
        <f>'Customer Count'!C30</f>
        <v>1481.5</v>
      </c>
      <c r="E4" s="37">
        <v>1</v>
      </c>
      <c r="F4" s="37">
        <f>'Monthly Volumes'!E5</f>
        <v>904107.5</v>
      </c>
      <c r="G4" s="38"/>
      <c r="H4" s="12">
        <f>'2003 PILS Recoveries'!H5</f>
        <v>0.2334631907874097</v>
      </c>
      <c r="I4" s="6">
        <f>'2003 PILS Recoveries'!I5</f>
        <v>6.7318236418576E-05</v>
      </c>
      <c r="J4" s="13">
        <f>D4*E4*H4+(F4+G4)*I4</f>
        <v>406.73863958435516</v>
      </c>
      <c r="K4" s="12">
        <f>'2003 PILS Recoveries'!K5</f>
        <v>0.9972422210551405</v>
      </c>
      <c r="L4" s="6">
        <f>'2003 PILS Recoveries'!L5</f>
        <v>0.0002875510583795042</v>
      </c>
      <c r="M4" s="13">
        <f>D4*E4*K4+(F4+G4)*L4</f>
        <v>1737.3914190070382</v>
      </c>
      <c r="N4" s="19"/>
      <c r="O4" s="13">
        <f>(F4+G4)*N4</f>
        <v>0</v>
      </c>
      <c r="P4" s="19">
        <v>0</v>
      </c>
      <c r="Q4" s="13">
        <f>(F4+G4)*P4</f>
        <v>0</v>
      </c>
      <c r="R4" s="13">
        <f>J4+M4+O4+Q4</f>
        <v>2144.130058591393</v>
      </c>
    </row>
    <row r="5" spans="1:18" ht="15">
      <c r="A5" s="26" t="s">
        <v>0</v>
      </c>
      <c r="B5" s="53">
        <v>2004</v>
      </c>
      <c r="C5" s="36" t="s">
        <v>41</v>
      </c>
      <c r="D5" s="37">
        <f>'Customer Count'!C31</f>
        <v>1481.5</v>
      </c>
      <c r="E5" s="37">
        <v>1</v>
      </c>
      <c r="F5" s="37">
        <f>'Monthly Volumes'!E6</f>
        <v>904107.5</v>
      </c>
      <c r="G5" s="38"/>
      <c r="H5" s="12">
        <f>'2003 PILS Recoveries'!H6</f>
        <v>0.2334631907874097</v>
      </c>
      <c r="I5" s="6">
        <f>'2003 PILS Recoveries'!I6</f>
        <v>6.7318236418576E-05</v>
      </c>
      <c r="J5" s="13">
        <f>D5*E5*H5+(F5+G5)*I5</f>
        <v>406.73863958435516</v>
      </c>
      <c r="K5" s="12">
        <f>'2003 PILS Recoveries'!K6</f>
        <v>0.9972422210551405</v>
      </c>
      <c r="L5" s="6">
        <f>'2003 PILS Recoveries'!L6</f>
        <v>0.0002875510583795042</v>
      </c>
      <c r="M5" s="13">
        <f>D5*E5*K5+(F5+G5)*L5</f>
        <v>1737.3914190070382</v>
      </c>
      <c r="N5" s="19"/>
      <c r="O5" s="13">
        <f>(F5+G5)*N5</f>
        <v>0</v>
      </c>
      <c r="P5" s="19">
        <v>0</v>
      </c>
      <c r="Q5" s="13">
        <f>(F5+G5)*P5</f>
        <v>0</v>
      </c>
      <c r="R5" s="13">
        <f>J5+M5+O5+Q5</f>
        <v>2144.130058591393</v>
      </c>
    </row>
    <row r="6" spans="1:18" ht="15">
      <c r="A6" s="26" t="s">
        <v>0</v>
      </c>
      <c r="B6" s="53">
        <v>2004</v>
      </c>
      <c r="C6" s="36" t="s">
        <v>42</v>
      </c>
      <c r="D6" s="37"/>
      <c r="E6" s="37">
        <v>1</v>
      </c>
      <c r="F6" s="37">
        <f>'Monthly Volumes'!E7</f>
        <v>904107.5</v>
      </c>
      <c r="G6" s="38"/>
      <c r="H6" s="12">
        <v>0</v>
      </c>
      <c r="I6" s="6">
        <v>0</v>
      </c>
      <c r="J6" s="13">
        <f>D6*E6*H6+(F6+G6)*I6</f>
        <v>0</v>
      </c>
      <c r="K6" s="12">
        <v>0</v>
      </c>
      <c r="L6" s="6">
        <v>0</v>
      </c>
      <c r="M6" s="13">
        <f>D6*E6*K6+(F6+G6)*L6</f>
        <v>0</v>
      </c>
      <c r="N6" s="19">
        <f>'[4]7. 2002 Data &amp; 2004 PILs'!$B$48</f>
        <v>0.0019016505151131212</v>
      </c>
      <c r="O6" s="13">
        <f>(F6+G6)*N6</f>
        <v>1719.2964930926362</v>
      </c>
      <c r="P6" s="19">
        <v>0</v>
      </c>
      <c r="Q6" s="13">
        <f>(F6+G6)*P6</f>
        <v>0</v>
      </c>
      <c r="R6" s="13">
        <f>J6+M6+O6+Q6</f>
        <v>1719.2964930926362</v>
      </c>
    </row>
    <row r="7" spans="1:18" ht="15">
      <c r="A7" s="26" t="s">
        <v>0</v>
      </c>
      <c r="B7" s="53">
        <v>2004</v>
      </c>
      <c r="C7" s="36" t="s">
        <v>35</v>
      </c>
      <c r="D7" s="37"/>
      <c r="E7" s="37">
        <v>1</v>
      </c>
      <c r="F7" s="37">
        <f>'Monthly Volumes'!E8</f>
        <v>904107.5</v>
      </c>
      <c r="G7" s="38"/>
      <c r="H7" s="12">
        <v>0</v>
      </c>
      <c r="I7" s="6">
        <v>0</v>
      </c>
      <c r="J7" s="13">
        <f aca="true" t="shared" si="0" ref="J7:J14">D7*E7*H7+(F7+G7)*I7</f>
        <v>0</v>
      </c>
      <c r="K7" s="12">
        <v>0</v>
      </c>
      <c r="L7" s="6">
        <v>0</v>
      </c>
      <c r="M7" s="13">
        <f aca="true" t="shared" si="1" ref="M7:M14">D7*E7*K7+(F7+G7)*L7</f>
        <v>0</v>
      </c>
      <c r="N7" s="19">
        <f>'[4]7. 2002 Data &amp; 2004 PILs'!$B$48</f>
        <v>0.0019016505151131212</v>
      </c>
      <c r="O7" s="13">
        <f aca="true" t="shared" si="2" ref="O7:O14">(F7+G7)*N7</f>
        <v>1719.2964930926362</v>
      </c>
      <c r="P7" s="19">
        <v>0</v>
      </c>
      <c r="Q7" s="13">
        <f aca="true" t="shared" si="3" ref="Q7:Q14">(F7+G7)*P7</f>
        <v>0</v>
      </c>
      <c r="R7" s="13">
        <f aca="true" t="shared" si="4" ref="R7:R14">J7+M7+O7+Q7</f>
        <v>1719.2964930926362</v>
      </c>
    </row>
    <row r="8" spans="1:18" ht="15">
      <c r="A8" s="26" t="s">
        <v>0</v>
      </c>
      <c r="B8" s="53">
        <v>2004</v>
      </c>
      <c r="C8" s="36" t="s">
        <v>43</v>
      </c>
      <c r="D8" s="37"/>
      <c r="E8" s="37">
        <v>1</v>
      </c>
      <c r="F8" s="37">
        <f>'Monthly Volumes'!E9</f>
        <v>904107.5</v>
      </c>
      <c r="G8" s="38"/>
      <c r="H8" s="12">
        <v>0</v>
      </c>
      <c r="I8" s="6">
        <v>0</v>
      </c>
      <c r="J8" s="13">
        <f t="shared" si="0"/>
        <v>0</v>
      </c>
      <c r="K8" s="12">
        <v>0</v>
      </c>
      <c r="L8" s="6">
        <v>0</v>
      </c>
      <c r="M8" s="13">
        <f t="shared" si="1"/>
        <v>0</v>
      </c>
      <c r="N8" s="19">
        <f>'[4]7. 2002 Data &amp; 2004 PILs'!$B$48</f>
        <v>0.0019016505151131212</v>
      </c>
      <c r="O8" s="13">
        <f t="shared" si="2"/>
        <v>1719.2964930926362</v>
      </c>
      <c r="P8" s="19">
        <v>0</v>
      </c>
      <c r="Q8" s="13">
        <f t="shared" si="3"/>
        <v>0</v>
      </c>
      <c r="R8" s="13">
        <f t="shared" si="4"/>
        <v>1719.2964930926362</v>
      </c>
    </row>
    <row r="9" spans="1:18" ht="15">
      <c r="A9" s="26" t="s">
        <v>0</v>
      </c>
      <c r="B9" s="53">
        <v>2004</v>
      </c>
      <c r="C9" s="36" t="s">
        <v>44</v>
      </c>
      <c r="D9" s="37"/>
      <c r="E9" s="37">
        <v>1</v>
      </c>
      <c r="F9" s="37">
        <f>'Monthly Volumes'!E10</f>
        <v>904107.5</v>
      </c>
      <c r="G9" s="38"/>
      <c r="H9" s="12">
        <v>0</v>
      </c>
      <c r="I9" s="6">
        <v>0</v>
      </c>
      <c r="J9" s="13">
        <f t="shared" si="0"/>
        <v>0</v>
      </c>
      <c r="K9" s="12">
        <v>0</v>
      </c>
      <c r="L9" s="6">
        <v>0</v>
      </c>
      <c r="M9" s="13">
        <f t="shared" si="1"/>
        <v>0</v>
      </c>
      <c r="N9" s="19">
        <f>'[4]7. 2002 Data &amp; 2004 PILs'!$B$48</f>
        <v>0.0019016505151131212</v>
      </c>
      <c r="O9" s="13">
        <f t="shared" si="2"/>
        <v>1719.2964930926362</v>
      </c>
      <c r="P9" s="19">
        <v>0</v>
      </c>
      <c r="Q9" s="13">
        <f t="shared" si="3"/>
        <v>0</v>
      </c>
      <c r="R9" s="13">
        <f t="shared" si="4"/>
        <v>1719.2964930926362</v>
      </c>
    </row>
    <row r="10" spans="1:18" ht="15">
      <c r="A10" s="26" t="s">
        <v>0</v>
      </c>
      <c r="B10" s="53">
        <v>2004</v>
      </c>
      <c r="C10" s="36" t="s">
        <v>45</v>
      </c>
      <c r="D10" s="37"/>
      <c r="E10" s="37">
        <v>1</v>
      </c>
      <c r="F10" s="37">
        <f>'Monthly Volumes'!E11</f>
        <v>904107.5</v>
      </c>
      <c r="G10" s="38"/>
      <c r="H10" s="12">
        <v>0</v>
      </c>
      <c r="I10" s="6">
        <v>0</v>
      </c>
      <c r="J10" s="13">
        <f t="shared" si="0"/>
        <v>0</v>
      </c>
      <c r="K10" s="12">
        <v>0</v>
      </c>
      <c r="L10" s="6">
        <v>0</v>
      </c>
      <c r="M10" s="13">
        <f t="shared" si="1"/>
        <v>0</v>
      </c>
      <c r="N10" s="19">
        <f>'[4]7. 2002 Data &amp; 2004 PILs'!$B$48</f>
        <v>0.0019016505151131212</v>
      </c>
      <c r="O10" s="13">
        <f t="shared" si="2"/>
        <v>1719.2964930926362</v>
      </c>
      <c r="P10" s="19">
        <v>0</v>
      </c>
      <c r="Q10" s="13">
        <f t="shared" si="3"/>
        <v>0</v>
      </c>
      <c r="R10" s="13">
        <f t="shared" si="4"/>
        <v>1719.2964930926362</v>
      </c>
    </row>
    <row r="11" spans="1:18" ht="15">
      <c r="A11" s="26" t="s">
        <v>0</v>
      </c>
      <c r="B11" s="53">
        <v>2004</v>
      </c>
      <c r="C11" s="36" t="s">
        <v>46</v>
      </c>
      <c r="D11" s="37"/>
      <c r="E11" s="37">
        <v>1</v>
      </c>
      <c r="F11" s="37">
        <f>'Monthly Volumes'!E12</f>
        <v>904107.5</v>
      </c>
      <c r="G11" s="38"/>
      <c r="H11" s="12">
        <v>0</v>
      </c>
      <c r="I11" s="6">
        <v>0</v>
      </c>
      <c r="J11" s="13">
        <f t="shared" si="0"/>
        <v>0</v>
      </c>
      <c r="K11" s="12">
        <v>0</v>
      </c>
      <c r="L11" s="6">
        <v>0</v>
      </c>
      <c r="M11" s="13">
        <f t="shared" si="1"/>
        <v>0</v>
      </c>
      <c r="N11" s="19">
        <f>'[4]7. 2002 Data &amp; 2004 PILs'!$B$48</f>
        <v>0.0019016505151131212</v>
      </c>
      <c r="O11" s="13">
        <f t="shared" si="2"/>
        <v>1719.2964930926362</v>
      </c>
      <c r="P11" s="19">
        <v>0</v>
      </c>
      <c r="Q11" s="13">
        <f t="shared" si="3"/>
        <v>0</v>
      </c>
      <c r="R11" s="13">
        <f t="shared" si="4"/>
        <v>1719.2964930926362</v>
      </c>
    </row>
    <row r="12" spans="1:18" ht="15">
      <c r="A12" s="26" t="s">
        <v>0</v>
      </c>
      <c r="B12" s="53">
        <v>2004</v>
      </c>
      <c r="C12" s="36" t="s">
        <v>47</v>
      </c>
      <c r="D12" s="37"/>
      <c r="E12" s="37">
        <v>1</v>
      </c>
      <c r="F12" s="37">
        <f>'Monthly Volumes'!E13</f>
        <v>904107.5</v>
      </c>
      <c r="G12" s="38"/>
      <c r="H12" s="12">
        <v>0</v>
      </c>
      <c r="I12" s="6">
        <v>0</v>
      </c>
      <c r="J12" s="13">
        <f t="shared" si="0"/>
        <v>0</v>
      </c>
      <c r="K12" s="12">
        <v>0</v>
      </c>
      <c r="L12" s="6">
        <v>0</v>
      </c>
      <c r="M12" s="13">
        <f t="shared" si="1"/>
        <v>0</v>
      </c>
      <c r="N12" s="19">
        <f>'[4]7. 2002 Data &amp; 2004 PILs'!$B$48</f>
        <v>0.0019016505151131212</v>
      </c>
      <c r="O12" s="13">
        <f t="shared" si="2"/>
        <v>1719.2964930926362</v>
      </c>
      <c r="P12" s="19">
        <v>0</v>
      </c>
      <c r="Q12" s="13">
        <f t="shared" si="3"/>
        <v>0</v>
      </c>
      <c r="R12" s="13">
        <f t="shared" si="4"/>
        <v>1719.2964930926362</v>
      </c>
    </row>
    <row r="13" spans="1:18" ht="15">
      <c r="A13" s="26" t="s">
        <v>0</v>
      </c>
      <c r="B13" s="53">
        <v>2004</v>
      </c>
      <c r="C13" s="36" t="s">
        <v>48</v>
      </c>
      <c r="D13" s="37"/>
      <c r="E13" s="37">
        <v>1</v>
      </c>
      <c r="F13" s="37">
        <f>'Monthly Volumes'!E14</f>
        <v>904107.5</v>
      </c>
      <c r="G13" s="38"/>
      <c r="H13" s="12">
        <v>0</v>
      </c>
      <c r="I13" s="6">
        <v>0</v>
      </c>
      <c r="J13" s="13">
        <f t="shared" si="0"/>
        <v>0</v>
      </c>
      <c r="K13" s="12">
        <v>0</v>
      </c>
      <c r="L13" s="6">
        <v>0</v>
      </c>
      <c r="M13" s="13">
        <f t="shared" si="1"/>
        <v>0</v>
      </c>
      <c r="N13" s="19">
        <f>'[4]7. 2002 Data &amp; 2004 PILs'!$B$48</f>
        <v>0.0019016505151131212</v>
      </c>
      <c r="O13" s="13">
        <f t="shared" si="2"/>
        <v>1719.2964930926362</v>
      </c>
      <c r="P13" s="19">
        <v>0</v>
      </c>
      <c r="Q13" s="13">
        <f t="shared" si="3"/>
        <v>0</v>
      </c>
      <c r="R13" s="13">
        <f t="shared" si="4"/>
        <v>1719.2964930926362</v>
      </c>
    </row>
    <row r="14" spans="1:18" ht="15">
      <c r="A14" s="26" t="s">
        <v>0</v>
      </c>
      <c r="B14" s="53">
        <v>2004</v>
      </c>
      <c r="C14" s="36" t="s">
        <v>49</v>
      </c>
      <c r="D14" s="37"/>
      <c r="E14" s="37">
        <v>1</v>
      </c>
      <c r="F14" s="37">
        <f>'Monthly Volumes'!E15</f>
        <v>904107.5</v>
      </c>
      <c r="G14" s="38"/>
      <c r="H14" s="12">
        <v>0</v>
      </c>
      <c r="I14" s="6">
        <v>0</v>
      </c>
      <c r="J14" s="13">
        <f t="shared" si="0"/>
        <v>0</v>
      </c>
      <c r="K14" s="12">
        <v>0</v>
      </c>
      <c r="L14" s="6">
        <v>0</v>
      </c>
      <c r="M14" s="13">
        <f t="shared" si="1"/>
        <v>0</v>
      </c>
      <c r="N14" s="19">
        <f>'[4]7. 2002 Data &amp; 2004 PILs'!$B$48</f>
        <v>0.0019016505151131212</v>
      </c>
      <c r="O14" s="13">
        <f t="shared" si="2"/>
        <v>1719.2964930926362</v>
      </c>
      <c r="P14" s="19">
        <v>0</v>
      </c>
      <c r="Q14" s="13">
        <f t="shared" si="3"/>
        <v>0</v>
      </c>
      <c r="R14" s="13">
        <f t="shared" si="4"/>
        <v>1719.2964930926362</v>
      </c>
    </row>
    <row r="15" spans="1:18" ht="15.75" thickBot="1">
      <c r="A15" s="26"/>
      <c r="B15" s="53"/>
      <c r="C15" s="36"/>
      <c r="D15" s="37"/>
      <c r="E15" s="37"/>
      <c r="F15" s="37"/>
      <c r="G15" s="38"/>
      <c r="H15" s="12"/>
      <c r="I15" s="6"/>
      <c r="J15" s="13"/>
      <c r="K15" s="12"/>
      <c r="L15" s="6"/>
      <c r="M15" s="13"/>
      <c r="N15" s="19"/>
      <c r="O15" s="13"/>
      <c r="P15" s="19"/>
      <c r="Q15" s="13"/>
      <c r="R15" s="13"/>
    </row>
    <row r="16" spans="1:18" ht="15.75" thickBot="1">
      <c r="A16" s="55" t="s">
        <v>58</v>
      </c>
      <c r="B16" s="56"/>
      <c r="C16" s="57"/>
      <c r="D16" s="58">
        <f>SUM(D3:D15)</f>
        <v>4444.5</v>
      </c>
      <c r="E16" s="58"/>
      <c r="F16" s="58">
        <f>SUM(F3:F15)</f>
        <v>10849290</v>
      </c>
      <c r="G16" s="59">
        <f>SUM(G3:G15)</f>
        <v>0</v>
      </c>
      <c r="H16" s="60"/>
      <c r="I16" s="61"/>
      <c r="J16" s="62">
        <f>SUM(J3:J15)</f>
        <v>1220.2159187530656</v>
      </c>
      <c r="K16" s="60"/>
      <c r="L16" s="61"/>
      <c r="M16" s="62">
        <f>SUM(M3:M15)</f>
        <v>5212.1742570211145</v>
      </c>
      <c r="N16" s="63"/>
      <c r="O16" s="62">
        <f>SUM(O3:O15)</f>
        <v>15473.668437833723</v>
      </c>
      <c r="P16" s="63"/>
      <c r="Q16" s="62">
        <f>SUM(Q3:Q15)</f>
        <v>0</v>
      </c>
      <c r="R16" s="62">
        <f>SUM(R3:R15)</f>
        <v>21906.0586136079</v>
      </c>
    </row>
    <row r="17" spans="1:18" ht="15">
      <c r="A17" s="26"/>
      <c r="B17" s="53"/>
      <c r="C17" s="36"/>
      <c r="D17" s="37"/>
      <c r="E17" s="37"/>
      <c r="F17" s="37"/>
      <c r="G17" s="38"/>
      <c r="H17" s="12"/>
      <c r="I17" s="6"/>
      <c r="J17" s="13"/>
      <c r="K17" s="12"/>
      <c r="L17" s="6"/>
      <c r="M17" s="13"/>
      <c r="N17" s="19"/>
      <c r="O17" s="13"/>
      <c r="P17" s="19"/>
      <c r="Q17" s="13"/>
      <c r="R17" s="13"/>
    </row>
    <row r="18" spans="1:18" ht="15">
      <c r="A18" s="26" t="s">
        <v>1</v>
      </c>
      <c r="B18" s="53">
        <v>2004</v>
      </c>
      <c r="C18" s="36" t="s">
        <v>39</v>
      </c>
      <c r="D18" s="37">
        <f>'Customer Count'!D29</f>
        <v>254.5</v>
      </c>
      <c r="E18" s="37">
        <v>1</v>
      </c>
      <c r="F18" s="37">
        <f>'Monthly Volumes'!E22</f>
        <v>469401.8333333333</v>
      </c>
      <c r="G18" s="38"/>
      <c r="H18" s="12">
        <f>'2003 PILS Recoveries'!H19</f>
        <v>0.4593959768840128</v>
      </c>
      <c r="I18" s="6">
        <f>'2003 PILS Recoveries'!I19</f>
        <v>4.957181252495116E-05</v>
      </c>
      <c r="J18" s="13">
        <f>D18*E18*H18+(F18+G18)*I18</f>
        <v>140.18537579784962</v>
      </c>
      <c r="K18" s="12">
        <f>'2003 PILS Recoveries'!K19</f>
        <v>1.9623181829497855</v>
      </c>
      <c r="L18" s="6">
        <f>'2003 PILS Recoveries'!L19</f>
        <v>0.00021174688933779995</v>
      </c>
      <c r="M18" s="13">
        <f>D18*E18*K18+(F18+G18)*L18</f>
        <v>598.8043556185141</v>
      </c>
      <c r="N18" s="19"/>
      <c r="O18" s="13">
        <f>(F18+G18)*N18</f>
        <v>0</v>
      </c>
      <c r="P18" s="19">
        <v>0</v>
      </c>
      <c r="Q18" s="13">
        <f>(F18+G18)*P18</f>
        <v>0</v>
      </c>
      <c r="R18" s="13">
        <f>J18+M18+O18+Q18</f>
        <v>738.9897314163637</v>
      </c>
    </row>
    <row r="19" spans="1:18" ht="15">
      <c r="A19" s="26" t="s">
        <v>1</v>
      </c>
      <c r="B19" s="53">
        <v>2004</v>
      </c>
      <c r="C19" s="36" t="s">
        <v>40</v>
      </c>
      <c r="D19" s="37">
        <f>'Customer Count'!D30</f>
        <v>254.5</v>
      </c>
      <c r="E19" s="37">
        <v>1</v>
      </c>
      <c r="F19" s="37">
        <f>'Monthly Volumes'!E23</f>
        <v>469401.8333333333</v>
      </c>
      <c r="G19" s="38"/>
      <c r="H19" s="12">
        <f>'2003 PILS Recoveries'!H20</f>
        <v>0.4593959768840128</v>
      </c>
      <c r="I19" s="6">
        <f>'2003 PILS Recoveries'!I20</f>
        <v>4.957181252495116E-05</v>
      </c>
      <c r="J19" s="13">
        <f>D19*E19*H19+(F19+G19)*I19</f>
        <v>140.18537579784962</v>
      </c>
      <c r="K19" s="12">
        <f>'2003 PILS Recoveries'!K20</f>
        <v>1.9623181829497855</v>
      </c>
      <c r="L19" s="6">
        <f>'2003 PILS Recoveries'!L20</f>
        <v>0.00021174688933779995</v>
      </c>
      <c r="M19" s="13">
        <f>D19*E19*K19+(F19+G19)*L19</f>
        <v>598.8043556185141</v>
      </c>
      <c r="N19" s="19"/>
      <c r="O19" s="13">
        <f>(F19+G19)*N19</f>
        <v>0</v>
      </c>
      <c r="P19" s="19">
        <v>0</v>
      </c>
      <c r="Q19" s="13">
        <f>(F19+G19)*P19</f>
        <v>0</v>
      </c>
      <c r="R19" s="13">
        <f>J19+M19+O19+Q19</f>
        <v>738.9897314163637</v>
      </c>
    </row>
    <row r="20" spans="1:18" ht="15">
      <c r="A20" s="26" t="s">
        <v>1</v>
      </c>
      <c r="B20" s="53">
        <v>2004</v>
      </c>
      <c r="C20" s="36" t="s">
        <v>41</v>
      </c>
      <c r="D20" s="37">
        <f>'Customer Count'!D31</f>
        <v>254.5</v>
      </c>
      <c r="E20" s="37">
        <v>1</v>
      </c>
      <c r="F20" s="37">
        <f>'Monthly Volumes'!E24</f>
        <v>469401.8333333333</v>
      </c>
      <c r="G20" s="38"/>
      <c r="H20" s="12">
        <f>'2003 PILS Recoveries'!H21</f>
        <v>0.4593959768840128</v>
      </c>
      <c r="I20" s="6">
        <f>'2003 PILS Recoveries'!I21</f>
        <v>4.957181252495116E-05</v>
      </c>
      <c r="J20" s="13">
        <f>D20*E20*H20+(F20+G20)*I20</f>
        <v>140.18537579784962</v>
      </c>
      <c r="K20" s="12">
        <f>'2003 PILS Recoveries'!K21</f>
        <v>1.9623181829497855</v>
      </c>
      <c r="L20" s="6">
        <f>'2003 PILS Recoveries'!L21</f>
        <v>0.00021174688933779995</v>
      </c>
      <c r="M20" s="13">
        <f>D20*E20*K20+(F20+G20)*L20</f>
        <v>598.8043556185141</v>
      </c>
      <c r="N20" s="19"/>
      <c r="O20" s="13">
        <f>(F20+G20)*N20</f>
        <v>0</v>
      </c>
      <c r="P20" s="19">
        <v>0</v>
      </c>
      <c r="Q20" s="13">
        <f>(F20+G20)*P20</f>
        <v>0</v>
      </c>
      <c r="R20" s="13">
        <f>J20+M20+O20+Q20</f>
        <v>738.9897314163637</v>
      </c>
    </row>
    <row r="21" spans="1:18" ht="15">
      <c r="A21" s="26" t="s">
        <v>1</v>
      </c>
      <c r="B21" s="53">
        <v>2004</v>
      </c>
      <c r="C21" s="36" t="s">
        <v>42</v>
      </c>
      <c r="D21" s="37"/>
      <c r="E21" s="37">
        <v>1</v>
      </c>
      <c r="F21" s="37">
        <f>'Monthly Volumes'!E25</f>
        <v>469401.8333333333</v>
      </c>
      <c r="G21" s="38"/>
      <c r="H21" s="12">
        <v>0</v>
      </c>
      <c r="I21" s="6">
        <v>0</v>
      </c>
      <c r="J21" s="13">
        <f>D21*E21*H21+(F21+G21)*I21</f>
        <v>0</v>
      </c>
      <c r="K21" s="12">
        <v>0</v>
      </c>
      <c r="L21" s="6">
        <v>0</v>
      </c>
      <c r="M21" s="13">
        <f>D21*E21*K21+(F21+G21)*L21</f>
        <v>0</v>
      </c>
      <c r="N21" s="19">
        <f>'[4]7. 2002 Data &amp; 2004 PILs'!$B$66</f>
        <v>0.0009815883589429954</v>
      </c>
      <c r="O21" s="13">
        <f>(F21+G21)*N21</f>
        <v>460.75937526650006</v>
      </c>
      <c r="P21" s="19">
        <v>0</v>
      </c>
      <c r="Q21" s="13">
        <f>(F21+G21)*P21</f>
        <v>0</v>
      </c>
      <c r="R21" s="13">
        <f>J21+M21+O21+Q21</f>
        <v>460.75937526650006</v>
      </c>
    </row>
    <row r="22" spans="1:18" ht="15">
      <c r="A22" s="26" t="s">
        <v>1</v>
      </c>
      <c r="B22" s="53">
        <v>2004</v>
      </c>
      <c r="C22" s="36" t="s">
        <v>35</v>
      </c>
      <c r="D22" s="37"/>
      <c r="E22" s="37">
        <v>1</v>
      </c>
      <c r="F22" s="37">
        <f>'Monthly Volumes'!E26</f>
        <v>469401.8333333333</v>
      </c>
      <c r="G22" s="38"/>
      <c r="H22" s="12">
        <v>0</v>
      </c>
      <c r="I22" s="6">
        <v>0</v>
      </c>
      <c r="J22" s="13">
        <f aca="true" t="shared" si="5" ref="J22:J29">D22*E22*H22+(F22+G22)*I22</f>
        <v>0</v>
      </c>
      <c r="K22" s="12">
        <v>0</v>
      </c>
      <c r="L22" s="6">
        <v>0</v>
      </c>
      <c r="M22" s="13">
        <f aca="true" t="shared" si="6" ref="M22:M29">D22*E22*K22+(F22+G22)*L22</f>
        <v>0</v>
      </c>
      <c r="N22" s="19">
        <f>'[4]7. 2002 Data &amp; 2004 PILs'!$B$66</f>
        <v>0.0009815883589429954</v>
      </c>
      <c r="O22" s="13">
        <f aca="true" t="shared" si="7" ref="O22:O29">(F22+G22)*N22</f>
        <v>460.75937526650006</v>
      </c>
      <c r="P22" s="19">
        <v>0</v>
      </c>
      <c r="Q22" s="13">
        <f aca="true" t="shared" si="8" ref="Q22:Q29">(F22+G22)*P22</f>
        <v>0</v>
      </c>
      <c r="R22" s="13">
        <f aca="true" t="shared" si="9" ref="R22:R29">J22+M22+O22+Q22</f>
        <v>460.75937526650006</v>
      </c>
    </row>
    <row r="23" spans="1:18" ht="15">
      <c r="A23" s="26" t="s">
        <v>1</v>
      </c>
      <c r="B23" s="53">
        <v>2004</v>
      </c>
      <c r="C23" s="36" t="s">
        <v>43</v>
      </c>
      <c r="D23" s="37"/>
      <c r="E23" s="37">
        <v>1</v>
      </c>
      <c r="F23" s="37">
        <f>'Monthly Volumes'!E27</f>
        <v>469401.8333333333</v>
      </c>
      <c r="G23" s="38"/>
      <c r="H23" s="12">
        <v>0</v>
      </c>
      <c r="I23" s="6">
        <v>0</v>
      </c>
      <c r="J23" s="13">
        <f t="shared" si="5"/>
        <v>0</v>
      </c>
      <c r="K23" s="12">
        <v>0</v>
      </c>
      <c r="L23" s="6">
        <v>0</v>
      </c>
      <c r="M23" s="13">
        <f t="shared" si="6"/>
        <v>0</v>
      </c>
      <c r="N23" s="19">
        <f>'[4]7. 2002 Data &amp; 2004 PILs'!$B$66</f>
        <v>0.0009815883589429954</v>
      </c>
      <c r="O23" s="13">
        <f t="shared" si="7"/>
        <v>460.75937526650006</v>
      </c>
      <c r="P23" s="19">
        <v>0</v>
      </c>
      <c r="Q23" s="13">
        <f t="shared" si="8"/>
        <v>0</v>
      </c>
      <c r="R23" s="13">
        <f t="shared" si="9"/>
        <v>460.75937526650006</v>
      </c>
    </row>
    <row r="24" spans="1:18" ht="15">
      <c r="A24" s="26" t="s">
        <v>1</v>
      </c>
      <c r="B24" s="53">
        <v>2004</v>
      </c>
      <c r="C24" s="36" t="s">
        <v>44</v>
      </c>
      <c r="D24" s="37"/>
      <c r="E24" s="37">
        <v>1</v>
      </c>
      <c r="F24" s="37">
        <f>'Monthly Volumes'!E28</f>
        <v>469401.8333333333</v>
      </c>
      <c r="G24" s="38"/>
      <c r="H24" s="12">
        <v>0</v>
      </c>
      <c r="I24" s="6">
        <v>0</v>
      </c>
      <c r="J24" s="13">
        <f t="shared" si="5"/>
        <v>0</v>
      </c>
      <c r="K24" s="12">
        <v>0</v>
      </c>
      <c r="L24" s="6">
        <v>0</v>
      </c>
      <c r="M24" s="13">
        <f t="shared" si="6"/>
        <v>0</v>
      </c>
      <c r="N24" s="19">
        <f>'[4]7. 2002 Data &amp; 2004 PILs'!$B$66</f>
        <v>0.0009815883589429954</v>
      </c>
      <c r="O24" s="13">
        <f t="shared" si="7"/>
        <v>460.75937526650006</v>
      </c>
      <c r="P24" s="19">
        <v>0</v>
      </c>
      <c r="Q24" s="13">
        <f t="shared" si="8"/>
        <v>0</v>
      </c>
      <c r="R24" s="13">
        <f t="shared" si="9"/>
        <v>460.75937526650006</v>
      </c>
    </row>
    <row r="25" spans="1:18" ht="15">
      <c r="A25" s="26" t="s">
        <v>1</v>
      </c>
      <c r="B25" s="53">
        <v>2004</v>
      </c>
      <c r="C25" s="36" t="s">
        <v>45</v>
      </c>
      <c r="D25" s="37"/>
      <c r="E25" s="37">
        <v>1</v>
      </c>
      <c r="F25" s="37">
        <f>'Monthly Volumes'!E29</f>
        <v>469401.8333333333</v>
      </c>
      <c r="G25" s="38"/>
      <c r="H25" s="12">
        <v>0</v>
      </c>
      <c r="I25" s="6">
        <v>0</v>
      </c>
      <c r="J25" s="13">
        <f t="shared" si="5"/>
        <v>0</v>
      </c>
      <c r="K25" s="12">
        <v>0</v>
      </c>
      <c r="L25" s="6">
        <v>0</v>
      </c>
      <c r="M25" s="13">
        <f t="shared" si="6"/>
        <v>0</v>
      </c>
      <c r="N25" s="19">
        <f>'[4]7. 2002 Data &amp; 2004 PILs'!$B$66</f>
        <v>0.0009815883589429954</v>
      </c>
      <c r="O25" s="13">
        <f t="shared" si="7"/>
        <v>460.75937526650006</v>
      </c>
      <c r="P25" s="19">
        <v>0</v>
      </c>
      <c r="Q25" s="13">
        <f t="shared" si="8"/>
        <v>0</v>
      </c>
      <c r="R25" s="13">
        <f t="shared" si="9"/>
        <v>460.75937526650006</v>
      </c>
    </row>
    <row r="26" spans="1:18" ht="15">
      <c r="A26" s="26" t="s">
        <v>1</v>
      </c>
      <c r="B26" s="53">
        <v>2004</v>
      </c>
      <c r="C26" s="36" t="s">
        <v>46</v>
      </c>
      <c r="D26" s="37"/>
      <c r="E26" s="37">
        <v>1</v>
      </c>
      <c r="F26" s="37">
        <f>'Monthly Volumes'!E30</f>
        <v>469401.8333333333</v>
      </c>
      <c r="G26" s="38"/>
      <c r="H26" s="12">
        <v>0</v>
      </c>
      <c r="I26" s="6">
        <v>0</v>
      </c>
      <c r="J26" s="13">
        <f t="shared" si="5"/>
        <v>0</v>
      </c>
      <c r="K26" s="12">
        <v>0</v>
      </c>
      <c r="L26" s="6">
        <v>0</v>
      </c>
      <c r="M26" s="13">
        <f t="shared" si="6"/>
        <v>0</v>
      </c>
      <c r="N26" s="19">
        <f>'[4]7. 2002 Data &amp; 2004 PILs'!$B$66</f>
        <v>0.0009815883589429954</v>
      </c>
      <c r="O26" s="13">
        <f t="shared" si="7"/>
        <v>460.75937526650006</v>
      </c>
      <c r="P26" s="19">
        <v>0</v>
      </c>
      <c r="Q26" s="13">
        <f t="shared" si="8"/>
        <v>0</v>
      </c>
      <c r="R26" s="13">
        <f t="shared" si="9"/>
        <v>460.75937526650006</v>
      </c>
    </row>
    <row r="27" spans="1:18" ht="15">
      <c r="A27" s="26" t="s">
        <v>1</v>
      </c>
      <c r="B27" s="53">
        <v>2004</v>
      </c>
      <c r="C27" s="36" t="s">
        <v>47</v>
      </c>
      <c r="D27" s="37"/>
      <c r="E27" s="37">
        <v>1</v>
      </c>
      <c r="F27" s="37">
        <f>'Monthly Volumes'!E31</f>
        <v>469401.8333333333</v>
      </c>
      <c r="G27" s="38"/>
      <c r="H27" s="12">
        <v>0</v>
      </c>
      <c r="I27" s="6">
        <v>0</v>
      </c>
      <c r="J27" s="13">
        <f t="shared" si="5"/>
        <v>0</v>
      </c>
      <c r="K27" s="12">
        <v>0</v>
      </c>
      <c r="L27" s="6">
        <v>0</v>
      </c>
      <c r="M27" s="13">
        <f t="shared" si="6"/>
        <v>0</v>
      </c>
      <c r="N27" s="19">
        <f>'[4]7. 2002 Data &amp; 2004 PILs'!$B$66</f>
        <v>0.0009815883589429954</v>
      </c>
      <c r="O27" s="13">
        <f t="shared" si="7"/>
        <v>460.75937526650006</v>
      </c>
      <c r="P27" s="19">
        <v>0</v>
      </c>
      <c r="Q27" s="13">
        <f t="shared" si="8"/>
        <v>0</v>
      </c>
      <c r="R27" s="13">
        <f t="shared" si="9"/>
        <v>460.75937526650006</v>
      </c>
    </row>
    <row r="28" spans="1:18" ht="15">
      <c r="A28" s="26" t="s">
        <v>1</v>
      </c>
      <c r="B28" s="53">
        <v>2004</v>
      </c>
      <c r="C28" s="36" t="s">
        <v>48</v>
      </c>
      <c r="D28" s="37"/>
      <c r="E28" s="37">
        <v>1</v>
      </c>
      <c r="F28" s="37">
        <f>'Monthly Volumes'!E32</f>
        <v>469401.8333333333</v>
      </c>
      <c r="G28" s="38"/>
      <c r="H28" s="12">
        <v>0</v>
      </c>
      <c r="I28" s="6">
        <v>0</v>
      </c>
      <c r="J28" s="13">
        <f t="shared" si="5"/>
        <v>0</v>
      </c>
      <c r="K28" s="12">
        <v>0</v>
      </c>
      <c r="L28" s="6">
        <v>0</v>
      </c>
      <c r="M28" s="13">
        <f t="shared" si="6"/>
        <v>0</v>
      </c>
      <c r="N28" s="19">
        <f>'[4]7. 2002 Data &amp; 2004 PILs'!$B$66</f>
        <v>0.0009815883589429954</v>
      </c>
      <c r="O28" s="13">
        <f t="shared" si="7"/>
        <v>460.75937526650006</v>
      </c>
      <c r="P28" s="19">
        <v>0</v>
      </c>
      <c r="Q28" s="13">
        <f t="shared" si="8"/>
        <v>0</v>
      </c>
      <c r="R28" s="13">
        <f t="shared" si="9"/>
        <v>460.75937526650006</v>
      </c>
    </row>
    <row r="29" spans="1:18" ht="15">
      <c r="A29" s="26" t="s">
        <v>1</v>
      </c>
      <c r="B29" s="53">
        <v>2004</v>
      </c>
      <c r="C29" s="36" t="s">
        <v>49</v>
      </c>
      <c r="D29" s="37"/>
      <c r="E29" s="37">
        <v>1</v>
      </c>
      <c r="F29" s="37">
        <f>'Monthly Volumes'!E33</f>
        <v>469401.8333333333</v>
      </c>
      <c r="G29" s="38"/>
      <c r="H29" s="12">
        <v>0</v>
      </c>
      <c r="I29" s="6">
        <v>0</v>
      </c>
      <c r="J29" s="13">
        <f t="shared" si="5"/>
        <v>0</v>
      </c>
      <c r="K29" s="12">
        <v>0</v>
      </c>
      <c r="L29" s="6">
        <v>0</v>
      </c>
      <c r="M29" s="13">
        <f t="shared" si="6"/>
        <v>0</v>
      </c>
      <c r="N29" s="19">
        <f>'[4]7. 2002 Data &amp; 2004 PILs'!$B$66</f>
        <v>0.0009815883589429954</v>
      </c>
      <c r="O29" s="13">
        <f t="shared" si="7"/>
        <v>460.75937526650006</v>
      </c>
      <c r="P29" s="19">
        <v>0</v>
      </c>
      <c r="Q29" s="13">
        <f t="shared" si="8"/>
        <v>0</v>
      </c>
      <c r="R29" s="13">
        <f t="shared" si="9"/>
        <v>460.75937526650006</v>
      </c>
    </row>
    <row r="30" spans="1:18" ht="15.75" thickBot="1">
      <c r="A30" s="26"/>
      <c r="B30" s="53"/>
      <c r="C30" s="36"/>
      <c r="D30" s="37"/>
      <c r="E30" s="37"/>
      <c r="F30" s="37"/>
      <c r="G30" s="38"/>
      <c r="H30" s="12"/>
      <c r="I30" s="6"/>
      <c r="J30" s="13"/>
      <c r="K30" s="12"/>
      <c r="L30" s="6"/>
      <c r="M30" s="13"/>
      <c r="N30" s="19"/>
      <c r="O30" s="13"/>
      <c r="P30" s="19"/>
      <c r="Q30" s="13"/>
      <c r="R30" s="13"/>
    </row>
    <row r="31" spans="1:18" ht="15.75" thickBot="1">
      <c r="A31" s="55" t="s">
        <v>59</v>
      </c>
      <c r="B31" s="56"/>
      <c r="C31" s="57"/>
      <c r="D31" s="58">
        <f>SUM(D18:D30)</f>
        <v>763.5</v>
      </c>
      <c r="E31" s="58"/>
      <c r="F31" s="58">
        <f>SUM(F18:F30)</f>
        <v>5632821.999999999</v>
      </c>
      <c r="G31" s="59">
        <f>SUM(G18:G30)</f>
        <v>0</v>
      </c>
      <c r="H31" s="60"/>
      <c r="I31" s="61"/>
      <c r="J31" s="62">
        <f>SUM(J18:J30)</f>
        <v>420.5561273935489</v>
      </c>
      <c r="K31" s="60"/>
      <c r="L31" s="61"/>
      <c r="M31" s="62">
        <f>SUM(M18:M30)</f>
        <v>1796.4130668555424</v>
      </c>
      <c r="N31" s="63"/>
      <c r="O31" s="62">
        <f>SUM(O18:O30)</f>
        <v>4146.834377398501</v>
      </c>
      <c r="P31" s="63"/>
      <c r="Q31" s="62">
        <f>SUM(Q18:Q30)</f>
        <v>0</v>
      </c>
      <c r="R31" s="62">
        <f>SUM(R18:R30)</f>
        <v>6363.8035716475915</v>
      </c>
    </row>
    <row r="32" spans="1:18" ht="15">
      <c r="A32" s="26"/>
      <c r="B32" s="53"/>
      <c r="C32" s="36"/>
      <c r="D32" s="37"/>
      <c r="E32" s="37"/>
      <c r="F32" s="37"/>
      <c r="G32" s="38"/>
      <c r="H32" s="12"/>
      <c r="I32" s="6"/>
      <c r="J32" s="13"/>
      <c r="K32" s="12"/>
      <c r="L32" s="6"/>
      <c r="M32" s="13"/>
      <c r="N32" s="19"/>
      <c r="O32" s="13"/>
      <c r="P32" s="19"/>
      <c r="Q32" s="13"/>
      <c r="R32" s="13"/>
    </row>
    <row r="33" spans="1:18" ht="15">
      <c r="A33" s="26" t="s">
        <v>8</v>
      </c>
      <c r="B33" s="53">
        <v>2004</v>
      </c>
      <c r="C33" s="36" t="s">
        <v>39</v>
      </c>
      <c r="D33" s="37">
        <f>'Customer Count'!E29</f>
        <v>0</v>
      </c>
      <c r="E33" s="37">
        <v>1</v>
      </c>
      <c r="F33" s="37">
        <f>'Monthly Volumes'!E40</f>
        <v>0</v>
      </c>
      <c r="G33" s="38"/>
      <c r="H33" s="12">
        <f>'2003 PILS Recoveries'!H34</f>
        <v>0</v>
      </c>
      <c r="I33" s="6">
        <f>'2003 PILS Recoveries'!I34</f>
        <v>0</v>
      </c>
      <c r="J33" s="13">
        <f aca="true" t="shared" si="10" ref="J33:J44">D33*E33*H33+(F33+G33)*I33</f>
        <v>0</v>
      </c>
      <c r="K33" s="12">
        <f>'2003 PILS Recoveries'!K34</f>
        <v>0</v>
      </c>
      <c r="L33" s="6">
        <f>'2003 PILS Recoveries'!L34</f>
        <v>0</v>
      </c>
      <c r="M33" s="13">
        <f>D33*E33*K33+(F33+G33)*L33</f>
        <v>0</v>
      </c>
      <c r="N33" s="19"/>
      <c r="O33" s="13">
        <f>(F33+G33)*N33</f>
        <v>0</v>
      </c>
      <c r="P33" s="19">
        <v>0</v>
      </c>
      <c r="Q33" s="13">
        <f>(F33+G33)*P33</f>
        <v>0</v>
      </c>
      <c r="R33" s="13">
        <f>J33+M33+O33+Q33</f>
        <v>0</v>
      </c>
    </row>
    <row r="34" spans="1:18" ht="15">
      <c r="A34" s="26" t="s">
        <v>8</v>
      </c>
      <c r="B34" s="53">
        <v>2004</v>
      </c>
      <c r="C34" s="36" t="s">
        <v>40</v>
      </c>
      <c r="D34" s="37">
        <f>'Customer Count'!E30</f>
        <v>0</v>
      </c>
      <c r="E34" s="37">
        <v>1</v>
      </c>
      <c r="F34" s="37">
        <f>'Monthly Volumes'!E41</f>
        <v>0</v>
      </c>
      <c r="G34" s="38"/>
      <c r="H34" s="12">
        <f>'2003 PILS Recoveries'!H35</f>
        <v>0</v>
      </c>
      <c r="I34" s="6">
        <f>'2003 PILS Recoveries'!I35</f>
        <v>0</v>
      </c>
      <c r="J34" s="13">
        <f t="shared" si="10"/>
        <v>0</v>
      </c>
      <c r="K34" s="12">
        <f>'2003 PILS Recoveries'!K35</f>
        <v>0</v>
      </c>
      <c r="L34" s="6">
        <f>'2003 PILS Recoveries'!L35</f>
        <v>0</v>
      </c>
      <c r="M34" s="13">
        <f>D34*E34*K34+(F34+G34)*L34</f>
        <v>0</v>
      </c>
      <c r="N34" s="19"/>
      <c r="O34" s="13">
        <f>(F34+G34)*N34</f>
        <v>0</v>
      </c>
      <c r="P34" s="19">
        <v>0</v>
      </c>
      <c r="Q34" s="13">
        <f>(F34+G34)*P34</f>
        <v>0</v>
      </c>
      <c r="R34" s="13">
        <f>J34+M34+O34+Q34</f>
        <v>0</v>
      </c>
    </row>
    <row r="35" spans="1:18" ht="15">
      <c r="A35" s="26" t="s">
        <v>8</v>
      </c>
      <c r="B35" s="53">
        <v>2004</v>
      </c>
      <c r="C35" s="36" t="s">
        <v>41</v>
      </c>
      <c r="D35" s="37">
        <f>'Customer Count'!E31</f>
        <v>0</v>
      </c>
      <c r="E35" s="37">
        <v>1</v>
      </c>
      <c r="F35" s="37">
        <f>'Monthly Volumes'!E42</f>
        <v>0</v>
      </c>
      <c r="G35" s="38"/>
      <c r="H35" s="12">
        <f>'2003 PILS Recoveries'!H36</f>
        <v>0</v>
      </c>
      <c r="I35" s="6">
        <f>'2003 PILS Recoveries'!I36</f>
        <v>0</v>
      </c>
      <c r="J35" s="13">
        <f t="shared" si="10"/>
        <v>0</v>
      </c>
      <c r="K35" s="12">
        <f>'2003 PILS Recoveries'!K36</f>
        <v>0</v>
      </c>
      <c r="L35" s="6">
        <f>'2003 PILS Recoveries'!L36</f>
        <v>0</v>
      </c>
      <c r="M35" s="13">
        <f>D35*E35*K35+(F35+G35)*L35</f>
        <v>0</v>
      </c>
      <c r="N35" s="19"/>
      <c r="O35" s="13">
        <f>(F35+G35)*N35</f>
        <v>0</v>
      </c>
      <c r="P35" s="19">
        <v>0</v>
      </c>
      <c r="Q35" s="13">
        <f>(F35+G35)*P35</f>
        <v>0</v>
      </c>
      <c r="R35" s="13">
        <f>J35+M35+O35+Q35</f>
        <v>0</v>
      </c>
    </row>
    <row r="36" spans="1:18" ht="15">
      <c r="A36" s="26" t="s">
        <v>8</v>
      </c>
      <c r="B36" s="53">
        <v>2004</v>
      </c>
      <c r="C36" s="36" t="s">
        <v>42</v>
      </c>
      <c r="D36" s="37"/>
      <c r="E36" s="37">
        <v>1</v>
      </c>
      <c r="F36" s="37">
        <f>'Monthly Volumes'!E43</f>
        <v>0</v>
      </c>
      <c r="G36" s="38"/>
      <c r="H36" s="12">
        <v>0</v>
      </c>
      <c r="I36" s="6">
        <v>0</v>
      </c>
      <c r="J36" s="13">
        <f t="shared" si="10"/>
        <v>0</v>
      </c>
      <c r="K36" s="12">
        <v>0</v>
      </c>
      <c r="L36" s="6">
        <v>0</v>
      </c>
      <c r="M36" s="13">
        <f aca="true" t="shared" si="11" ref="M36:M44">D36*E36*K36+(F36+G36)*L36</f>
        <v>0</v>
      </c>
      <c r="N36" s="19"/>
      <c r="O36" s="13">
        <f aca="true" t="shared" si="12" ref="O36:O44">(F36+G36)*N36</f>
        <v>0</v>
      </c>
      <c r="P36" s="19">
        <v>0</v>
      </c>
      <c r="Q36" s="13">
        <f aca="true" t="shared" si="13" ref="Q36:Q44">(F36+G36)*P36</f>
        <v>0</v>
      </c>
      <c r="R36" s="13">
        <f aca="true" t="shared" si="14" ref="R36:R44">J36+M36+O36+Q36</f>
        <v>0</v>
      </c>
    </row>
    <row r="37" spans="1:18" ht="15">
      <c r="A37" s="26" t="s">
        <v>8</v>
      </c>
      <c r="B37" s="53">
        <v>2004</v>
      </c>
      <c r="C37" s="36" t="s">
        <v>35</v>
      </c>
      <c r="D37" s="37"/>
      <c r="E37" s="37">
        <v>1</v>
      </c>
      <c r="F37" s="37">
        <f>'Monthly Volumes'!E44</f>
        <v>0</v>
      </c>
      <c r="G37" s="38"/>
      <c r="H37" s="12">
        <v>0</v>
      </c>
      <c r="I37" s="6">
        <v>0</v>
      </c>
      <c r="J37" s="13">
        <f t="shared" si="10"/>
        <v>0</v>
      </c>
      <c r="K37" s="12">
        <v>0</v>
      </c>
      <c r="L37" s="6">
        <v>0</v>
      </c>
      <c r="M37" s="13">
        <f t="shared" si="11"/>
        <v>0</v>
      </c>
      <c r="N37" s="19"/>
      <c r="O37" s="13">
        <f t="shared" si="12"/>
        <v>0</v>
      </c>
      <c r="P37" s="19">
        <v>0</v>
      </c>
      <c r="Q37" s="13">
        <f t="shared" si="13"/>
        <v>0</v>
      </c>
      <c r="R37" s="13">
        <f t="shared" si="14"/>
        <v>0</v>
      </c>
    </row>
    <row r="38" spans="1:18" ht="15">
      <c r="A38" s="26" t="s">
        <v>8</v>
      </c>
      <c r="B38" s="53">
        <v>2004</v>
      </c>
      <c r="C38" s="36" t="s">
        <v>43</v>
      </c>
      <c r="D38" s="37"/>
      <c r="E38" s="37">
        <v>1</v>
      </c>
      <c r="F38" s="37">
        <f>'Monthly Volumes'!E45</f>
        <v>0</v>
      </c>
      <c r="G38" s="38"/>
      <c r="H38" s="12">
        <v>0</v>
      </c>
      <c r="I38" s="6">
        <v>0</v>
      </c>
      <c r="J38" s="13">
        <f t="shared" si="10"/>
        <v>0</v>
      </c>
      <c r="K38" s="12">
        <v>0</v>
      </c>
      <c r="L38" s="6">
        <v>0</v>
      </c>
      <c r="M38" s="13">
        <f t="shared" si="11"/>
        <v>0</v>
      </c>
      <c r="N38" s="19"/>
      <c r="O38" s="13">
        <f t="shared" si="12"/>
        <v>0</v>
      </c>
      <c r="P38" s="19">
        <v>0</v>
      </c>
      <c r="Q38" s="13">
        <f t="shared" si="13"/>
        <v>0</v>
      </c>
      <c r="R38" s="13">
        <f t="shared" si="14"/>
        <v>0</v>
      </c>
    </row>
    <row r="39" spans="1:18" ht="15">
      <c r="A39" s="26" t="s">
        <v>8</v>
      </c>
      <c r="B39" s="53">
        <v>2004</v>
      </c>
      <c r="C39" s="36" t="s">
        <v>44</v>
      </c>
      <c r="D39" s="37"/>
      <c r="E39" s="37">
        <v>1</v>
      </c>
      <c r="F39" s="37">
        <f>'Monthly Volumes'!E46</f>
        <v>0</v>
      </c>
      <c r="G39" s="38"/>
      <c r="H39" s="12">
        <v>0</v>
      </c>
      <c r="I39" s="6">
        <v>0</v>
      </c>
      <c r="J39" s="13">
        <f t="shared" si="10"/>
        <v>0</v>
      </c>
      <c r="K39" s="12">
        <v>0</v>
      </c>
      <c r="L39" s="6">
        <v>0</v>
      </c>
      <c r="M39" s="13">
        <f t="shared" si="11"/>
        <v>0</v>
      </c>
      <c r="N39" s="19"/>
      <c r="O39" s="13">
        <f t="shared" si="12"/>
        <v>0</v>
      </c>
      <c r="P39" s="19">
        <v>0</v>
      </c>
      <c r="Q39" s="13">
        <f t="shared" si="13"/>
        <v>0</v>
      </c>
      <c r="R39" s="13">
        <f t="shared" si="14"/>
        <v>0</v>
      </c>
    </row>
    <row r="40" spans="1:18" ht="15">
      <c r="A40" s="26" t="s">
        <v>8</v>
      </c>
      <c r="B40" s="53">
        <v>2004</v>
      </c>
      <c r="C40" s="36" t="s">
        <v>45</v>
      </c>
      <c r="D40" s="37"/>
      <c r="E40" s="37">
        <v>1</v>
      </c>
      <c r="F40" s="37">
        <f>'Monthly Volumes'!E47</f>
        <v>0</v>
      </c>
      <c r="G40" s="38"/>
      <c r="H40" s="12">
        <v>0</v>
      </c>
      <c r="I40" s="6">
        <v>0</v>
      </c>
      <c r="J40" s="13">
        <f t="shared" si="10"/>
        <v>0</v>
      </c>
      <c r="K40" s="12">
        <v>0</v>
      </c>
      <c r="L40" s="6">
        <v>0</v>
      </c>
      <c r="M40" s="13">
        <f t="shared" si="11"/>
        <v>0</v>
      </c>
      <c r="N40" s="19"/>
      <c r="O40" s="13">
        <f t="shared" si="12"/>
        <v>0</v>
      </c>
      <c r="P40" s="19">
        <v>0</v>
      </c>
      <c r="Q40" s="13">
        <f t="shared" si="13"/>
        <v>0</v>
      </c>
      <c r="R40" s="13">
        <f t="shared" si="14"/>
        <v>0</v>
      </c>
    </row>
    <row r="41" spans="1:18" ht="15">
      <c r="A41" s="26" t="s">
        <v>8</v>
      </c>
      <c r="B41" s="53">
        <v>2004</v>
      </c>
      <c r="C41" s="36" t="s">
        <v>46</v>
      </c>
      <c r="D41" s="37"/>
      <c r="E41" s="37">
        <v>1</v>
      </c>
      <c r="F41" s="37">
        <f>'Monthly Volumes'!E48</f>
        <v>0</v>
      </c>
      <c r="G41" s="38"/>
      <c r="H41" s="12">
        <v>0</v>
      </c>
      <c r="I41" s="6">
        <v>0</v>
      </c>
      <c r="J41" s="13">
        <f t="shared" si="10"/>
        <v>0</v>
      </c>
      <c r="K41" s="12">
        <v>0</v>
      </c>
      <c r="L41" s="6">
        <v>0</v>
      </c>
      <c r="M41" s="13">
        <f t="shared" si="11"/>
        <v>0</v>
      </c>
      <c r="N41" s="19"/>
      <c r="O41" s="13">
        <f t="shared" si="12"/>
        <v>0</v>
      </c>
      <c r="P41" s="19">
        <v>0</v>
      </c>
      <c r="Q41" s="13">
        <f t="shared" si="13"/>
        <v>0</v>
      </c>
      <c r="R41" s="13">
        <f t="shared" si="14"/>
        <v>0</v>
      </c>
    </row>
    <row r="42" spans="1:18" ht="15">
      <c r="A42" s="26" t="s">
        <v>8</v>
      </c>
      <c r="B42" s="53">
        <v>2004</v>
      </c>
      <c r="C42" s="36" t="s">
        <v>47</v>
      </c>
      <c r="D42" s="37"/>
      <c r="E42" s="37">
        <v>1</v>
      </c>
      <c r="F42" s="37">
        <f>'Monthly Volumes'!E49</f>
        <v>0</v>
      </c>
      <c r="G42" s="38"/>
      <c r="H42" s="12">
        <v>0</v>
      </c>
      <c r="I42" s="6">
        <v>0</v>
      </c>
      <c r="J42" s="13">
        <f t="shared" si="10"/>
        <v>0</v>
      </c>
      <c r="K42" s="12">
        <v>0</v>
      </c>
      <c r="L42" s="6">
        <v>0</v>
      </c>
      <c r="M42" s="13">
        <f t="shared" si="11"/>
        <v>0</v>
      </c>
      <c r="N42" s="19"/>
      <c r="O42" s="13">
        <f t="shared" si="12"/>
        <v>0</v>
      </c>
      <c r="P42" s="19">
        <v>0</v>
      </c>
      <c r="Q42" s="13">
        <f t="shared" si="13"/>
        <v>0</v>
      </c>
      <c r="R42" s="13">
        <f t="shared" si="14"/>
        <v>0</v>
      </c>
    </row>
    <row r="43" spans="1:18" ht="15">
      <c r="A43" s="26" t="s">
        <v>8</v>
      </c>
      <c r="B43" s="53">
        <v>2004</v>
      </c>
      <c r="C43" s="36" t="s">
        <v>48</v>
      </c>
      <c r="D43" s="37"/>
      <c r="E43" s="37">
        <v>1</v>
      </c>
      <c r="F43" s="37">
        <f>'Monthly Volumes'!E50</f>
        <v>0</v>
      </c>
      <c r="G43" s="38"/>
      <c r="H43" s="12">
        <v>0</v>
      </c>
      <c r="I43" s="6">
        <v>0</v>
      </c>
      <c r="J43" s="13">
        <f t="shared" si="10"/>
        <v>0</v>
      </c>
      <c r="K43" s="12">
        <v>0</v>
      </c>
      <c r="L43" s="6">
        <v>0</v>
      </c>
      <c r="M43" s="13">
        <f t="shared" si="11"/>
        <v>0</v>
      </c>
      <c r="N43" s="19"/>
      <c r="O43" s="13">
        <f t="shared" si="12"/>
        <v>0</v>
      </c>
      <c r="P43" s="19">
        <v>0</v>
      </c>
      <c r="Q43" s="13">
        <f t="shared" si="13"/>
        <v>0</v>
      </c>
      <c r="R43" s="13">
        <f t="shared" si="14"/>
        <v>0</v>
      </c>
    </row>
    <row r="44" spans="1:18" ht="15">
      <c r="A44" s="26" t="s">
        <v>8</v>
      </c>
      <c r="B44" s="53">
        <v>2004</v>
      </c>
      <c r="C44" s="36" t="s">
        <v>49</v>
      </c>
      <c r="D44" s="37"/>
      <c r="E44" s="37">
        <v>1</v>
      </c>
      <c r="F44" s="37">
        <f>'Monthly Volumes'!E51</f>
        <v>0</v>
      </c>
      <c r="G44" s="38"/>
      <c r="H44" s="12">
        <v>0</v>
      </c>
      <c r="I44" s="6">
        <v>0</v>
      </c>
      <c r="J44" s="13">
        <f t="shared" si="10"/>
        <v>0</v>
      </c>
      <c r="K44" s="12">
        <v>0</v>
      </c>
      <c r="L44" s="6">
        <v>0</v>
      </c>
      <c r="M44" s="13">
        <f t="shared" si="11"/>
        <v>0</v>
      </c>
      <c r="N44" s="19"/>
      <c r="O44" s="13">
        <f t="shared" si="12"/>
        <v>0</v>
      </c>
      <c r="P44" s="19">
        <v>0</v>
      </c>
      <c r="Q44" s="13">
        <f t="shared" si="13"/>
        <v>0</v>
      </c>
      <c r="R44" s="13">
        <f t="shared" si="14"/>
        <v>0</v>
      </c>
    </row>
    <row r="45" spans="1:18" ht="15.75" thickBot="1">
      <c r="A45" s="26"/>
      <c r="B45" s="53"/>
      <c r="C45" s="36"/>
      <c r="D45" s="37"/>
      <c r="E45" s="37"/>
      <c r="F45" s="37"/>
      <c r="G45" s="38"/>
      <c r="H45" s="12"/>
      <c r="I45" s="6"/>
      <c r="J45" s="13"/>
      <c r="K45" s="12"/>
      <c r="L45" s="6"/>
      <c r="M45" s="13"/>
      <c r="N45" s="19"/>
      <c r="O45" s="13"/>
      <c r="P45" s="19"/>
      <c r="Q45" s="13"/>
      <c r="R45" s="13"/>
    </row>
    <row r="46" spans="1:18" ht="15.75" thickBot="1">
      <c r="A46" s="55" t="s">
        <v>60</v>
      </c>
      <c r="B46" s="56"/>
      <c r="C46" s="57"/>
      <c r="D46" s="58">
        <f>SUM(D33:D45)</f>
        <v>0</v>
      </c>
      <c r="E46" s="58"/>
      <c r="F46" s="58">
        <f>SUM(F33:F45)</f>
        <v>0</v>
      </c>
      <c r="G46" s="59">
        <f>SUM(G33:G45)</f>
        <v>0</v>
      </c>
      <c r="H46" s="60"/>
      <c r="I46" s="61"/>
      <c r="J46" s="62">
        <f>SUM(J33:J45)</f>
        <v>0</v>
      </c>
      <c r="K46" s="60"/>
      <c r="L46" s="61"/>
      <c r="M46" s="62">
        <f>SUM(M33:M45)</f>
        <v>0</v>
      </c>
      <c r="N46" s="63"/>
      <c r="O46" s="62">
        <f>SUM(O33:O45)</f>
        <v>0</v>
      </c>
      <c r="P46" s="63"/>
      <c r="Q46" s="62">
        <f>SUM(Q33:Q45)</f>
        <v>0</v>
      </c>
      <c r="R46" s="62">
        <f>SUM(R33:R45)</f>
        <v>0</v>
      </c>
    </row>
    <row r="47" spans="1:18" ht="15">
      <c r="A47" s="26"/>
      <c r="B47" s="53"/>
      <c r="C47" s="36"/>
      <c r="D47" s="37"/>
      <c r="E47" s="37"/>
      <c r="F47" s="39"/>
      <c r="G47" s="54"/>
      <c r="H47" s="12"/>
      <c r="I47" s="6"/>
      <c r="J47" s="13"/>
      <c r="K47" s="12"/>
      <c r="L47" s="6"/>
      <c r="M47" s="13"/>
      <c r="N47" s="19"/>
      <c r="O47" s="13"/>
      <c r="P47" s="19"/>
      <c r="Q47" s="13"/>
      <c r="R47" s="13"/>
    </row>
    <row r="48" spans="1:18" ht="15">
      <c r="A48" s="26" t="s">
        <v>2</v>
      </c>
      <c r="B48" s="53">
        <v>2004</v>
      </c>
      <c r="C48" s="36" t="s">
        <v>39</v>
      </c>
      <c r="D48" s="37">
        <f>'Customer Count'!F29</f>
        <v>21</v>
      </c>
      <c r="E48" s="37">
        <v>1</v>
      </c>
      <c r="F48" s="39"/>
      <c r="G48" s="40">
        <f>'Monthly Volumes'!N4</f>
        <v>1353.6333333333334</v>
      </c>
      <c r="H48" s="12">
        <f>'2003 PILS Recoveries'!H49</f>
        <v>0.653445326530753</v>
      </c>
      <c r="I48" s="6">
        <f>'2003 PILS Recoveries'!I49</f>
        <v>0.0014104393614148571</v>
      </c>
      <c r="J48" s="13">
        <f>D48*E48*H48+(F48+G48)*I48</f>
        <v>15.631569591402345</v>
      </c>
      <c r="K48" s="12">
        <f>'2003 PILS Recoveries'!K49</f>
        <v>2.7912034722467767</v>
      </c>
      <c r="L48" s="6">
        <f>'2003 PILS Recoveries'!L49</f>
        <v>0.006024717115777546</v>
      </c>
      <c r="M48" s="13">
        <f aca="true" t="shared" si="15" ref="M48:M59">D48*E48*K48+(F48+G48)*L48</f>
        <v>66.77053082900265</v>
      </c>
      <c r="N48" s="19"/>
      <c r="O48" s="13">
        <f aca="true" t="shared" si="16" ref="O48:O59">(F48+G48)*N48</f>
        <v>0</v>
      </c>
      <c r="P48" s="19">
        <v>0</v>
      </c>
      <c r="Q48" s="13">
        <f aca="true" t="shared" si="17" ref="Q48:Q59">(F48+G48)*P48</f>
        <v>0</v>
      </c>
      <c r="R48" s="13">
        <f aca="true" t="shared" si="18" ref="R48:R59">J48+M48+O48+Q48</f>
        <v>82.40210042040499</v>
      </c>
    </row>
    <row r="49" spans="1:18" ht="15">
      <c r="A49" s="26" t="s">
        <v>2</v>
      </c>
      <c r="B49" s="53">
        <v>2004</v>
      </c>
      <c r="C49" s="36" t="s">
        <v>40</v>
      </c>
      <c r="D49" s="37">
        <f>'Customer Count'!F30</f>
        <v>21</v>
      </c>
      <c r="E49" s="37">
        <v>1</v>
      </c>
      <c r="F49" s="39"/>
      <c r="G49" s="40">
        <f>'Monthly Volumes'!N5</f>
        <v>1353.6333333333334</v>
      </c>
      <c r="H49" s="12">
        <f>'2003 PILS Recoveries'!H50</f>
        <v>0.653445326530753</v>
      </c>
      <c r="I49" s="6">
        <f>'2003 PILS Recoveries'!I50</f>
        <v>0.0014104393614148571</v>
      </c>
      <c r="J49" s="13">
        <f aca="true" t="shared" si="19" ref="J49:J59">D49*E49*H49+(F49+G49)*I49</f>
        <v>15.631569591402345</v>
      </c>
      <c r="K49" s="12">
        <f>'2003 PILS Recoveries'!K50</f>
        <v>2.7912034722467767</v>
      </c>
      <c r="L49" s="6">
        <f>'2003 PILS Recoveries'!L50</f>
        <v>0.006024717115777546</v>
      </c>
      <c r="M49" s="13">
        <f t="shared" si="15"/>
        <v>66.77053082900265</v>
      </c>
      <c r="N49" s="19"/>
      <c r="O49" s="13">
        <f t="shared" si="16"/>
        <v>0</v>
      </c>
      <c r="P49" s="19">
        <v>0</v>
      </c>
      <c r="Q49" s="13">
        <f t="shared" si="17"/>
        <v>0</v>
      </c>
      <c r="R49" s="13">
        <f t="shared" si="18"/>
        <v>82.40210042040499</v>
      </c>
    </row>
    <row r="50" spans="1:18" ht="15">
      <c r="A50" s="26" t="s">
        <v>2</v>
      </c>
      <c r="B50" s="53">
        <v>2004</v>
      </c>
      <c r="C50" s="36" t="s">
        <v>41</v>
      </c>
      <c r="D50" s="37">
        <f>'Customer Count'!F31</f>
        <v>21</v>
      </c>
      <c r="E50" s="37">
        <v>1</v>
      </c>
      <c r="F50" s="39"/>
      <c r="G50" s="40">
        <f>'Monthly Volumes'!N6</f>
        <v>1353.6333333333334</v>
      </c>
      <c r="H50" s="12">
        <f>'2003 PILS Recoveries'!H51</f>
        <v>0.653445326530753</v>
      </c>
      <c r="I50" s="6">
        <f>'2003 PILS Recoveries'!I51</f>
        <v>0.0014104393614148571</v>
      </c>
      <c r="J50" s="13">
        <f t="shared" si="19"/>
        <v>15.631569591402345</v>
      </c>
      <c r="K50" s="12">
        <f>'2003 PILS Recoveries'!K51</f>
        <v>2.7912034722467767</v>
      </c>
      <c r="L50" s="6">
        <f>'2003 PILS Recoveries'!L51</f>
        <v>0.006024717115777546</v>
      </c>
      <c r="M50" s="13">
        <f t="shared" si="15"/>
        <v>66.77053082900265</v>
      </c>
      <c r="N50" s="19"/>
      <c r="O50" s="13">
        <f t="shared" si="16"/>
        <v>0</v>
      </c>
      <c r="P50" s="19">
        <v>0</v>
      </c>
      <c r="Q50" s="13">
        <f t="shared" si="17"/>
        <v>0</v>
      </c>
      <c r="R50" s="13">
        <f t="shared" si="18"/>
        <v>82.40210042040499</v>
      </c>
    </row>
    <row r="51" spans="1:18" ht="15">
      <c r="A51" s="26" t="s">
        <v>2</v>
      </c>
      <c r="B51" s="53">
        <v>2004</v>
      </c>
      <c r="C51" s="36" t="s">
        <v>42</v>
      </c>
      <c r="D51" s="37"/>
      <c r="E51" s="37">
        <v>1</v>
      </c>
      <c r="F51" s="39"/>
      <c r="G51" s="40">
        <f>'Monthly Volumes'!N7</f>
        <v>1353.6333333333334</v>
      </c>
      <c r="H51" s="12">
        <v>0</v>
      </c>
      <c r="I51" s="6">
        <v>0</v>
      </c>
      <c r="J51" s="13">
        <f t="shared" si="19"/>
        <v>0</v>
      </c>
      <c r="K51" s="12">
        <v>0</v>
      </c>
      <c r="L51" s="6">
        <v>0</v>
      </c>
      <c r="M51" s="13">
        <f t="shared" si="15"/>
        <v>0</v>
      </c>
      <c r="N51" s="19">
        <f>'[4]7. 2002 Data &amp; 2004 PILs'!$B$84</f>
        <v>0.06428070666355268</v>
      </c>
      <c r="O51" s="13">
        <f t="shared" si="16"/>
        <v>87.01250723000703</v>
      </c>
      <c r="P51" s="19">
        <v>0</v>
      </c>
      <c r="Q51" s="13">
        <f t="shared" si="17"/>
        <v>0</v>
      </c>
      <c r="R51" s="13">
        <f t="shared" si="18"/>
        <v>87.01250723000703</v>
      </c>
    </row>
    <row r="52" spans="1:18" ht="15">
      <c r="A52" s="26" t="s">
        <v>2</v>
      </c>
      <c r="B52" s="53">
        <v>2004</v>
      </c>
      <c r="C52" s="36" t="s">
        <v>35</v>
      </c>
      <c r="D52" s="37"/>
      <c r="E52" s="37">
        <v>1</v>
      </c>
      <c r="F52" s="39"/>
      <c r="G52" s="40">
        <f>'Monthly Volumes'!N8</f>
        <v>1353.6333333333334</v>
      </c>
      <c r="H52" s="12">
        <v>0</v>
      </c>
      <c r="I52" s="6">
        <v>0</v>
      </c>
      <c r="J52" s="13">
        <f t="shared" si="19"/>
        <v>0</v>
      </c>
      <c r="K52" s="12">
        <v>0</v>
      </c>
      <c r="L52" s="6">
        <v>0</v>
      </c>
      <c r="M52" s="13">
        <f t="shared" si="15"/>
        <v>0</v>
      </c>
      <c r="N52" s="19">
        <f>'[4]7. 2002 Data &amp; 2004 PILs'!$B$84</f>
        <v>0.06428070666355268</v>
      </c>
      <c r="O52" s="13">
        <f t="shared" si="16"/>
        <v>87.01250723000703</v>
      </c>
      <c r="P52" s="19">
        <v>0</v>
      </c>
      <c r="Q52" s="13">
        <f t="shared" si="17"/>
        <v>0</v>
      </c>
      <c r="R52" s="13">
        <f t="shared" si="18"/>
        <v>87.01250723000703</v>
      </c>
    </row>
    <row r="53" spans="1:18" ht="15">
      <c r="A53" s="26" t="s">
        <v>2</v>
      </c>
      <c r="B53" s="53">
        <v>2004</v>
      </c>
      <c r="C53" s="36" t="s">
        <v>43</v>
      </c>
      <c r="D53" s="37"/>
      <c r="E53" s="37">
        <v>1</v>
      </c>
      <c r="F53" s="39"/>
      <c r="G53" s="40">
        <f>'Monthly Volumes'!N9</f>
        <v>1353.6333333333334</v>
      </c>
      <c r="H53" s="12">
        <v>0</v>
      </c>
      <c r="I53" s="6">
        <v>0</v>
      </c>
      <c r="J53" s="13">
        <f t="shared" si="19"/>
        <v>0</v>
      </c>
      <c r="K53" s="12">
        <v>0</v>
      </c>
      <c r="L53" s="6">
        <v>0</v>
      </c>
      <c r="M53" s="13">
        <f t="shared" si="15"/>
        <v>0</v>
      </c>
      <c r="N53" s="19">
        <f>'[4]7. 2002 Data &amp; 2004 PILs'!$B$84</f>
        <v>0.06428070666355268</v>
      </c>
      <c r="O53" s="13">
        <f t="shared" si="16"/>
        <v>87.01250723000703</v>
      </c>
      <c r="P53" s="19">
        <v>0</v>
      </c>
      <c r="Q53" s="13">
        <f t="shared" si="17"/>
        <v>0</v>
      </c>
      <c r="R53" s="13">
        <f t="shared" si="18"/>
        <v>87.01250723000703</v>
      </c>
    </row>
    <row r="54" spans="1:18" ht="15">
      <c r="A54" s="26" t="s">
        <v>2</v>
      </c>
      <c r="B54" s="53">
        <v>2004</v>
      </c>
      <c r="C54" s="36" t="s">
        <v>44</v>
      </c>
      <c r="D54" s="37"/>
      <c r="E54" s="37">
        <v>1</v>
      </c>
      <c r="F54" s="39"/>
      <c r="G54" s="40">
        <f>'Monthly Volumes'!N10</f>
        <v>1353.6333333333334</v>
      </c>
      <c r="H54" s="12">
        <v>0</v>
      </c>
      <c r="I54" s="6">
        <v>0</v>
      </c>
      <c r="J54" s="13">
        <f t="shared" si="19"/>
        <v>0</v>
      </c>
      <c r="K54" s="12">
        <v>0</v>
      </c>
      <c r="L54" s="6">
        <v>0</v>
      </c>
      <c r="M54" s="13">
        <f t="shared" si="15"/>
        <v>0</v>
      </c>
      <c r="N54" s="19">
        <f>'[4]7. 2002 Data &amp; 2004 PILs'!$B$84</f>
        <v>0.06428070666355268</v>
      </c>
      <c r="O54" s="13">
        <f t="shared" si="16"/>
        <v>87.01250723000703</v>
      </c>
      <c r="P54" s="19">
        <v>0</v>
      </c>
      <c r="Q54" s="13">
        <f t="shared" si="17"/>
        <v>0</v>
      </c>
      <c r="R54" s="13">
        <f t="shared" si="18"/>
        <v>87.01250723000703</v>
      </c>
    </row>
    <row r="55" spans="1:18" ht="15">
      <c r="A55" s="26" t="s">
        <v>2</v>
      </c>
      <c r="B55" s="53">
        <v>2004</v>
      </c>
      <c r="C55" s="36" t="s">
        <v>45</v>
      </c>
      <c r="D55" s="37"/>
      <c r="E55" s="37">
        <v>1</v>
      </c>
      <c r="F55" s="39"/>
      <c r="G55" s="40">
        <f>'Monthly Volumes'!N11</f>
        <v>1353.6333333333334</v>
      </c>
      <c r="H55" s="12">
        <v>0</v>
      </c>
      <c r="I55" s="6">
        <v>0</v>
      </c>
      <c r="J55" s="13">
        <f t="shared" si="19"/>
        <v>0</v>
      </c>
      <c r="K55" s="12">
        <v>0</v>
      </c>
      <c r="L55" s="6">
        <v>0</v>
      </c>
      <c r="M55" s="13">
        <f t="shared" si="15"/>
        <v>0</v>
      </c>
      <c r="N55" s="19">
        <f>'[4]7. 2002 Data &amp; 2004 PILs'!$B$84</f>
        <v>0.06428070666355268</v>
      </c>
      <c r="O55" s="13">
        <f t="shared" si="16"/>
        <v>87.01250723000703</v>
      </c>
      <c r="P55" s="19">
        <v>0</v>
      </c>
      <c r="Q55" s="13">
        <f t="shared" si="17"/>
        <v>0</v>
      </c>
      <c r="R55" s="13">
        <f t="shared" si="18"/>
        <v>87.01250723000703</v>
      </c>
    </row>
    <row r="56" spans="1:18" ht="15">
      <c r="A56" s="26" t="s">
        <v>2</v>
      </c>
      <c r="B56" s="53">
        <v>2004</v>
      </c>
      <c r="C56" s="36" t="s">
        <v>46</v>
      </c>
      <c r="D56" s="37"/>
      <c r="E56" s="37">
        <v>1</v>
      </c>
      <c r="F56" s="39"/>
      <c r="G56" s="40">
        <f>'Monthly Volumes'!N12</f>
        <v>1353.6333333333334</v>
      </c>
      <c r="H56" s="12">
        <v>0</v>
      </c>
      <c r="I56" s="6">
        <v>0</v>
      </c>
      <c r="J56" s="13">
        <f t="shared" si="19"/>
        <v>0</v>
      </c>
      <c r="K56" s="12">
        <v>0</v>
      </c>
      <c r="L56" s="6">
        <v>0</v>
      </c>
      <c r="M56" s="13">
        <f t="shared" si="15"/>
        <v>0</v>
      </c>
      <c r="N56" s="19">
        <f>'[4]7. 2002 Data &amp; 2004 PILs'!$B$84</f>
        <v>0.06428070666355268</v>
      </c>
      <c r="O56" s="13">
        <f t="shared" si="16"/>
        <v>87.01250723000703</v>
      </c>
      <c r="P56" s="19">
        <v>0</v>
      </c>
      <c r="Q56" s="13">
        <f t="shared" si="17"/>
        <v>0</v>
      </c>
      <c r="R56" s="13">
        <f t="shared" si="18"/>
        <v>87.01250723000703</v>
      </c>
    </row>
    <row r="57" spans="1:18" ht="15">
      <c r="A57" s="26" t="s">
        <v>2</v>
      </c>
      <c r="B57" s="53">
        <v>2004</v>
      </c>
      <c r="C57" s="36" t="s">
        <v>47</v>
      </c>
      <c r="D57" s="37"/>
      <c r="E57" s="37">
        <v>1</v>
      </c>
      <c r="F57" s="39"/>
      <c r="G57" s="40">
        <f>'Monthly Volumes'!N13</f>
        <v>1353.6333333333334</v>
      </c>
      <c r="H57" s="12">
        <v>0</v>
      </c>
      <c r="I57" s="6">
        <v>0</v>
      </c>
      <c r="J57" s="13">
        <f t="shared" si="19"/>
        <v>0</v>
      </c>
      <c r="K57" s="12">
        <v>0</v>
      </c>
      <c r="L57" s="6">
        <v>0</v>
      </c>
      <c r="M57" s="13">
        <f t="shared" si="15"/>
        <v>0</v>
      </c>
      <c r="N57" s="19">
        <f>'[4]7. 2002 Data &amp; 2004 PILs'!$B$84</f>
        <v>0.06428070666355268</v>
      </c>
      <c r="O57" s="13">
        <f t="shared" si="16"/>
        <v>87.01250723000703</v>
      </c>
      <c r="P57" s="19">
        <v>0</v>
      </c>
      <c r="Q57" s="13">
        <f t="shared" si="17"/>
        <v>0</v>
      </c>
      <c r="R57" s="13">
        <f t="shared" si="18"/>
        <v>87.01250723000703</v>
      </c>
    </row>
    <row r="58" spans="1:18" ht="15">
      <c r="A58" s="26" t="s">
        <v>2</v>
      </c>
      <c r="B58" s="53">
        <v>2004</v>
      </c>
      <c r="C58" s="36" t="s">
        <v>48</v>
      </c>
      <c r="D58" s="37"/>
      <c r="E58" s="37">
        <v>1</v>
      </c>
      <c r="F58" s="39"/>
      <c r="G58" s="40">
        <f>'Monthly Volumes'!N14</f>
        <v>1353.6333333333334</v>
      </c>
      <c r="H58" s="12">
        <v>0</v>
      </c>
      <c r="I58" s="6">
        <v>0</v>
      </c>
      <c r="J58" s="13">
        <f t="shared" si="19"/>
        <v>0</v>
      </c>
      <c r="K58" s="12">
        <v>0</v>
      </c>
      <c r="L58" s="6">
        <v>0</v>
      </c>
      <c r="M58" s="13">
        <f t="shared" si="15"/>
        <v>0</v>
      </c>
      <c r="N58" s="19">
        <f>'[4]7. 2002 Data &amp; 2004 PILs'!$B$84</f>
        <v>0.06428070666355268</v>
      </c>
      <c r="O58" s="13">
        <f t="shared" si="16"/>
        <v>87.01250723000703</v>
      </c>
      <c r="P58" s="19">
        <v>0</v>
      </c>
      <c r="Q58" s="13">
        <f t="shared" si="17"/>
        <v>0</v>
      </c>
      <c r="R58" s="13">
        <f t="shared" si="18"/>
        <v>87.01250723000703</v>
      </c>
    </row>
    <row r="59" spans="1:18" ht="15">
      <c r="A59" s="26" t="s">
        <v>2</v>
      </c>
      <c r="B59" s="53">
        <v>2004</v>
      </c>
      <c r="C59" s="36" t="s">
        <v>49</v>
      </c>
      <c r="D59" s="37"/>
      <c r="E59" s="37">
        <v>1</v>
      </c>
      <c r="F59" s="39"/>
      <c r="G59" s="40">
        <f>'Monthly Volumes'!N15</f>
        <v>1353.6333333333334</v>
      </c>
      <c r="H59" s="12">
        <v>0</v>
      </c>
      <c r="I59" s="6">
        <v>0</v>
      </c>
      <c r="J59" s="13">
        <f t="shared" si="19"/>
        <v>0</v>
      </c>
      <c r="K59" s="12">
        <v>0</v>
      </c>
      <c r="L59" s="6">
        <v>0</v>
      </c>
      <c r="M59" s="13">
        <f t="shared" si="15"/>
        <v>0</v>
      </c>
      <c r="N59" s="19">
        <f>'[4]7. 2002 Data &amp; 2004 PILs'!$B$84</f>
        <v>0.06428070666355268</v>
      </c>
      <c r="O59" s="13">
        <f t="shared" si="16"/>
        <v>87.01250723000703</v>
      </c>
      <c r="P59" s="19">
        <v>0</v>
      </c>
      <c r="Q59" s="13">
        <f t="shared" si="17"/>
        <v>0</v>
      </c>
      <c r="R59" s="13">
        <f t="shared" si="18"/>
        <v>87.01250723000703</v>
      </c>
    </row>
    <row r="60" spans="1:18" ht="16.5" customHeight="1" thickBot="1">
      <c r="A60" s="26"/>
      <c r="B60" s="53"/>
      <c r="C60" s="36"/>
      <c r="D60" s="37"/>
      <c r="E60" s="37"/>
      <c r="F60" s="39"/>
      <c r="G60" s="40"/>
      <c r="H60" s="12"/>
      <c r="I60" s="6"/>
      <c r="J60" s="13"/>
      <c r="K60" s="12"/>
      <c r="L60" s="6"/>
      <c r="M60" s="13"/>
      <c r="N60" s="19"/>
      <c r="O60" s="13"/>
      <c r="P60" s="19"/>
      <c r="Q60" s="13"/>
      <c r="R60" s="13"/>
    </row>
    <row r="61" spans="1:18" ht="15.75" thickBot="1">
      <c r="A61" s="55" t="s">
        <v>61</v>
      </c>
      <c r="B61" s="56"/>
      <c r="C61" s="57"/>
      <c r="D61" s="58">
        <f>SUM(D48:D60)</f>
        <v>63</v>
      </c>
      <c r="E61" s="58"/>
      <c r="F61" s="58">
        <f>SUM(F48:F60)</f>
        <v>0</v>
      </c>
      <c r="G61" s="59">
        <f>SUM(G48:G60)</f>
        <v>16243.6</v>
      </c>
      <c r="H61" s="60"/>
      <c r="I61" s="61"/>
      <c r="J61" s="62">
        <f>SUM(J48:J60)</f>
        <v>46.89470877420703</v>
      </c>
      <c r="K61" s="60"/>
      <c r="L61" s="61"/>
      <c r="M61" s="62">
        <f>SUM(M48:M60)</f>
        <v>200.31159248700794</v>
      </c>
      <c r="N61" s="63"/>
      <c r="O61" s="62">
        <f>SUM(O48:O60)</f>
        <v>783.1125650700633</v>
      </c>
      <c r="P61" s="63"/>
      <c r="Q61" s="62">
        <f>SUM(Q48:Q60)</f>
        <v>0</v>
      </c>
      <c r="R61" s="62">
        <f>SUM(R48:R60)</f>
        <v>1030.3188663312783</v>
      </c>
    </row>
    <row r="62" spans="1:18" ht="15">
      <c r="A62" s="26"/>
      <c r="B62" s="53"/>
      <c r="C62" s="36"/>
      <c r="D62" s="37"/>
      <c r="E62" s="37"/>
      <c r="F62" s="39"/>
      <c r="G62" s="40"/>
      <c r="H62" s="12"/>
      <c r="I62" s="6"/>
      <c r="J62" s="13"/>
      <c r="K62" s="12"/>
      <c r="L62" s="6"/>
      <c r="M62" s="13"/>
      <c r="N62" s="19"/>
      <c r="O62" s="13"/>
      <c r="P62" s="19"/>
      <c r="Q62" s="13"/>
      <c r="R62" s="13"/>
    </row>
    <row r="63" spans="1:18" ht="15">
      <c r="A63" s="26" t="str">
        <f>'2003 PILS Recoveries'!A64</f>
        <v>Intermediate</v>
      </c>
      <c r="B63" s="53">
        <v>2004</v>
      </c>
      <c r="C63" s="36" t="s">
        <v>39</v>
      </c>
      <c r="D63" s="37">
        <f>'Customer Count'!G29</f>
        <v>1</v>
      </c>
      <c r="E63" s="37">
        <v>1</v>
      </c>
      <c r="F63" s="39"/>
      <c r="G63" s="40">
        <f>'Monthly Volumes'!N22</f>
        <v>2024.5833333333333</v>
      </c>
      <c r="H63" s="14">
        <f>'2003 PILS Recoveries'!H64</f>
        <v>20.8190647206934</v>
      </c>
      <c r="I63" s="6">
        <f>'2003 PILS Recoveries'!I64</f>
        <v>0.0011267227637440235</v>
      </c>
      <c r="J63" s="13">
        <f>D63*E63*H63+(F63+G63)*I63</f>
        <v>23.10020884945682</v>
      </c>
      <c r="K63" s="14">
        <f>'2003 PILS Recoveries'!K64</f>
        <v>88.92900963244544</v>
      </c>
      <c r="L63" s="6">
        <f>'2003 PILS Recoveries'!L64</f>
        <v>0.004812816562815825</v>
      </c>
      <c r="M63" s="13">
        <f>D63*E63*K63+(F63+G63)*L63</f>
        <v>98.67295783191298</v>
      </c>
      <c r="N63" s="19"/>
      <c r="O63" s="13">
        <f>(F63+G63)*N63</f>
        <v>0</v>
      </c>
      <c r="P63" s="19">
        <v>0</v>
      </c>
      <c r="Q63" s="13">
        <f>(F63+G63)*P63</f>
        <v>0</v>
      </c>
      <c r="R63" s="13">
        <f>J63+M63+O63+Q63</f>
        <v>121.7731666813698</v>
      </c>
    </row>
    <row r="64" spans="1:18" ht="15">
      <c r="A64" s="26" t="str">
        <f>'2003 PILS Recoveries'!A65</f>
        <v>Intermediate</v>
      </c>
      <c r="B64" s="53">
        <v>2004</v>
      </c>
      <c r="C64" s="36" t="s">
        <v>40</v>
      </c>
      <c r="D64" s="37">
        <f>'Customer Count'!G30</f>
        <v>1</v>
      </c>
      <c r="E64" s="37">
        <v>1</v>
      </c>
      <c r="F64" s="39"/>
      <c r="G64" s="40">
        <f>'Monthly Volumes'!N23</f>
        <v>2024.5833333333333</v>
      </c>
      <c r="H64" s="14">
        <f>'2003 PILS Recoveries'!H65</f>
        <v>20.8190647206934</v>
      </c>
      <c r="I64" s="6">
        <f>'2003 PILS Recoveries'!I65</f>
        <v>0.0011267227637440235</v>
      </c>
      <c r="J64" s="13">
        <f>D64*E64*H64+(F64+G64)*I64</f>
        <v>23.10020884945682</v>
      </c>
      <c r="K64" s="14">
        <f>'2003 PILS Recoveries'!K65</f>
        <v>88.92900963244544</v>
      </c>
      <c r="L64" s="6">
        <f>'2003 PILS Recoveries'!L65</f>
        <v>0.004812816562815825</v>
      </c>
      <c r="M64" s="13">
        <f>D64*E64*K64+(F64+G64)*L64</f>
        <v>98.67295783191298</v>
      </c>
      <c r="N64" s="19"/>
      <c r="O64" s="13">
        <f>(F64+G64)*N64</f>
        <v>0</v>
      </c>
      <c r="P64" s="19">
        <v>0</v>
      </c>
      <c r="Q64" s="13">
        <f>(F64+G64)*P64</f>
        <v>0</v>
      </c>
      <c r="R64" s="13">
        <f>J64+M64+O64+Q64</f>
        <v>121.7731666813698</v>
      </c>
    </row>
    <row r="65" spans="1:18" ht="15">
      <c r="A65" s="26" t="str">
        <f>'2003 PILS Recoveries'!A66</f>
        <v>Intermediate</v>
      </c>
      <c r="B65" s="53">
        <v>2004</v>
      </c>
      <c r="C65" s="36" t="s">
        <v>41</v>
      </c>
      <c r="D65" s="37">
        <f>'Customer Count'!G31</f>
        <v>1</v>
      </c>
      <c r="E65" s="37">
        <v>1</v>
      </c>
      <c r="F65" s="39"/>
      <c r="G65" s="40">
        <f>'Monthly Volumes'!N24</f>
        <v>2024.5833333333333</v>
      </c>
      <c r="H65" s="14">
        <f>'2003 PILS Recoveries'!H66</f>
        <v>20.8190647206934</v>
      </c>
      <c r="I65" s="6">
        <f>'2003 PILS Recoveries'!I66</f>
        <v>0.0011267227637440235</v>
      </c>
      <c r="J65" s="13">
        <f>D65*E65*H65+(F65+G65)*I65</f>
        <v>23.10020884945682</v>
      </c>
      <c r="K65" s="14">
        <f>'2003 PILS Recoveries'!K66</f>
        <v>88.92900963244544</v>
      </c>
      <c r="L65" s="6">
        <f>'2003 PILS Recoveries'!L66</f>
        <v>0.004812816562815825</v>
      </c>
      <c r="M65" s="13">
        <f>D65*E65*K65+(F65+G65)*L65</f>
        <v>98.67295783191298</v>
      </c>
      <c r="N65" s="19"/>
      <c r="O65" s="13">
        <f>(F65+G65)*N65</f>
        <v>0</v>
      </c>
      <c r="P65" s="19">
        <v>0</v>
      </c>
      <c r="Q65" s="13">
        <f>(F65+G65)*P65</f>
        <v>0</v>
      </c>
      <c r="R65" s="13">
        <f>J65+M65+O65+Q65</f>
        <v>121.7731666813698</v>
      </c>
    </row>
    <row r="66" spans="1:18" ht="15">
      <c r="A66" s="26" t="str">
        <f>'2003 PILS Recoveries'!A67</f>
        <v>Intermediate</v>
      </c>
      <c r="B66" s="53">
        <v>2004</v>
      </c>
      <c r="C66" s="36" t="s">
        <v>42</v>
      </c>
      <c r="D66" s="37"/>
      <c r="E66" s="37">
        <v>1</v>
      </c>
      <c r="F66" s="39"/>
      <c r="G66" s="40">
        <f>'Monthly Volumes'!N25</f>
        <v>2024.5833333333333</v>
      </c>
      <c r="H66" s="12">
        <v>0</v>
      </c>
      <c r="I66" s="6">
        <v>0</v>
      </c>
      <c r="J66" s="13">
        <f>D66*E66*H66+(F66+G66)*I66</f>
        <v>0</v>
      </c>
      <c r="K66" s="12">
        <v>0</v>
      </c>
      <c r="L66" s="6">
        <v>0</v>
      </c>
      <c r="M66" s="13">
        <f>D66*E66*K66+(F66+G66)*L66</f>
        <v>0</v>
      </c>
      <c r="N66" s="19">
        <f>'[4]7. 2002 Data &amp; 2004 PILs'!$B$120</f>
        <v>0.028078706040085607</v>
      </c>
      <c r="O66" s="13">
        <f>(F66+G66)*N66</f>
        <v>56.847680270323316</v>
      </c>
      <c r="P66" s="19">
        <v>0</v>
      </c>
      <c r="Q66" s="13">
        <f>(F66+G66)*P66</f>
        <v>0</v>
      </c>
      <c r="R66" s="13">
        <f>J66+M66+O66+Q66</f>
        <v>56.847680270323316</v>
      </c>
    </row>
    <row r="67" spans="1:18" ht="15">
      <c r="A67" s="26" t="str">
        <f>'2003 PILS Recoveries'!A68</f>
        <v>Intermediate</v>
      </c>
      <c r="B67" s="53">
        <v>2004</v>
      </c>
      <c r="C67" s="36" t="s">
        <v>35</v>
      </c>
      <c r="D67" s="37"/>
      <c r="E67" s="37">
        <v>1</v>
      </c>
      <c r="F67" s="39"/>
      <c r="G67" s="40">
        <f>'Monthly Volumes'!N26</f>
        <v>2024.5833333333333</v>
      </c>
      <c r="H67" s="12">
        <v>0</v>
      </c>
      <c r="I67" s="6">
        <v>0</v>
      </c>
      <c r="J67" s="13">
        <f aca="true" t="shared" si="20" ref="J67:J74">D67*E67*H67+(F67+G67)*I67</f>
        <v>0</v>
      </c>
      <c r="K67" s="12">
        <v>0</v>
      </c>
      <c r="L67" s="6">
        <v>0</v>
      </c>
      <c r="M67" s="13">
        <f aca="true" t="shared" si="21" ref="M67:M74">D67*E67*K67+(F67+G67)*L67</f>
        <v>0</v>
      </c>
      <c r="N67" s="19">
        <f>'[4]7. 2002 Data &amp; 2004 PILs'!$B$120</f>
        <v>0.028078706040085607</v>
      </c>
      <c r="O67" s="13">
        <f aca="true" t="shared" si="22" ref="O67:O74">(F67+G67)*N67</f>
        <v>56.847680270323316</v>
      </c>
      <c r="P67" s="19">
        <v>0</v>
      </c>
      <c r="Q67" s="13">
        <f aca="true" t="shared" si="23" ref="Q67:Q74">(F67+G67)*P67</f>
        <v>0</v>
      </c>
      <c r="R67" s="13">
        <f aca="true" t="shared" si="24" ref="R67:R74">J67+M67+O67+Q67</f>
        <v>56.847680270323316</v>
      </c>
    </row>
    <row r="68" spans="1:18" ht="15">
      <c r="A68" s="26" t="str">
        <f>'2003 PILS Recoveries'!A69</f>
        <v>Intermediate</v>
      </c>
      <c r="B68" s="53">
        <v>2004</v>
      </c>
      <c r="C68" s="36" t="s">
        <v>43</v>
      </c>
      <c r="D68" s="37"/>
      <c r="E68" s="37">
        <v>1</v>
      </c>
      <c r="F68" s="39"/>
      <c r="G68" s="40">
        <f>'Monthly Volumes'!N27</f>
        <v>2024.5833333333333</v>
      </c>
      <c r="H68" s="12">
        <v>0</v>
      </c>
      <c r="I68" s="6">
        <v>0</v>
      </c>
      <c r="J68" s="13">
        <f t="shared" si="20"/>
        <v>0</v>
      </c>
      <c r="K68" s="12">
        <v>0</v>
      </c>
      <c r="L68" s="6">
        <v>0</v>
      </c>
      <c r="M68" s="13">
        <f t="shared" si="21"/>
        <v>0</v>
      </c>
      <c r="N68" s="19">
        <f>'[4]7. 2002 Data &amp; 2004 PILs'!$B$120</f>
        <v>0.028078706040085607</v>
      </c>
      <c r="O68" s="13">
        <f t="shared" si="22"/>
        <v>56.847680270323316</v>
      </c>
      <c r="P68" s="19">
        <v>0</v>
      </c>
      <c r="Q68" s="13">
        <f t="shared" si="23"/>
        <v>0</v>
      </c>
      <c r="R68" s="13">
        <f t="shared" si="24"/>
        <v>56.847680270323316</v>
      </c>
    </row>
    <row r="69" spans="1:18" ht="15">
      <c r="A69" s="26" t="str">
        <f>'2003 PILS Recoveries'!A70</f>
        <v>Intermediate</v>
      </c>
      <c r="B69" s="53">
        <v>2004</v>
      </c>
      <c r="C69" s="36" t="s">
        <v>44</v>
      </c>
      <c r="D69" s="37"/>
      <c r="E69" s="37">
        <v>1</v>
      </c>
      <c r="F69" s="39"/>
      <c r="G69" s="40">
        <f>'Monthly Volumes'!N28</f>
        <v>2024.5833333333333</v>
      </c>
      <c r="H69" s="12">
        <v>0</v>
      </c>
      <c r="I69" s="6">
        <v>0</v>
      </c>
      <c r="J69" s="13">
        <f t="shared" si="20"/>
        <v>0</v>
      </c>
      <c r="K69" s="12">
        <v>0</v>
      </c>
      <c r="L69" s="6">
        <v>0</v>
      </c>
      <c r="M69" s="13">
        <f t="shared" si="21"/>
        <v>0</v>
      </c>
      <c r="N69" s="19">
        <f>'[4]7. 2002 Data &amp; 2004 PILs'!$B$120</f>
        <v>0.028078706040085607</v>
      </c>
      <c r="O69" s="13">
        <f t="shared" si="22"/>
        <v>56.847680270323316</v>
      </c>
      <c r="P69" s="19">
        <v>0</v>
      </c>
      <c r="Q69" s="13">
        <f t="shared" si="23"/>
        <v>0</v>
      </c>
      <c r="R69" s="13">
        <f t="shared" si="24"/>
        <v>56.847680270323316</v>
      </c>
    </row>
    <row r="70" spans="1:18" ht="15">
      <c r="A70" s="26" t="str">
        <f>'2003 PILS Recoveries'!A71</f>
        <v>Intermediate</v>
      </c>
      <c r="B70" s="53">
        <v>2004</v>
      </c>
      <c r="C70" s="36" t="s">
        <v>45</v>
      </c>
      <c r="D70" s="37"/>
      <c r="E70" s="37">
        <v>1</v>
      </c>
      <c r="F70" s="39"/>
      <c r="G70" s="40">
        <f>'Monthly Volumes'!N29</f>
        <v>2024.5833333333333</v>
      </c>
      <c r="H70" s="12">
        <v>0</v>
      </c>
      <c r="I70" s="6">
        <v>0</v>
      </c>
      <c r="J70" s="13">
        <f t="shared" si="20"/>
        <v>0</v>
      </c>
      <c r="K70" s="12">
        <v>0</v>
      </c>
      <c r="L70" s="6">
        <v>0</v>
      </c>
      <c r="M70" s="13">
        <f t="shared" si="21"/>
        <v>0</v>
      </c>
      <c r="N70" s="19">
        <f>'[4]7. 2002 Data &amp; 2004 PILs'!$B$120</f>
        <v>0.028078706040085607</v>
      </c>
      <c r="O70" s="13">
        <f t="shared" si="22"/>
        <v>56.847680270323316</v>
      </c>
      <c r="P70" s="19">
        <v>0</v>
      </c>
      <c r="Q70" s="13">
        <f t="shared" si="23"/>
        <v>0</v>
      </c>
      <c r="R70" s="13">
        <f t="shared" si="24"/>
        <v>56.847680270323316</v>
      </c>
    </row>
    <row r="71" spans="1:18" ht="15">
      <c r="A71" s="26" t="str">
        <f>'2003 PILS Recoveries'!A72</f>
        <v>Intermediate</v>
      </c>
      <c r="B71" s="53">
        <v>2004</v>
      </c>
      <c r="C71" s="36" t="s">
        <v>46</v>
      </c>
      <c r="D71" s="37"/>
      <c r="E71" s="37">
        <v>1</v>
      </c>
      <c r="F71" s="39"/>
      <c r="G71" s="40">
        <f>'Monthly Volumes'!N30</f>
        <v>2024.5833333333333</v>
      </c>
      <c r="H71" s="12">
        <v>0</v>
      </c>
      <c r="I71" s="6">
        <v>0</v>
      </c>
      <c r="J71" s="13">
        <f t="shared" si="20"/>
        <v>0</v>
      </c>
      <c r="K71" s="12">
        <v>0</v>
      </c>
      <c r="L71" s="6">
        <v>0</v>
      </c>
      <c r="M71" s="13">
        <f t="shared" si="21"/>
        <v>0</v>
      </c>
      <c r="N71" s="19">
        <f>'[4]7. 2002 Data &amp; 2004 PILs'!$B$120</f>
        <v>0.028078706040085607</v>
      </c>
      <c r="O71" s="13">
        <f t="shared" si="22"/>
        <v>56.847680270323316</v>
      </c>
      <c r="P71" s="19">
        <v>0</v>
      </c>
      <c r="Q71" s="13">
        <f t="shared" si="23"/>
        <v>0</v>
      </c>
      <c r="R71" s="13">
        <f t="shared" si="24"/>
        <v>56.847680270323316</v>
      </c>
    </row>
    <row r="72" spans="1:18" ht="15">
      <c r="A72" s="26" t="str">
        <f>'2003 PILS Recoveries'!A73</f>
        <v>Intermediate</v>
      </c>
      <c r="B72" s="53">
        <v>2004</v>
      </c>
      <c r="C72" s="36" t="s">
        <v>47</v>
      </c>
      <c r="D72" s="37"/>
      <c r="E72" s="37">
        <v>1</v>
      </c>
      <c r="F72" s="39"/>
      <c r="G72" s="40">
        <f>'Monthly Volumes'!N31</f>
        <v>2024.5833333333333</v>
      </c>
      <c r="H72" s="12">
        <v>0</v>
      </c>
      <c r="I72" s="6">
        <v>0</v>
      </c>
      <c r="J72" s="13">
        <f t="shared" si="20"/>
        <v>0</v>
      </c>
      <c r="K72" s="12">
        <v>0</v>
      </c>
      <c r="L72" s="6">
        <v>0</v>
      </c>
      <c r="M72" s="13">
        <f t="shared" si="21"/>
        <v>0</v>
      </c>
      <c r="N72" s="19">
        <f>'[4]7. 2002 Data &amp; 2004 PILs'!$B$120</f>
        <v>0.028078706040085607</v>
      </c>
      <c r="O72" s="13">
        <f t="shared" si="22"/>
        <v>56.847680270323316</v>
      </c>
      <c r="P72" s="19">
        <v>0</v>
      </c>
      <c r="Q72" s="13">
        <f t="shared" si="23"/>
        <v>0</v>
      </c>
      <c r="R72" s="13">
        <f t="shared" si="24"/>
        <v>56.847680270323316</v>
      </c>
    </row>
    <row r="73" spans="1:18" ht="15">
      <c r="A73" s="26" t="str">
        <f>'2003 PILS Recoveries'!A74</f>
        <v>Intermediate</v>
      </c>
      <c r="B73" s="53">
        <v>2004</v>
      </c>
      <c r="C73" s="36" t="s">
        <v>48</v>
      </c>
      <c r="D73" s="37"/>
      <c r="E73" s="37">
        <v>1</v>
      </c>
      <c r="F73" s="39"/>
      <c r="G73" s="40">
        <f>'Monthly Volumes'!N32</f>
        <v>2024.5833333333333</v>
      </c>
      <c r="H73" s="12">
        <v>0</v>
      </c>
      <c r="I73" s="6">
        <v>0</v>
      </c>
      <c r="J73" s="13">
        <f t="shared" si="20"/>
        <v>0</v>
      </c>
      <c r="K73" s="12">
        <v>0</v>
      </c>
      <c r="L73" s="6">
        <v>0</v>
      </c>
      <c r="M73" s="13">
        <f t="shared" si="21"/>
        <v>0</v>
      </c>
      <c r="N73" s="19">
        <f>'[4]7. 2002 Data &amp; 2004 PILs'!$B$120</f>
        <v>0.028078706040085607</v>
      </c>
      <c r="O73" s="13">
        <f t="shared" si="22"/>
        <v>56.847680270323316</v>
      </c>
      <c r="P73" s="19">
        <v>0</v>
      </c>
      <c r="Q73" s="13">
        <f t="shared" si="23"/>
        <v>0</v>
      </c>
      <c r="R73" s="13">
        <f t="shared" si="24"/>
        <v>56.847680270323316</v>
      </c>
    </row>
    <row r="74" spans="1:18" ht="15">
      <c r="A74" s="26" t="str">
        <f>'2003 PILS Recoveries'!A75</f>
        <v>Intermediate</v>
      </c>
      <c r="B74" s="53">
        <v>2004</v>
      </c>
      <c r="C74" s="36" t="s">
        <v>49</v>
      </c>
      <c r="D74" s="37"/>
      <c r="E74" s="37">
        <v>1</v>
      </c>
      <c r="F74" s="39"/>
      <c r="G74" s="40">
        <f>'Monthly Volumes'!N33</f>
        <v>2024.5833333333333</v>
      </c>
      <c r="H74" s="12">
        <v>0</v>
      </c>
      <c r="I74" s="6">
        <v>0</v>
      </c>
      <c r="J74" s="13">
        <f t="shared" si="20"/>
        <v>0</v>
      </c>
      <c r="K74" s="12">
        <v>0</v>
      </c>
      <c r="L74" s="6">
        <v>0</v>
      </c>
      <c r="M74" s="13">
        <f t="shared" si="21"/>
        <v>0</v>
      </c>
      <c r="N74" s="19">
        <f>'[4]7. 2002 Data &amp; 2004 PILs'!$B$120</f>
        <v>0.028078706040085607</v>
      </c>
      <c r="O74" s="13">
        <f t="shared" si="22"/>
        <v>56.847680270323316</v>
      </c>
      <c r="P74" s="19">
        <v>0</v>
      </c>
      <c r="Q74" s="13">
        <f t="shared" si="23"/>
        <v>0</v>
      </c>
      <c r="R74" s="13">
        <f t="shared" si="24"/>
        <v>56.847680270323316</v>
      </c>
    </row>
    <row r="75" spans="1:18" ht="15.75" thickBot="1">
      <c r="A75" s="26"/>
      <c r="B75" s="53"/>
      <c r="C75" s="36"/>
      <c r="D75" s="37"/>
      <c r="E75" s="37"/>
      <c r="F75" s="39"/>
      <c r="G75" s="40"/>
      <c r="H75" s="12"/>
      <c r="I75" s="6"/>
      <c r="J75" s="13"/>
      <c r="K75" s="12"/>
      <c r="L75" s="6"/>
      <c r="M75" s="13"/>
      <c r="N75" s="19"/>
      <c r="O75" s="13"/>
      <c r="P75" s="19"/>
      <c r="Q75" s="13"/>
      <c r="R75" s="13"/>
    </row>
    <row r="76" spans="1:18" ht="15.75" thickBot="1">
      <c r="A76" s="55" t="s">
        <v>62</v>
      </c>
      <c r="B76" s="56"/>
      <c r="C76" s="57"/>
      <c r="D76" s="58">
        <f>SUM(D63:D75)</f>
        <v>3</v>
      </c>
      <c r="E76" s="58"/>
      <c r="F76" s="58">
        <f>SUM(F63:F75)</f>
        <v>0</v>
      </c>
      <c r="G76" s="59">
        <f>SUM(G63:G75)</f>
        <v>24294.999999999996</v>
      </c>
      <c r="H76" s="60"/>
      <c r="I76" s="61"/>
      <c r="J76" s="62">
        <f>SUM(J63:J75)</f>
        <v>69.30062654837046</v>
      </c>
      <c r="K76" s="60"/>
      <c r="L76" s="61"/>
      <c r="M76" s="62">
        <f>SUM(M63:M75)</f>
        <v>296.01887349573894</v>
      </c>
      <c r="N76" s="63"/>
      <c r="O76" s="62">
        <f>SUM(O63:O75)</f>
        <v>511.6291224329099</v>
      </c>
      <c r="P76" s="63"/>
      <c r="Q76" s="62">
        <f>SUM(Q63:Q75)</f>
        <v>0</v>
      </c>
      <c r="R76" s="62">
        <f>SUM(R63:R75)</f>
        <v>876.9486224770191</v>
      </c>
    </row>
    <row r="77" spans="1:18" ht="15">
      <c r="A77" s="26"/>
      <c r="B77" s="53"/>
      <c r="C77" s="36"/>
      <c r="D77" s="37"/>
      <c r="E77" s="37"/>
      <c r="F77" s="39"/>
      <c r="G77" s="40"/>
      <c r="H77" s="14"/>
      <c r="I77" s="6"/>
      <c r="J77" s="13"/>
      <c r="K77" s="14"/>
      <c r="L77" s="6"/>
      <c r="M77" s="13"/>
      <c r="N77" s="19"/>
      <c r="O77" s="13"/>
      <c r="P77" s="19"/>
      <c r="Q77" s="13"/>
      <c r="R77" s="13"/>
    </row>
    <row r="78" spans="1:18" ht="15">
      <c r="A78" s="26" t="s">
        <v>4</v>
      </c>
      <c r="B78" s="53">
        <v>2004</v>
      </c>
      <c r="C78" s="36" t="s">
        <v>39</v>
      </c>
      <c r="D78" s="37">
        <f>'Customer Count'!H29</f>
        <v>44</v>
      </c>
      <c r="E78" s="37">
        <v>1</v>
      </c>
      <c r="F78" s="39"/>
      <c r="G78" s="40">
        <f>'Monthly Volumes'!N58</f>
        <v>0.25</v>
      </c>
      <c r="H78" s="14">
        <f>'2003 PILS Recoveries'!H79</f>
        <v>0.0071358684847055084</v>
      </c>
      <c r="I78" s="6">
        <f>'2003 PILS Recoveries'!I79</f>
        <v>0.23390073305976586</v>
      </c>
      <c r="J78" s="13">
        <f>D78*E78*H78+(F78+G78)*I78</f>
        <v>0.3724533965919838</v>
      </c>
      <c r="K78" s="14">
        <f>'2003 PILS Recoveries'!K79</f>
        <v>0.030480990655717823</v>
      </c>
      <c r="L78" s="6">
        <f>'2003 PILS Recoveries'!L79</f>
        <v>0.9991111907459014</v>
      </c>
      <c r="M78" s="13">
        <f>D78*E78*K78+(F78+G78)*L78</f>
        <v>1.5909413865380597</v>
      </c>
      <c r="N78" s="19"/>
      <c r="O78" s="13">
        <f>(F78+G78)*N78</f>
        <v>0</v>
      </c>
      <c r="P78" s="19">
        <v>0</v>
      </c>
      <c r="Q78" s="13">
        <f>(F78+G78)*P78</f>
        <v>0</v>
      </c>
      <c r="R78" s="13">
        <f>J78+M78+O78+Q78</f>
        <v>1.9633947831300436</v>
      </c>
    </row>
    <row r="79" spans="1:18" ht="15">
      <c r="A79" s="26" t="s">
        <v>4</v>
      </c>
      <c r="B79" s="53">
        <v>2004</v>
      </c>
      <c r="C79" s="36" t="s">
        <v>40</v>
      </c>
      <c r="D79" s="37">
        <f>'Customer Count'!H30</f>
        <v>44</v>
      </c>
      <c r="E79" s="37">
        <v>1</v>
      </c>
      <c r="F79" s="39"/>
      <c r="G79" s="40">
        <f>'Monthly Volumes'!N59</f>
        <v>0.25</v>
      </c>
      <c r="H79" s="14">
        <f>'2003 PILS Recoveries'!H80</f>
        <v>0.0071358684847055084</v>
      </c>
      <c r="I79" s="6">
        <f>'2003 PILS Recoveries'!I80</f>
        <v>0.23390073305976586</v>
      </c>
      <c r="J79" s="13">
        <f>D79*E79*H79+(F79+G79)*I79</f>
        <v>0.3724533965919838</v>
      </c>
      <c r="K79" s="14">
        <f>'2003 PILS Recoveries'!K80</f>
        <v>0.030480990655717823</v>
      </c>
      <c r="L79" s="6">
        <f>'2003 PILS Recoveries'!L80</f>
        <v>0.9991111907459014</v>
      </c>
      <c r="M79" s="13">
        <f>D79*E79*K79+(F79+G79)*L79</f>
        <v>1.5909413865380597</v>
      </c>
      <c r="N79" s="19"/>
      <c r="O79" s="13">
        <f>(F79+G79)*N79</f>
        <v>0</v>
      </c>
      <c r="P79" s="19">
        <v>0</v>
      </c>
      <c r="Q79" s="13">
        <f>(F79+G79)*P79</f>
        <v>0</v>
      </c>
      <c r="R79" s="13">
        <f>J79+M79+O79+Q79</f>
        <v>1.9633947831300436</v>
      </c>
    </row>
    <row r="80" spans="1:18" ht="15">
      <c r="A80" s="26" t="s">
        <v>4</v>
      </c>
      <c r="B80" s="53">
        <v>2004</v>
      </c>
      <c r="C80" s="36" t="s">
        <v>41</v>
      </c>
      <c r="D80" s="37">
        <f>'Customer Count'!H31</f>
        <v>44</v>
      </c>
      <c r="E80" s="37">
        <v>1</v>
      </c>
      <c r="F80" s="39"/>
      <c r="G80" s="40">
        <f>'Monthly Volumes'!N60</f>
        <v>0.25</v>
      </c>
      <c r="H80" s="14">
        <f>'2003 PILS Recoveries'!H81</f>
        <v>0.0071358684847055084</v>
      </c>
      <c r="I80" s="6">
        <f>'2003 PILS Recoveries'!I81</f>
        <v>0.23390073305976586</v>
      </c>
      <c r="J80" s="13">
        <f>D80*E80*H80+(F80+G80)*I80</f>
        <v>0.3724533965919838</v>
      </c>
      <c r="K80" s="14">
        <f>'2003 PILS Recoveries'!K81</f>
        <v>0.030480990655717823</v>
      </c>
      <c r="L80" s="6">
        <f>'2003 PILS Recoveries'!L81</f>
        <v>0.9991111907459014</v>
      </c>
      <c r="M80" s="13">
        <f>D80*E80*K80+(F80+G80)*L80</f>
        <v>1.5909413865380597</v>
      </c>
      <c r="N80" s="19"/>
      <c r="O80" s="13">
        <f>(F80+G80)*N80</f>
        <v>0</v>
      </c>
      <c r="P80" s="19">
        <v>0</v>
      </c>
      <c r="Q80" s="13">
        <f>(F80+G80)*P80</f>
        <v>0</v>
      </c>
      <c r="R80" s="13">
        <f>J80+M80+O80+Q80</f>
        <v>1.9633947831300436</v>
      </c>
    </row>
    <row r="81" spans="1:18" ht="15">
      <c r="A81" s="26" t="s">
        <v>4</v>
      </c>
      <c r="B81" s="53">
        <v>2004</v>
      </c>
      <c r="C81" s="36" t="s">
        <v>42</v>
      </c>
      <c r="D81" s="37"/>
      <c r="E81" s="37">
        <v>1</v>
      </c>
      <c r="F81" s="39"/>
      <c r="G81" s="40">
        <f>'Monthly Volumes'!N61</f>
        <v>0.25</v>
      </c>
      <c r="H81" s="12">
        <v>0</v>
      </c>
      <c r="I81" s="6">
        <v>0</v>
      </c>
      <c r="J81" s="13">
        <f>D81*E81*H81+(F81+G81)*I81</f>
        <v>0</v>
      </c>
      <c r="K81" s="12">
        <v>0</v>
      </c>
      <c r="L81" s="6">
        <v>0</v>
      </c>
      <c r="M81" s="13">
        <f>D81*E81*K81+(F81+G81)*L81</f>
        <v>0</v>
      </c>
      <c r="N81" s="19"/>
      <c r="O81" s="13">
        <f>(F81+G81)*N81</f>
        <v>0</v>
      </c>
      <c r="P81" s="19">
        <v>0</v>
      </c>
      <c r="Q81" s="13">
        <f>(F81+G81)*P81</f>
        <v>0</v>
      </c>
      <c r="R81" s="13">
        <f>J81+M81+O81+Q81</f>
        <v>0</v>
      </c>
    </row>
    <row r="82" spans="1:18" ht="15">
      <c r="A82" s="26" t="s">
        <v>4</v>
      </c>
      <c r="B82" s="53">
        <v>2004</v>
      </c>
      <c r="C82" s="36" t="s">
        <v>35</v>
      </c>
      <c r="D82" s="37"/>
      <c r="E82" s="37">
        <v>1</v>
      </c>
      <c r="F82" s="39"/>
      <c r="G82" s="40">
        <f>'Monthly Volumes'!N62</f>
        <v>0.25</v>
      </c>
      <c r="H82" s="12">
        <v>0</v>
      </c>
      <c r="I82" s="6">
        <v>0</v>
      </c>
      <c r="J82" s="13">
        <f aca="true" t="shared" si="25" ref="J82:J89">D82*E82*H82+(F82+G82)*I82</f>
        <v>0</v>
      </c>
      <c r="K82" s="12">
        <v>0</v>
      </c>
      <c r="L82" s="6">
        <v>0</v>
      </c>
      <c r="M82" s="13">
        <f aca="true" t="shared" si="26" ref="M82:M89">D82*E82*K82+(F82+G82)*L82</f>
        <v>0</v>
      </c>
      <c r="N82" s="19"/>
      <c r="O82" s="13">
        <f aca="true" t="shared" si="27" ref="O82:O89">(F82+G82)*N82</f>
        <v>0</v>
      </c>
      <c r="P82" s="19">
        <v>0</v>
      </c>
      <c r="Q82" s="13">
        <f aca="true" t="shared" si="28" ref="Q82:Q89">(F82+G82)*P82</f>
        <v>0</v>
      </c>
      <c r="R82" s="13">
        <f aca="true" t="shared" si="29" ref="R82:R89">J82+M82+O82+Q82</f>
        <v>0</v>
      </c>
    </row>
    <row r="83" spans="1:18" ht="15">
      <c r="A83" s="26" t="s">
        <v>4</v>
      </c>
      <c r="B83" s="53">
        <v>2004</v>
      </c>
      <c r="C83" s="36" t="s">
        <v>43</v>
      </c>
      <c r="D83" s="37"/>
      <c r="E83" s="37">
        <v>1</v>
      </c>
      <c r="F83" s="39"/>
      <c r="G83" s="40">
        <f>'Monthly Volumes'!N63</f>
        <v>0.25</v>
      </c>
      <c r="H83" s="12">
        <v>0</v>
      </c>
      <c r="I83" s="6">
        <v>0</v>
      </c>
      <c r="J83" s="13">
        <f t="shared" si="25"/>
        <v>0</v>
      </c>
      <c r="K83" s="12">
        <v>0</v>
      </c>
      <c r="L83" s="6">
        <v>0</v>
      </c>
      <c r="M83" s="13">
        <f t="shared" si="26"/>
        <v>0</v>
      </c>
      <c r="N83" s="19"/>
      <c r="O83" s="13">
        <f t="shared" si="27"/>
        <v>0</v>
      </c>
      <c r="P83" s="19">
        <v>0</v>
      </c>
      <c r="Q83" s="13">
        <f t="shared" si="28"/>
        <v>0</v>
      </c>
      <c r="R83" s="13">
        <f t="shared" si="29"/>
        <v>0</v>
      </c>
    </row>
    <row r="84" spans="1:18" ht="15">
      <c r="A84" s="26" t="s">
        <v>4</v>
      </c>
      <c r="B84" s="53">
        <v>2004</v>
      </c>
      <c r="C84" s="36" t="s">
        <v>44</v>
      </c>
      <c r="D84" s="37"/>
      <c r="E84" s="37">
        <v>1</v>
      </c>
      <c r="F84" s="39"/>
      <c r="G84" s="40">
        <f>'Monthly Volumes'!N64</f>
        <v>0.25</v>
      </c>
      <c r="H84" s="12">
        <v>0</v>
      </c>
      <c r="I84" s="6">
        <v>0</v>
      </c>
      <c r="J84" s="13">
        <f t="shared" si="25"/>
        <v>0</v>
      </c>
      <c r="K84" s="12">
        <v>0</v>
      </c>
      <c r="L84" s="6">
        <v>0</v>
      </c>
      <c r="M84" s="13">
        <f t="shared" si="26"/>
        <v>0</v>
      </c>
      <c r="N84" s="19"/>
      <c r="O84" s="13">
        <f t="shared" si="27"/>
        <v>0</v>
      </c>
      <c r="P84" s="19">
        <v>0</v>
      </c>
      <c r="Q84" s="13">
        <f t="shared" si="28"/>
        <v>0</v>
      </c>
      <c r="R84" s="13">
        <f t="shared" si="29"/>
        <v>0</v>
      </c>
    </row>
    <row r="85" spans="1:18" ht="15">
      <c r="A85" s="26" t="s">
        <v>4</v>
      </c>
      <c r="B85" s="53">
        <v>2004</v>
      </c>
      <c r="C85" s="36" t="s">
        <v>45</v>
      </c>
      <c r="D85" s="37"/>
      <c r="E85" s="37">
        <v>1</v>
      </c>
      <c r="F85" s="39"/>
      <c r="G85" s="40">
        <f>'Monthly Volumes'!N65</f>
        <v>0.25</v>
      </c>
      <c r="H85" s="12">
        <v>0</v>
      </c>
      <c r="I85" s="6">
        <v>0</v>
      </c>
      <c r="J85" s="13">
        <f t="shared" si="25"/>
        <v>0</v>
      </c>
      <c r="K85" s="12">
        <v>0</v>
      </c>
      <c r="L85" s="6">
        <v>0</v>
      </c>
      <c r="M85" s="13">
        <f t="shared" si="26"/>
        <v>0</v>
      </c>
      <c r="N85" s="19"/>
      <c r="O85" s="13">
        <f t="shared" si="27"/>
        <v>0</v>
      </c>
      <c r="P85" s="19">
        <v>0</v>
      </c>
      <c r="Q85" s="13">
        <f t="shared" si="28"/>
        <v>0</v>
      </c>
      <c r="R85" s="13">
        <f t="shared" si="29"/>
        <v>0</v>
      </c>
    </row>
    <row r="86" spans="1:18" ht="15">
      <c r="A86" s="26" t="s">
        <v>4</v>
      </c>
      <c r="B86" s="53">
        <v>2004</v>
      </c>
      <c r="C86" s="36" t="s">
        <v>46</v>
      </c>
      <c r="D86" s="37"/>
      <c r="E86" s="37">
        <v>1</v>
      </c>
      <c r="F86" s="39"/>
      <c r="G86" s="40">
        <f>'Monthly Volumes'!N66</f>
        <v>0.25</v>
      </c>
      <c r="H86" s="12">
        <v>0</v>
      </c>
      <c r="I86" s="6">
        <v>0</v>
      </c>
      <c r="J86" s="13">
        <f t="shared" si="25"/>
        <v>0</v>
      </c>
      <c r="K86" s="12">
        <v>0</v>
      </c>
      <c r="L86" s="6">
        <v>0</v>
      </c>
      <c r="M86" s="13">
        <f t="shared" si="26"/>
        <v>0</v>
      </c>
      <c r="N86" s="19"/>
      <c r="O86" s="13">
        <f t="shared" si="27"/>
        <v>0</v>
      </c>
      <c r="P86" s="19">
        <v>0</v>
      </c>
      <c r="Q86" s="13">
        <f t="shared" si="28"/>
        <v>0</v>
      </c>
      <c r="R86" s="13">
        <f t="shared" si="29"/>
        <v>0</v>
      </c>
    </row>
    <row r="87" spans="1:18" ht="15">
      <c r="A87" s="26" t="s">
        <v>4</v>
      </c>
      <c r="B87" s="53">
        <v>2004</v>
      </c>
      <c r="C87" s="36" t="s">
        <v>47</v>
      </c>
      <c r="D87" s="37"/>
      <c r="E87" s="37">
        <v>1</v>
      </c>
      <c r="F87" s="39"/>
      <c r="G87" s="40">
        <f>'Monthly Volumes'!N67</f>
        <v>0.25</v>
      </c>
      <c r="H87" s="12">
        <v>0</v>
      </c>
      <c r="I87" s="6">
        <v>0</v>
      </c>
      <c r="J87" s="13">
        <f t="shared" si="25"/>
        <v>0</v>
      </c>
      <c r="K87" s="12">
        <v>0</v>
      </c>
      <c r="L87" s="6">
        <v>0</v>
      </c>
      <c r="M87" s="13">
        <f t="shared" si="26"/>
        <v>0</v>
      </c>
      <c r="N87" s="19"/>
      <c r="O87" s="13">
        <f t="shared" si="27"/>
        <v>0</v>
      </c>
      <c r="P87" s="19">
        <v>0</v>
      </c>
      <c r="Q87" s="13">
        <f t="shared" si="28"/>
        <v>0</v>
      </c>
      <c r="R87" s="13">
        <f t="shared" si="29"/>
        <v>0</v>
      </c>
    </row>
    <row r="88" spans="1:18" ht="15">
      <c r="A88" s="26" t="s">
        <v>4</v>
      </c>
      <c r="B88" s="53">
        <v>2004</v>
      </c>
      <c r="C88" s="36" t="s">
        <v>48</v>
      </c>
      <c r="D88" s="37"/>
      <c r="E88" s="37">
        <v>1</v>
      </c>
      <c r="F88" s="39"/>
      <c r="G88" s="40">
        <f>'Monthly Volumes'!N68</f>
        <v>0.25</v>
      </c>
      <c r="H88" s="12">
        <v>0</v>
      </c>
      <c r="I88" s="6">
        <v>0</v>
      </c>
      <c r="J88" s="13">
        <f t="shared" si="25"/>
        <v>0</v>
      </c>
      <c r="K88" s="12">
        <v>0</v>
      </c>
      <c r="L88" s="6">
        <v>0</v>
      </c>
      <c r="M88" s="13">
        <f t="shared" si="26"/>
        <v>0</v>
      </c>
      <c r="N88" s="19"/>
      <c r="O88" s="13">
        <f t="shared" si="27"/>
        <v>0</v>
      </c>
      <c r="P88" s="19">
        <v>0</v>
      </c>
      <c r="Q88" s="13">
        <f t="shared" si="28"/>
        <v>0</v>
      </c>
      <c r="R88" s="13">
        <f t="shared" si="29"/>
        <v>0</v>
      </c>
    </row>
    <row r="89" spans="1:18" ht="15">
      <c r="A89" s="26" t="s">
        <v>4</v>
      </c>
      <c r="B89" s="53">
        <v>2004</v>
      </c>
      <c r="C89" s="36" t="s">
        <v>49</v>
      </c>
      <c r="D89" s="37"/>
      <c r="E89" s="37">
        <v>1</v>
      </c>
      <c r="F89" s="39"/>
      <c r="G89" s="40">
        <f>'Monthly Volumes'!N69</f>
        <v>0.25</v>
      </c>
      <c r="H89" s="12">
        <v>0</v>
      </c>
      <c r="I89" s="6">
        <v>0</v>
      </c>
      <c r="J89" s="13">
        <f t="shared" si="25"/>
        <v>0</v>
      </c>
      <c r="K89" s="12">
        <v>0</v>
      </c>
      <c r="L89" s="6">
        <v>0</v>
      </c>
      <c r="M89" s="13">
        <f t="shared" si="26"/>
        <v>0</v>
      </c>
      <c r="N89" s="19"/>
      <c r="O89" s="13">
        <f t="shared" si="27"/>
        <v>0</v>
      </c>
      <c r="P89" s="19">
        <v>0</v>
      </c>
      <c r="Q89" s="13">
        <f t="shared" si="28"/>
        <v>0</v>
      </c>
      <c r="R89" s="13">
        <f t="shared" si="29"/>
        <v>0</v>
      </c>
    </row>
    <row r="90" spans="1:18" ht="15.75" thickBot="1">
      <c r="A90" s="26"/>
      <c r="B90" s="53"/>
      <c r="C90" s="36"/>
      <c r="D90" s="37"/>
      <c r="E90" s="37"/>
      <c r="F90" s="39"/>
      <c r="G90" s="40"/>
      <c r="H90" s="12"/>
      <c r="I90" s="6"/>
      <c r="J90" s="13"/>
      <c r="K90" s="12"/>
      <c r="L90" s="6"/>
      <c r="M90" s="13"/>
      <c r="N90" s="19"/>
      <c r="O90" s="13"/>
      <c r="P90" s="19"/>
      <c r="Q90" s="13"/>
      <c r="R90" s="13"/>
    </row>
    <row r="91" spans="1:18" ht="15.75" thickBot="1">
      <c r="A91" s="55" t="s">
        <v>63</v>
      </c>
      <c r="B91" s="56"/>
      <c r="C91" s="57"/>
      <c r="D91" s="58">
        <f>SUM(D78:D90)</f>
        <v>132</v>
      </c>
      <c r="E91" s="58"/>
      <c r="F91" s="58">
        <f>SUM(F78:F90)</f>
        <v>0</v>
      </c>
      <c r="G91" s="59">
        <f>SUM(G78:G90)</f>
        <v>3</v>
      </c>
      <c r="H91" s="60"/>
      <c r="I91" s="61"/>
      <c r="J91" s="62">
        <f>SUM(J78:J90)</f>
        <v>1.1173601897759513</v>
      </c>
      <c r="K91" s="60"/>
      <c r="L91" s="61"/>
      <c r="M91" s="62">
        <f>SUM(M78:M90)</f>
        <v>4.77282415961418</v>
      </c>
      <c r="N91" s="63"/>
      <c r="O91" s="62">
        <f>SUM(O78:O90)</f>
        <v>0</v>
      </c>
      <c r="P91" s="63"/>
      <c r="Q91" s="62">
        <f>SUM(Q78:Q90)</f>
        <v>0</v>
      </c>
      <c r="R91" s="62">
        <f>SUM(R78:R90)</f>
        <v>5.890184349390131</v>
      </c>
    </row>
    <row r="92" spans="1:18" ht="15">
      <c r="A92" s="26"/>
      <c r="B92" s="53"/>
      <c r="C92" s="36"/>
      <c r="D92" s="37"/>
      <c r="E92" s="37"/>
      <c r="F92" s="39"/>
      <c r="G92" s="40"/>
      <c r="H92" s="14"/>
      <c r="I92" s="6"/>
      <c r="J92" s="13"/>
      <c r="K92" s="14"/>
      <c r="L92" s="6"/>
      <c r="M92" s="13"/>
      <c r="N92" s="19"/>
      <c r="O92" s="13"/>
      <c r="P92" s="19"/>
      <c r="Q92" s="13"/>
      <c r="R92" s="13"/>
    </row>
    <row r="93" spans="1:18" ht="15">
      <c r="A93" s="26" t="s">
        <v>5</v>
      </c>
      <c r="B93" s="53">
        <v>2004</v>
      </c>
      <c r="C93" s="36" t="s">
        <v>39</v>
      </c>
      <c r="D93" s="37">
        <f>'Customer Count'!I29</f>
        <v>617.5</v>
      </c>
      <c r="E93" s="37">
        <v>1</v>
      </c>
      <c r="F93" s="39"/>
      <c r="G93" s="40">
        <f>'Monthly Volumes'!N40</f>
        <v>130.21461666666667</v>
      </c>
      <c r="H93" s="14">
        <f>'2003 PILS Recoveries'!H94</f>
        <v>0.017030225858714457</v>
      </c>
      <c r="I93" s="6">
        <f>'2003 PILS Recoveries'!I94</f>
        <v>0.014345483772545306</v>
      </c>
      <c r="J93" s="13">
        <f>D93*E93*H93+(F93+G93)*I93</f>
        <v>12.384156138096051</v>
      </c>
      <c r="K93" s="14">
        <f>'2003 PILS Recoveries'!K94</f>
        <v>0.0727449162462615</v>
      </c>
      <c r="L93" s="6">
        <f>'2003 PILS Recoveries'!L94</f>
        <v>0.06127699210823539</v>
      </c>
      <c r="M93" s="13">
        <f>D93*E93*K93+(F93+G93)*L93</f>
        <v>52.89914581992671</v>
      </c>
      <c r="N93" s="19"/>
      <c r="O93" s="13">
        <f>(F93+G93)*N93</f>
        <v>0</v>
      </c>
      <c r="P93" s="19">
        <v>0</v>
      </c>
      <c r="Q93" s="13">
        <f>(F93+G93)*P93</f>
        <v>0</v>
      </c>
      <c r="R93" s="13">
        <f aca="true" t="shared" si="30" ref="R93:R104">J93+M93+O93+Q93</f>
        <v>65.28330195802276</v>
      </c>
    </row>
    <row r="94" spans="1:18" ht="15">
      <c r="A94" s="26" t="s">
        <v>5</v>
      </c>
      <c r="B94" s="53">
        <v>2004</v>
      </c>
      <c r="C94" s="36" t="s">
        <v>40</v>
      </c>
      <c r="D94" s="37">
        <f>'Customer Count'!I30</f>
        <v>617.5</v>
      </c>
      <c r="E94" s="37">
        <v>1</v>
      </c>
      <c r="F94" s="39"/>
      <c r="G94" s="40">
        <f>'Monthly Volumes'!N41</f>
        <v>130.21461666666667</v>
      </c>
      <c r="H94" s="14">
        <f>'2003 PILS Recoveries'!H95</f>
        <v>0.017030225858714457</v>
      </c>
      <c r="I94" s="6">
        <f>'2003 PILS Recoveries'!I95</f>
        <v>0.014345483772545306</v>
      </c>
      <c r="J94" s="13">
        <f>D94*E94*H94+(F94+G94)*I94</f>
        <v>12.384156138096051</v>
      </c>
      <c r="K94" s="14">
        <f>'2003 PILS Recoveries'!K95</f>
        <v>0.0727449162462615</v>
      </c>
      <c r="L94" s="6">
        <f>'2003 PILS Recoveries'!L95</f>
        <v>0.06127699210823539</v>
      </c>
      <c r="M94" s="13">
        <f>D94*E94*K94+(F94+G94)*L94</f>
        <v>52.89914581992671</v>
      </c>
      <c r="N94" s="19"/>
      <c r="O94" s="13">
        <f>(F94+G94)*N94</f>
        <v>0</v>
      </c>
      <c r="P94" s="19">
        <v>0</v>
      </c>
      <c r="Q94" s="13">
        <f>(F94+G94)*P94</f>
        <v>0</v>
      </c>
      <c r="R94" s="13">
        <f t="shared" si="30"/>
        <v>65.28330195802276</v>
      </c>
    </row>
    <row r="95" spans="1:18" ht="15">
      <c r="A95" s="26" t="s">
        <v>5</v>
      </c>
      <c r="B95" s="53">
        <v>2004</v>
      </c>
      <c r="C95" s="36" t="s">
        <v>41</v>
      </c>
      <c r="D95" s="37">
        <f>'Customer Count'!I31</f>
        <v>617.5</v>
      </c>
      <c r="E95" s="37">
        <v>1</v>
      </c>
      <c r="F95" s="39"/>
      <c r="G95" s="40">
        <f>'Monthly Volumes'!N42</f>
        <v>130.21461666666667</v>
      </c>
      <c r="H95" s="14">
        <f>'2003 PILS Recoveries'!H96</f>
        <v>0.017030225858714457</v>
      </c>
      <c r="I95" s="6">
        <f>'2003 PILS Recoveries'!I96</f>
        <v>0.014345483772545306</v>
      </c>
      <c r="J95" s="13">
        <f>D95*E95*H95+(F95+G95)*I95</f>
        <v>12.384156138096051</v>
      </c>
      <c r="K95" s="14">
        <f>'2003 PILS Recoveries'!K96</f>
        <v>0.0727449162462615</v>
      </c>
      <c r="L95" s="6">
        <f>'2003 PILS Recoveries'!L96</f>
        <v>0.06127699210823539</v>
      </c>
      <c r="M95" s="13">
        <f>D95*E95*K95+(F95+G95)*L95</f>
        <v>52.89914581992671</v>
      </c>
      <c r="N95" s="19"/>
      <c r="O95" s="13">
        <f>(F95+G95)*N95</f>
        <v>0</v>
      </c>
      <c r="P95" s="19">
        <v>0</v>
      </c>
      <c r="Q95" s="13">
        <f>(F95+G95)*P95</f>
        <v>0</v>
      </c>
      <c r="R95" s="13">
        <f t="shared" si="30"/>
        <v>65.28330195802276</v>
      </c>
    </row>
    <row r="96" spans="1:18" ht="15">
      <c r="A96" s="26" t="s">
        <v>5</v>
      </c>
      <c r="B96" s="53">
        <v>2004</v>
      </c>
      <c r="C96" s="36" t="s">
        <v>42</v>
      </c>
      <c r="D96" s="37"/>
      <c r="E96" s="37">
        <v>1</v>
      </c>
      <c r="F96" s="39"/>
      <c r="G96" s="40">
        <f>'Monthly Volumes'!N43</f>
        <v>130.21461666666667</v>
      </c>
      <c r="H96" s="12">
        <v>0</v>
      </c>
      <c r="I96" s="6">
        <v>0</v>
      </c>
      <c r="J96" s="13">
        <f>D96*E96*H96+(F96+G96)*I96</f>
        <v>0</v>
      </c>
      <c r="K96" s="12">
        <v>0</v>
      </c>
      <c r="L96" s="6">
        <v>0</v>
      </c>
      <c r="M96" s="13">
        <f>D96*E96*K96+(F96+G96)*L96</f>
        <v>0</v>
      </c>
      <c r="N96" s="19">
        <f>'[4]7. 2002 Data &amp; 2004 PILs'!$B$174</f>
        <v>0.42894353255132145</v>
      </c>
      <c r="O96" s="13">
        <f>(F96+G96)*N96</f>
        <v>55.85471766281618</v>
      </c>
      <c r="P96" s="19">
        <v>0</v>
      </c>
      <c r="Q96" s="13">
        <f>(F96+G96)*P96</f>
        <v>0</v>
      </c>
      <c r="R96" s="13">
        <f t="shared" si="30"/>
        <v>55.85471766281618</v>
      </c>
    </row>
    <row r="97" spans="1:18" ht="15">
      <c r="A97" s="26" t="s">
        <v>5</v>
      </c>
      <c r="B97" s="53">
        <v>2004</v>
      </c>
      <c r="C97" s="36" t="s">
        <v>35</v>
      </c>
      <c r="D97" s="37"/>
      <c r="E97" s="37">
        <v>1</v>
      </c>
      <c r="F97" s="39"/>
      <c r="G97" s="40">
        <f>'Monthly Volumes'!N44</f>
        <v>130.21461666666667</v>
      </c>
      <c r="H97" s="12">
        <v>0</v>
      </c>
      <c r="I97" s="6">
        <v>0</v>
      </c>
      <c r="J97" s="13">
        <f aca="true" t="shared" si="31" ref="J97:J104">D97*E97*H97+(F97+G97)*I97</f>
        <v>0</v>
      </c>
      <c r="K97" s="12">
        <v>0</v>
      </c>
      <c r="L97" s="6">
        <v>0</v>
      </c>
      <c r="M97" s="13">
        <f aca="true" t="shared" si="32" ref="M97:M104">D97*E97*K97+(F97+G97)*L97</f>
        <v>0</v>
      </c>
      <c r="N97" s="19">
        <f>'[4]7. 2002 Data &amp; 2004 PILs'!$B$174</f>
        <v>0.42894353255132145</v>
      </c>
      <c r="O97" s="13">
        <f aca="true" t="shared" si="33" ref="O97:O104">(F97+G97)*N97</f>
        <v>55.85471766281618</v>
      </c>
      <c r="P97" s="19">
        <v>0</v>
      </c>
      <c r="Q97" s="13">
        <f aca="true" t="shared" si="34" ref="Q97:Q104">(F97+G97)*P97</f>
        <v>0</v>
      </c>
      <c r="R97" s="13">
        <f t="shared" si="30"/>
        <v>55.85471766281618</v>
      </c>
    </row>
    <row r="98" spans="1:18" ht="15">
      <c r="A98" s="26" t="s">
        <v>5</v>
      </c>
      <c r="B98" s="53">
        <v>2004</v>
      </c>
      <c r="C98" s="36" t="s">
        <v>43</v>
      </c>
      <c r="D98" s="37"/>
      <c r="E98" s="37">
        <v>1</v>
      </c>
      <c r="F98" s="39"/>
      <c r="G98" s="40">
        <f>'Monthly Volumes'!N45</f>
        <v>130.21461666666667</v>
      </c>
      <c r="H98" s="12">
        <v>0</v>
      </c>
      <c r="I98" s="6">
        <v>0</v>
      </c>
      <c r="J98" s="13">
        <f t="shared" si="31"/>
        <v>0</v>
      </c>
      <c r="K98" s="12">
        <v>0</v>
      </c>
      <c r="L98" s="6">
        <v>0</v>
      </c>
      <c r="M98" s="13">
        <f t="shared" si="32"/>
        <v>0</v>
      </c>
      <c r="N98" s="19">
        <f>'[4]7. 2002 Data &amp; 2004 PILs'!$B$174</f>
        <v>0.42894353255132145</v>
      </c>
      <c r="O98" s="13">
        <f t="shared" si="33"/>
        <v>55.85471766281618</v>
      </c>
      <c r="P98" s="19">
        <v>0</v>
      </c>
      <c r="Q98" s="13">
        <f t="shared" si="34"/>
        <v>0</v>
      </c>
      <c r="R98" s="13">
        <f t="shared" si="30"/>
        <v>55.85471766281618</v>
      </c>
    </row>
    <row r="99" spans="1:18" ht="15">
      <c r="A99" s="26" t="s">
        <v>5</v>
      </c>
      <c r="B99" s="53">
        <v>2004</v>
      </c>
      <c r="C99" s="36" t="s">
        <v>44</v>
      </c>
      <c r="D99" s="37"/>
      <c r="E99" s="37">
        <v>1</v>
      </c>
      <c r="F99" s="39"/>
      <c r="G99" s="40">
        <f>'Monthly Volumes'!N46</f>
        <v>130.21461666666667</v>
      </c>
      <c r="H99" s="12">
        <v>0</v>
      </c>
      <c r="I99" s="6">
        <v>0</v>
      </c>
      <c r="J99" s="13">
        <f t="shared" si="31"/>
        <v>0</v>
      </c>
      <c r="K99" s="12">
        <v>0</v>
      </c>
      <c r="L99" s="6">
        <v>0</v>
      </c>
      <c r="M99" s="13">
        <f t="shared" si="32"/>
        <v>0</v>
      </c>
      <c r="N99" s="19">
        <f>'[4]7. 2002 Data &amp; 2004 PILs'!$B$174</f>
        <v>0.42894353255132145</v>
      </c>
      <c r="O99" s="13">
        <f t="shared" si="33"/>
        <v>55.85471766281618</v>
      </c>
      <c r="P99" s="19">
        <v>0</v>
      </c>
      <c r="Q99" s="13">
        <f t="shared" si="34"/>
        <v>0</v>
      </c>
      <c r="R99" s="13">
        <f t="shared" si="30"/>
        <v>55.85471766281618</v>
      </c>
    </row>
    <row r="100" spans="1:18" ht="15">
      <c r="A100" s="26" t="s">
        <v>5</v>
      </c>
      <c r="B100" s="53">
        <v>2004</v>
      </c>
      <c r="C100" s="36" t="s">
        <v>45</v>
      </c>
      <c r="D100" s="37"/>
      <c r="E100" s="37">
        <v>1</v>
      </c>
      <c r="F100" s="39"/>
      <c r="G100" s="40">
        <f>'Monthly Volumes'!N47</f>
        <v>130.21461666666667</v>
      </c>
      <c r="H100" s="12">
        <v>0</v>
      </c>
      <c r="I100" s="6">
        <v>0</v>
      </c>
      <c r="J100" s="13">
        <f t="shared" si="31"/>
        <v>0</v>
      </c>
      <c r="K100" s="12">
        <v>0</v>
      </c>
      <c r="L100" s="6">
        <v>0</v>
      </c>
      <c r="M100" s="13">
        <f t="shared" si="32"/>
        <v>0</v>
      </c>
      <c r="N100" s="19">
        <f>'[4]7. 2002 Data &amp; 2004 PILs'!$B$174</f>
        <v>0.42894353255132145</v>
      </c>
      <c r="O100" s="13">
        <f t="shared" si="33"/>
        <v>55.85471766281618</v>
      </c>
      <c r="P100" s="19">
        <v>0</v>
      </c>
      <c r="Q100" s="13">
        <f t="shared" si="34"/>
        <v>0</v>
      </c>
      <c r="R100" s="13">
        <f t="shared" si="30"/>
        <v>55.85471766281618</v>
      </c>
    </row>
    <row r="101" spans="1:18" ht="15">
      <c r="A101" s="26" t="s">
        <v>5</v>
      </c>
      <c r="B101" s="53">
        <v>2004</v>
      </c>
      <c r="C101" s="36" t="s">
        <v>46</v>
      </c>
      <c r="D101" s="37"/>
      <c r="E101" s="37">
        <v>1</v>
      </c>
      <c r="F101" s="39"/>
      <c r="G101" s="40">
        <f>'Monthly Volumes'!N48</f>
        <v>130.21461666666667</v>
      </c>
      <c r="H101" s="12">
        <v>0</v>
      </c>
      <c r="I101" s="6">
        <v>0</v>
      </c>
      <c r="J101" s="13">
        <f t="shared" si="31"/>
        <v>0</v>
      </c>
      <c r="K101" s="12">
        <v>0</v>
      </c>
      <c r="L101" s="6">
        <v>0</v>
      </c>
      <c r="M101" s="13">
        <f t="shared" si="32"/>
        <v>0</v>
      </c>
      <c r="N101" s="19">
        <f>'[4]7. 2002 Data &amp; 2004 PILs'!$B$174</f>
        <v>0.42894353255132145</v>
      </c>
      <c r="O101" s="13">
        <f t="shared" si="33"/>
        <v>55.85471766281618</v>
      </c>
      <c r="P101" s="19">
        <v>0</v>
      </c>
      <c r="Q101" s="13">
        <f t="shared" si="34"/>
        <v>0</v>
      </c>
      <c r="R101" s="13">
        <f t="shared" si="30"/>
        <v>55.85471766281618</v>
      </c>
    </row>
    <row r="102" spans="1:18" ht="15">
      <c r="A102" s="26" t="s">
        <v>5</v>
      </c>
      <c r="B102" s="53">
        <v>2004</v>
      </c>
      <c r="C102" s="36" t="s">
        <v>47</v>
      </c>
      <c r="D102" s="37"/>
      <c r="E102" s="37">
        <v>1</v>
      </c>
      <c r="F102" s="39"/>
      <c r="G102" s="40">
        <f>'Monthly Volumes'!N49</f>
        <v>130.21461666666667</v>
      </c>
      <c r="H102" s="12">
        <v>0</v>
      </c>
      <c r="I102" s="6">
        <v>0</v>
      </c>
      <c r="J102" s="13">
        <f t="shared" si="31"/>
        <v>0</v>
      </c>
      <c r="K102" s="12">
        <v>0</v>
      </c>
      <c r="L102" s="6">
        <v>0</v>
      </c>
      <c r="M102" s="13">
        <f t="shared" si="32"/>
        <v>0</v>
      </c>
      <c r="N102" s="19">
        <f>'[4]7. 2002 Data &amp; 2004 PILs'!$B$174</f>
        <v>0.42894353255132145</v>
      </c>
      <c r="O102" s="13">
        <f t="shared" si="33"/>
        <v>55.85471766281618</v>
      </c>
      <c r="P102" s="19">
        <v>0</v>
      </c>
      <c r="Q102" s="13">
        <f t="shared" si="34"/>
        <v>0</v>
      </c>
      <c r="R102" s="13">
        <f t="shared" si="30"/>
        <v>55.85471766281618</v>
      </c>
    </row>
    <row r="103" spans="1:18" ht="15">
      <c r="A103" s="26" t="s">
        <v>5</v>
      </c>
      <c r="B103" s="53">
        <v>2004</v>
      </c>
      <c r="C103" s="36" t="s">
        <v>48</v>
      </c>
      <c r="D103" s="37"/>
      <c r="E103" s="37">
        <v>1</v>
      </c>
      <c r="F103" s="39"/>
      <c r="G103" s="40">
        <f>'Monthly Volumes'!N50</f>
        <v>130.21461666666667</v>
      </c>
      <c r="H103" s="12">
        <v>0</v>
      </c>
      <c r="I103" s="6">
        <v>0</v>
      </c>
      <c r="J103" s="13">
        <f t="shared" si="31"/>
        <v>0</v>
      </c>
      <c r="K103" s="12">
        <v>0</v>
      </c>
      <c r="L103" s="6">
        <v>0</v>
      </c>
      <c r="M103" s="13">
        <f t="shared" si="32"/>
        <v>0</v>
      </c>
      <c r="N103" s="19">
        <f>'[4]7. 2002 Data &amp; 2004 PILs'!$B$174</f>
        <v>0.42894353255132145</v>
      </c>
      <c r="O103" s="13">
        <f t="shared" si="33"/>
        <v>55.85471766281618</v>
      </c>
      <c r="P103" s="19">
        <v>0</v>
      </c>
      <c r="Q103" s="13">
        <f t="shared" si="34"/>
        <v>0</v>
      </c>
      <c r="R103" s="13">
        <f t="shared" si="30"/>
        <v>55.85471766281618</v>
      </c>
    </row>
    <row r="104" spans="1:18" ht="15">
      <c r="A104" s="26" t="s">
        <v>5</v>
      </c>
      <c r="B104" s="53">
        <v>2004</v>
      </c>
      <c r="C104" s="36" t="s">
        <v>49</v>
      </c>
      <c r="D104" s="37"/>
      <c r="E104" s="37">
        <v>1</v>
      </c>
      <c r="F104" s="39"/>
      <c r="G104" s="40">
        <f>'Monthly Volumes'!N51</f>
        <v>130.21461666666667</v>
      </c>
      <c r="H104" s="12">
        <v>0</v>
      </c>
      <c r="I104" s="6">
        <v>0</v>
      </c>
      <c r="J104" s="13">
        <f t="shared" si="31"/>
        <v>0</v>
      </c>
      <c r="K104" s="12">
        <v>0</v>
      </c>
      <c r="L104" s="6">
        <v>0</v>
      </c>
      <c r="M104" s="13">
        <f t="shared" si="32"/>
        <v>0</v>
      </c>
      <c r="N104" s="19">
        <f>'[4]7. 2002 Data &amp; 2004 PILs'!$B$174</f>
        <v>0.42894353255132145</v>
      </c>
      <c r="O104" s="13">
        <f t="shared" si="33"/>
        <v>55.85471766281618</v>
      </c>
      <c r="P104" s="19">
        <v>0</v>
      </c>
      <c r="Q104" s="13">
        <f t="shared" si="34"/>
        <v>0</v>
      </c>
      <c r="R104" s="13">
        <f t="shared" si="30"/>
        <v>55.85471766281618</v>
      </c>
    </row>
    <row r="105" spans="1:18" ht="15.75" thickBot="1">
      <c r="A105" s="26"/>
      <c r="B105" s="53"/>
      <c r="C105" s="36"/>
      <c r="D105" s="37"/>
      <c r="E105" s="37"/>
      <c r="F105" s="39"/>
      <c r="G105" s="40"/>
      <c r="H105" s="12"/>
      <c r="I105" s="6"/>
      <c r="J105" s="13"/>
      <c r="K105" s="12"/>
      <c r="L105" s="6"/>
      <c r="M105" s="13"/>
      <c r="N105" s="19"/>
      <c r="O105" s="13"/>
      <c r="P105" s="19"/>
      <c r="Q105" s="13"/>
      <c r="R105" s="13"/>
    </row>
    <row r="106" spans="1:18" ht="15.75" thickBot="1">
      <c r="A106" s="55" t="s">
        <v>64</v>
      </c>
      <c r="B106" s="56"/>
      <c r="C106" s="57"/>
      <c r="D106" s="58">
        <f>SUM(D93:D105)</f>
        <v>1852.5</v>
      </c>
      <c r="E106" s="58"/>
      <c r="F106" s="58">
        <f>SUM(F93:F105)</f>
        <v>0</v>
      </c>
      <c r="G106" s="59">
        <f>SUM(G93:G105)</f>
        <v>1562.5754</v>
      </c>
      <c r="H106" s="60"/>
      <c r="I106" s="61"/>
      <c r="J106" s="62">
        <f>SUM(J93:J105)</f>
        <v>37.15246841428815</v>
      </c>
      <c r="K106" s="60"/>
      <c r="L106" s="61"/>
      <c r="M106" s="62">
        <f>SUM(M93:M105)</f>
        <v>158.69743745978013</v>
      </c>
      <c r="N106" s="63"/>
      <c r="O106" s="62">
        <f>SUM(O93:O105)</f>
        <v>502.6924589653457</v>
      </c>
      <c r="P106" s="63"/>
      <c r="Q106" s="62">
        <f>SUM(Q93:Q105)</f>
        <v>0</v>
      </c>
      <c r="R106" s="62">
        <f>SUM(R93:R105)</f>
        <v>698.5423648394138</v>
      </c>
    </row>
    <row r="107" spans="1:18" ht="15">
      <c r="A107" s="16"/>
      <c r="B107" s="3"/>
      <c r="C107" s="3"/>
      <c r="D107" s="64"/>
      <c r="E107" s="64"/>
      <c r="F107" s="64"/>
      <c r="G107" s="65"/>
      <c r="H107" s="14"/>
      <c r="I107" s="6"/>
      <c r="J107" s="13"/>
      <c r="K107" s="14"/>
      <c r="L107" s="6"/>
      <c r="M107" s="13"/>
      <c r="N107" s="19"/>
      <c r="O107" s="13"/>
      <c r="P107" s="19"/>
      <c r="Q107" s="13"/>
      <c r="R107" s="13"/>
    </row>
    <row r="108" spans="1:18" s="18" customFormat="1" ht="15.75" thickBot="1">
      <c r="A108" s="114" t="s">
        <v>26</v>
      </c>
      <c r="B108" s="115"/>
      <c r="C108" s="115"/>
      <c r="D108" s="116"/>
      <c r="E108" s="116"/>
      <c r="F108" s="116">
        <f>F16+F31+F46+F61+F76+F91+F106</f>
        <v>16482112</v>
      </c>
      <c r="G108" s="116">
        <f>G16+G31+G46+G61+G76+G91+G106</f>
        <v>42104.1754</v>
      </c>
      <c r="H108" s="114"/>
      <c r="I108" s="115"/>
      <c r="J108" s="117">
        <f>J16+J31+J46+J61+J76+J91+J106</f>
        <v>1795.2372100732562</v>
      </c>
      <c r="K108" s="114"/>
      <c r="L108" s="115"/>
      <c r="M108" s="117">
        <f>M16+M31+M46+M61+M76+M91+M106</f>
        <v>7668.388051478799</v>
      </c>
      <c r="N108" s="114"/>
      <c r="O108" s="117">
        <f>O16+O31+O46+O61+O76+O91+O106</f>
        <v>21417.936961700543</v>
      </c>
      <c r="P108" s="114"/>
      <c r="Q108" s="117">
        <f>Q16+Q31+Q46+Q61+Q76+Q91+Q106</f>
        <v>0</v>
      </c>
      <c r="R108" s="117">
        <f>R16+R31+R46+R61+R76+R91+R106</f>
        <v>30881.562223252597</v>
      </c>
    </row>
    <row r="109" spans="1:18" ht="15">
      <c r="A109" s="3"/>
      <c r="B109" s="3"/>
      <c r="C109" s="3"/>
      <c r="D109" s="9"/>
      <c r="E109" s="9"/>
      <c r="F109" s="9"/>
      <c r="G109" s="9"/>
      <c r="H109" s="3"/>
      <c r="I109" s="3"/>
      <c r="J109" s="4"/>
      <c r="K109" s="3"/>
      <c r="L109" s="3"/>
      <c r="M109" s="4"/>
      <c r="N109" s="4"/>
      <c r="O109" s="4"/>
      <c r="P109" s="4"/>
      <c r="Q109" s="4"/>
      <c r="R109" s="4"/>
    </row>
    <row r="111" ht="15">
      <c r="F111" s="10"/>
    </row>
    <row r="114" spans="1:3" ht="15">
      <c r="A114" s="7"/>
      <c r="B114" s="7"/>
      <c r="C114" s="7"/>
    </row>
    <row r="115" spans="10:11" ht="15">
      <c r="J115" s="8"/>
      <c r="K115" s="2"/>
    </row>
    <row r="116" spans="10:11" ht="15">
      <c r="J116" s="8"/>
      <c r="K116" s="2"/>
    </row>
  </sheetData>
  <sheetProtection/>
  <printOptions/>
  <pageMargins left="0.45" right="0.45" top="0.75" bottom="0.75" header="0.3" footer="0.3"/>
  <pageSetup fitToHeight="2" fitToWidth="1" horizontalDpi="600" verticalDpi="600" orientation="landscape" scale="55" r:id="rId1"/>
  <headerFooter alignWithMargins="0">
    <oddHeader>&amp;C&amp;A&amp;RWoodstock Hydro
EB-2011-0207
September 2011</oddHeader>
    <oddFooter>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4"/>
  <sheetViews>
    <sheetView showGridLines="0" zoomScalePageLayoutView="0" workbookViewId="0" topLeftCell="A54">
      <selection activeCell="P96" sqref="P96:P104"/>
    </sheetView>
  </sheetViews>
  <sheetFormatPr defaultColWidth="9.140625" defaultRowHeight="15"/>
  <cols>
    <col min="1" max="1" width="22.8515625" style="0" bestFit="1" customWidth="1"/>
    <col min="2" max="2" width="5.00390625" style="0" bestFit="1" customWidth="1"/>
    <col min="3" max="3" width="8.57421875" style="0" bestFit="1" customWidth="1"/>
    <col min="4" max="4" width="10.421875" style="0" hidden="1" customWidth="1"/>
    <col min="5" max="5" width="7.57421875" style="0" hidden="1" customWidth="1"/>
    <col min="6" max="6" width="12.57421875" style="0" bestFit="1" customWidth="1"/>
    <col min="7" max="7" width="9.00390625" style="0" bestFit="1" customWidth="1"/>
    <col min="8" max="8" width="12.140625" style="0" hidden="1" customWidth="1"/>
    <col min="9" max="9" width="12.7109375" style="0" hidden="1" customWidth="1"/>
    <col min="10" max="10" width="13.140625" style="0" hidden="1" customWidth="1"/>
    <col min="11" max="11" width="13.421875" style="0" hidden="1" customWidth="1"/>
    <col min="12" max="12" width="11.421875" style="0" hidden="1" customWidth="1"/>
    <col min="13" max="13" width="14.28125" style="0" hidden="1" customWidth="1"/>
    <col min="14" max="14" width="11.00390625" style="0" bestFit="1" customWidth="1"/>
    <col min="15" max="15" width="12.57421875" style="0" bestFit="1" customWidth="1"/>
    <col min="16" max="16" width="9.00390625" style="0" bestFit="1" customWidth="1"/>
    <col min="17" max="18" width="12.57421875" style="0" bestFit="1" customWidth="1"/>
  </cols>
  <sheetData>
    <row r="1" s="1" customFormat="1" ht="15.75" thickBot="1"/>
    <row r="2" spans="1:18" s="23" customFormat="1" ht="75">
      <c r="A2" s="33" t="s">
        <v>24</v>
      </c>
      <c r="B2" s="52"/>
      <c r="C2" s="34" t="s">
        <v>23</v>
      </c>
      <c r="D2" s="34" t="s">
        <v>57</v>
      </c>
      <c r="E2" s="34" t="s">
        <v>27</v>
      </c>
      <c r="F2" s="34" t="s">
        <v>80</v>
      </c>
      <c r="G2" s="35" t="s">
        <v>81</v>
      </c>
      <c r="H2" s="15" t="s">
        <v>12</v>
      </c>
      <c r="I2" s="17" t="s">
        <v>19</v>
      </c>
      <c r="J2" s="22" t="s">
        <v>13</v>
      </c>
      <c r="K2" s="15" t="s">
        <v>14</v>
      </c>
      <c r="L2" s="17" t="s">
        <v>16</v>
      </c>
      <c r="M2" s="22" t="s">
        <v>15</v>
      </c>
      <c r="N2" s="15" t="s">
        <v>17</v>
      </c>
      <c r="O2" s="22" t="s">
        <v>18</v>
      </c>
      <c r="P2" s="15" t="s">
        <v>20</v>
      </c>
      <c r="Q2" s="22" t="s">
        <v>21</v>
      </c>
      <c r="R2" s="22" t="s">
        <v>6</v>
      </c>
    </row>
    <row r="3" spans="1:18" ht="15">
      <c r="A3" s="26" t="s">
        <v>0</v>
      </c>
      <c r="B3" s="53">
        <v>2005</v>
      </c>
      <c r="C3" s="36" t="s">
        <v>39</v>
      </c>
      <c r="D3" s="37"/>
      <c r="E3" s="37">
        <v>1</v>
      </c>
      <c r="F3" s="37">
        <f>'Monthly Volumes'!F4</f>
        <v>927754.25</v>
      </c>
      <c r="G3" s="38"/>
      <c r="H3" s="12">
        <v>0</v>
      </c>
      <c r="I3" s="6">
        <v>0</v>
      </c>
      <c r="J3" s="13">
        <f aca="true" t="shared" si="0" ref="J3:J14">D3*E3*H3+(F3+G3)*I3</f>
        <v>0</v>
      </c>
      <c r="K3" s="12">
        <v>0</v>
      </c>
      <c r="L3" s="6">
        <v>0</v>
      </c>
      <c r="M3" s="13">
        <f aca="true" t="shared" si="1" ref="M3:M14">D3*E3*K3+(F3+G3)*L3</f>
        <v>0</v>
      </c>
      <c r="N3" s="19">
        <f>'2004 PILS Recoveries'!N14</f>
        <v>0.0019016505151131212</v>
      </c>
      <c r="O3" s="13">
        <f aca="true" t="shared" si="2" ref="O3:O14">(F3+G3)*N3</f>
        <v>1764.2643474108875</v>
      </c>
      <c r="P3" s="19">
        <v>0</v>
      </c>
      <c r="Q3" s="13">
        <f aca="true" t="shared" si="3" ref="Q3:Q14">(F3+G3)*P3</f>
        <v>0</v>
      </c>
      <c r="R3" s="13">
        <f>J3+M3+O3+Q3</f>
        <v>1764.2643474108875</v>
      </c>
    </row>
    <row r="4" spans="1:18" ht="15">
      <c r="A4" s="26" t="s">
        <v>0</v>
      </c>
      <c r="B4" s="53">
        <v>2005</v>
      </c>
      <c r="C4" s="36" t="s">
        <v>40</v>
      </c>
      <c r="D4" s="37"/>
      <c r="E4" s="37">
        <v>1</v>
      </c>
      <c r="F4" s="37">
        <f>'Monthly Volumes'!F5</f>
        <v>927754.25</v>
      </c>
      <c r="G4" s="38"/>
      <c r="H4" s="12">
        <v>0</v>
      </c>
      <c r="I4" s="6">
        <v>0</v>
      </c>
      <c r="J4" s="13">
        <f t="shared" si="0"/>
        <v>0</v>
      </c>
      <c r="K4" s="12">
        <v>0</v>
      </c>
      <c r="L4" s="6">
        <v>0</v>
      </c>
      <c r="M4" s="13">
        <f t="shared" si="1"/>
        <v>0</v>
      </c>
      <c r="N4" s="19">
        <f>N3</f>
        <v>0.0019016505151131212</v>
      </c>
      <c r="O4" s="13">
        <f t="shared" si="2"/>
        <v>1764.2643474108875</v>
      </c>
      <c r="P4" s="19">
        <v>0</v>
      </c>
      <c r="Q4" s="13">
        <f t="shared" si="3"/>
        <v>0</v>
      </c>
      <c r="R4" s="13">
        <f aca="true" t="shared" si="4" ref="R4:R14">J4+M4+O4+Q4</f>
        <v>1764.2643474108875</v>
      </c>
    </row>
    <row r="5" spans="1:18" ht="15">
      <c r="A5" s="26" t="s">
        <v>0</v>
      </c>
      <c r="B5" s="53">
        <v>2005</v>
      </c>
      <c r="C5" s="36" t="s">
        <v>41</v>
      </c>
      <c r="D5" s="37"/>
      <c r="E5" s="37">
        <v>1</v>
      </c>
      <c r="F5" s="37">
        <f>'Monthly Volumes'!F6</f>
        <v>927754.25</v>
      </c>
      <c r="G5" s="38"/>
      <c r="H5" s="12">
        <v>0</v>
      </c>
      <c r="I5" s="6">
        <v>0</v>
      </c>
      <c r="J5" s="13">
        <f t="shared" si="0"/>
        <v>0</v>
      </c>
      <c r="K5" s="12">
        <v>0</v>
      </c>
      <c r="L5" s="6">
        <v>0</v>
      </c>
      <c r="M5" s="13">
        <f t="shared" si="1"/>
        <v>0</v>
      </c>
      <c r="N5" s="19">
        <f>N4</f>
        <v>0.0019016505151131212</v>
      </c>
      <c r="O5" s="13">
        <f t="shared" si="2"/>
        <v>1764.2643474108875</v>
      </c>
      <c r="P5" s="19">
        <v>0</v>
      </c>
      <c r="Q5" s="13">
        <f t="shared" si="3"/>
        <v>0</v>
      </c>
      <c r="R5" s="13">
        <f t="shared" si="4"/>
        <v>1764.2643474108875</v>
      </c>
    </row>
    <row r="6" spans="1:18" ht="15">
      <c r="A6" s="26" t="s">
        <v>0</v>
      </c>
      <c r="B6" s="53">
        <v>2005</v>
      </c>
      <c r="C6" s="36" t="s">
        <v>42</v>
      </c>
      <c r="D6" s="37"/>
      <c r="E6" s="37">
        <v>1</v>
      </c>
      <c r="F6" s="37">
        <f>'Monthly Volumes'!F7</f>
        <v>927754.25</v>
      </c>
      <c r="G6" s="38"/>
      <c r="H6" s="12">
        <v>0</v>
      </c>
      <c r="I6" s="6">
        <v>0</v>
      </c>
      <c r="J6" s="13">
        <f t="shared" si="0"/>
        <v>0</v>
      </c>
      <c r="K6" s="12">
        <v>0</v>
      </c>
      <c r="L6" s="6">
        <v>0</v>
      </c>
      <c r="M6" s="13">
        <f t="shared" si="1"/>
        <v>0</v>
      </c>
      <c r="N6" s="19"/>
      <c r="O6" s="13">
        <f t="shared" si="2"/>
        <v>0</v>
      </c>
      <c r="P6" s="3">
        <f>'[5]4. 2003 Data &amp; 2005 PILs'!$B$50</f>
        <v>0.002329481360755558</v>
      </c>
      <c r="Q6" s="13">
        <f t="shared" si="3"/>
        <v>2161.186232736752</v>
      </c>
      <c r="R6" s="13">
        <f t="shared" si="4"/>
        <v>2161.186232736752</v>
      </c>
    </row>
    <row r="7" spans="1:18" ht="15">
      <c r="A7" s="26" t="s">
        <v>0</v>
      </c>
      <c r="B7" s="53">
        <v>2005</v>
      </c>
      <c r="C7" s="36" t="s">
        <v>35</v>
      </c>
      <c r="D7" s="37"/>
      <c r="E7" s="37">
        <v>1</v>
      </c>
      <c r="F7" s="37">
        <f>'Monthly Volumes'!F8</f>
        <v>927754.25</v>
      </c>
      <c r="G7" s="38"/>
      <c r="H7" s="12">
        <v>0</v>
      </c>
      <c r="I7" s="6">
        <v>0</v>
      </c>
      <c r="J7" s="13">
        <f t="shared" si="0"/>
        <v>0</v>
      </c>
      <c r="K7" s="12">
        <v>0</v>
      </c>
      <c r="L7" s="6">
        <v>0</v>
      </c>
      <c r="M7" s="13">
        <f t="shared" si="1"/>
        <v>0</v>
      </c>
      <c r="N7" s="19"/>
      <c r="O7" s="13">
        <f t="shared" si="2"/>
        <v>0</v>
      </c>
      <c r="P7" s="3">
        <f>'[5]4. 2003 Data &amp; 2005 PILs'!$B$50</f>
        <v>0.002329481360755558</v>
      </c>
      <c r="Q7" s="13">
        <f t="shared" si="3"/>
        <v>2161.186232736752</v>
      </c>
      <c r="R7" s="13">
        <f t="shared" si="4"/>
        <v>2161.186232736752</v>
      </c>
    </row>
    <row r="8" spans="1:18" ht="15">
      <c r="A8" s="26" t="s">
        <v>0</v>
      </c>
      <c r="B8" s="53">
        <v>2005</v>
      </c>
      <c r="C8" s="36" t="s">
        <v>43</v>
      </c>
      <c r="D8" s="37"/>
      <c r="E8" s="37">
        <v>1</v>
      </c>
      <c r="F8" s="37">
        <f>'Monthly Volumes'!F9</f>
        <v>927754.25</v>
      </c>
      <c r="G8" s="38"/>
      <c r="H8" s="12">
        <v>0</v>
      </c>
      <c r="I8" s="6">
        <v>0</v>
      </c>
      <c r="J8" s="13">
        <f t="shared" si="0"/>
        <v>0</v>
      </c>
      <c r="K8" s="12">
        <v>0</v>
      </c>
      <c r="L8" s="6">
        <v>0</v>
      </c>
      <c r="M8" s="13">
        <f t="shared" si="1"/>
        <v>0</v>
      </c>
      <c r="N8" s="19"/>
      <c r="O8" s="13">
        <f t="shared" si="2"/>
        <v>0</v>
      </c>
      <c r="P8" s="3">
        <f>'[5]4. 2003 Data &amp; 2005 PILs'!$B$50</f>
        <v>0.002329481360755558</v>
      </c>
      <c r="Q8" s="13">
        <f t="shared" si="3"/>
        <v>2161.186232736752</v>
      </c>
      <c r="R8" s="13">
        <f t="shared" si="4"/>
        <v>2161.186232736752</v>
      </c>
    </row>
    <row r="9" spans="1:18" ht="15">
      <c r="A9" s="26" t="s">
        <v>0</v>
      </c>
      <c r="B9" s="53">
        <v>2005</v>
      </c>
      <c r="C9" s="36" t="s">
        <v>44</v>
      </c>
      <c r="D9" s="37"/>
      <c r="E9" s="37">
        <v>1</v>
      </c>
      <c r="F9" s="37">
        <f>'Monthly Volumes'!F10</f>
        <v>927754.25</v>
      </c>
      <c r="G9" s="38"/>
      <c r="H9" s="12">
        <v>0</v>
      </c>
      <c r="I9" s="6">
        <v>0</v>
      </c>
      <c r="J9" s="13">
        <f t="shared" si="0"/>
        <v>0</v>
      </c>
      <c r="K9" s="12">
        <v>0</v>
      </c>
      <c r="L9" s="6">
        <v>0</v>
      </c>
      <c r="M9" s="13">
        <f t="shared" si="1"/>
        <v>0</v>
      </c>
      <c r="N9" s="19"/>
      <c r="O9" s="13">
        <f t="shared" si="2"/>
        <v>0</v>
      </c>
      <c r="P9" s="3">
        <f>'[5]4. 2003 Data &amp; 2005 PILs'!$B$50</f>
        <v>0.002329481360755558</v>
      </c>
      <c r="Q9" s="13">
        <f t="shared" si="3"/>
        <v>2161.186232736752</v>
      </c>
      <c r="R9" s="13">
        <f t="shared" si="4"/>
        <v>2161.186232736752</v>
      </c>
    </row>
    <row r="10" spans="1:18" ht="15">
      <c r="A10" s="26" t="s">
        <v>0</v>
      </c>
      <c r="B10" s="53">
        <v>2005</v>
      </c>
      <c r="C10" s="36" t="s">
        <v>45</v>
      </c>
      <c r="D10" s="37"/>
      <c r="E10" s="37">
        <v>1</v>
      </c>
      <c r="F10" s="37">
        <f>'Monthly Volumes'!F11</f>
        <v>927754.25</v>
      </c>
      <c r="G10" s="38"/>
      <c r="H10" s="12">
        <v>0</v>
      </c>
      <c r="I10" s="6">
        <v>0</v>
      </c>
      <c r="J10" s="13">
        <f t="shared" si="0"/>
        <v>0</v>
      </c>
      <c r="K10" s="12">
        <v>0</v>
      </c>
      <c r="L10" s="6">
        <v>0</v>
      </c>
      <c r="M10" s="13">
        <f t="shared" si="1"/>
        <v>0</v>
      </c>
      <c r="N10" s="19"/>
      <c r="O10" s="13">
        <f t="shared" si="2"/>
        <v>0</v>
      </c>
      <c r="P10" s="3">
        <f>'[5]4. 2003 Data &amp; 2005 PILs'!$B$50</f>
        <v>0.002329481360755558</v>
      </c>
      <c r="Q10" s="13">
        <f t="shared" si="3"/>
        <v>2161.186232736752</v>
      </c>
      <c r="R10" s="13">
        <f t="shared" si="4"/>
        <v>2161.186232736752</v>
      </c>
    </row>
    <row r="11" spans="1:18" ht="15">
      <c r="A11" s="26" t="s">
        <v>0</v>
      </c>
      <c r="B11" s="53">
        <v>2005</v>
      </c>
      <c r="C11" s="36" t="s">
        <v>46</v>
      </c>
      <c r="D11" s="37"/>
      <c r="E11" s="37">
        <v>1</v>
      </c>
      <c r="F11" s="37">
        <f>'Monthly Volumes'!F12</f>
        <v>927754.25</v>
      </c>
      <c r="G11" s="38"/>
      <c r="H11" s="12">
        <v>0</v>
      </c>
      <c r="I11" s="6">
        <v>0</v>
      </c>
      <c r="J11" s="13">
        <f t="shared" si="0"/>
        <v>0</v>
      </c>
      <c r="K11" s="12">
        <v>0</v>
      </c>
      <c r="L11" s="6">
        <v>0</v>
      </c>
      <c r="M11" s="13">
        <f t="shared" si="1"/>
        <v>0</v>
      </c>
      <c r="N11" s="19"/>
      <c r="O11" s="13">
        <f t="shared" si="2"/>
        <v>0</v>
      </c>
      <c r="P11" s="3">
        <f>'[5]4. 2003 Data &amp; 2005 PILs'!$B$50</f>
        <v>0.002329481360755558</v>
      </c>
      <c r="Q11" s="13">
        <f t="shared" si="3"/>
        <v>2161.186232736752</v>
      </c>
      <c r="R11" s="13">
        <f t="shared" si="4"/>
        <v>2161.186232736752</v>
      </c>
    </row>
    <row r="12" spans="1:18" ht="15">
      <c r="A12" s="26" t="s">
        <v>0</v>
      </c>
      <c r="B12" s="53">
        <v>2005</v>
      </c>
      <c r="C12" s="36" t="s">
        <v>47</v>
      </c>
      <c r="D12" s="37"/>
      <c r="E12" s="37">
        <v>1</v>
      </c>
      <c r="F12" s="37">
        <f>'Monthly Volumes'!F13</f>
        <v>927754.25</v>
      </c>
      <c r="G12" s="38"/>
      <c r="H12" s="12">
        <v>0</v>
      </c>
      <c r="I12" s="6">
        <v>0</v>
      </c>
      <c r="J12" s="13">
        <f t="shared" si="0"/>
        <v>0</v>
      </c>
      <c r="K12" s="12">
        <v>0</v>
      </c>
      <c r="L12" s="6">
        <v>0</v>
      </c>
      <c r="M12" s="13">
        <f t="shared" si="1"/>
        <v>0</v>
      </c>
      <c r="N12" s="19"/>
      <c r="O12" s="13">
        <f t="shared" si="2"/>
        <v>0</v>
      </c>
      <c r="P12" s="3">
        <f>'[5]4. 2003 Data &amp; 2005 PILs'!$B$50</f>
        <v>0.002329481360755558</v>
      </c>
      <c r="Q12" s="13">
        <f t="shared" si="3"/>
        <v>2161.186232736752</v>
      </c>
      <c r="R12" s="13">
        <f t="shared" si="4"/>
        <v>2161.186232736752</v>
      </c>
    </row>
    <row r="13" spans="1:18" ht="15">
      <c r="A13" s="26" t="s">
        <v>0</v>
      </c>
      <c r="B13" s="53">
        <v>2005</v>
      </c>
      <c r="C13" s="36" t="s">
        <v>48</v>
      </c>
      <c r="D13" s="37"/>
      <c r="E13" s="37">
        <v>1</v>
      </c>
      <c r="F13" s="37">
        <f>'Monthly Volumes'!F14</f>
        <v>927754.25</v>
      </c>
      <c r="G13" s="38"/>
      <c r="H13" s="12">
        <v>0</v>
      </c>
      <c r="I13" s="6">
        <v>0</v>
      </c>
      <c r="J13" s="13">
        <f t="shared" si="0"/>
        <v>0</v>
      </c>
      <c r="K13" s="12">
        <v>0</v>
      </c>
      <c r="L13" s="6">
        <v>0</v>
      </c>
      <c r="M13" s="13">
        <f t="shared" si="1"/>
        <v>0</v>
      </c>
      <c r="N13" s="19"/>
      <c r="O13" s="13">
        <f t="shared" si="2"/>
        <v>0</v>
      </c>
      <c r="P13" s="3">
        <f>'[5]4. 2003 Data &amp; 2005 PILs'!$B$50</f>
        <v>0.002329481360755558</v>
      </c>
      <c r="Q13" s="13">
        <f t="shared" si="3"/>
        <v>2161.186232736752</v>
      </c>
      <c r="R13" s="13">
        <f t="shared" si="4"/>
        <v>2161.186232736752</v>
      </c>
    </row>
    <row r="14" spans="1:18" ht="15">
      <c r="A14" s="26" t="s">
        <v>0</v>
      </c>
      <c r="B14" s="53">
        <v>2005</v>
      </c>
      <c r="C14" s="36" t="s">
        <v>49</v>
      </c>
      <c r="D14" s="37"/>
      <c r="E14" s="37">
        <v>1</v>
      </c>
      <c r="F14" s="37">
        <f>'Monthly Volumes'!F15</f>
        <v>927754.25</v>
      </c>
      <c r="G14" s="38"/>
      <c r="H14" s="12">
        <v>0</v>
      </c>
      <c r="I14" s="6">
        <v>0</v>
      </c>
      <c r="J14" s="13">
        <f t="shared" si="0"/>
        <v>0</v>
      </c>
      <c r="K14" s="12">
        <v>0</v>
      </c>
      <c r="L14" s="6">
        <v>0</v>
      </c>
      <c r="M14" s="13">
        <f t="shared" si="1"/>
        <v>0</v>
      </c>
      <c r="N14" s="19"/>
      <c r="O14" s="13">
        <f t="shared" si="2"/>
        <v>0</v>
      </c>
      <c r="P14" s="3">
        <f>'[5]4. 2003 Data &amp; 2005 PILs'!$B$50</f>
        <v>0.002329481360755558</v>
      </c>
      <c r="Q14" s="13">
        <f t="shared" si="3"/>
        <v>2161.186232736752</v>
      </c>
      <c r="R14" s="13">
        <f t="shared" si="4"/>
        <v>2161.186232736752</v>
      </c>
    </row>
    <row r="15" spans="1:18" ht="15.75" thickBot="1">
      <c r="A15" s="26"/>
      <c r="B15" s="53"/>
      <c r="C15" s="36"/>
      <c r="D15" s="37"/>
      <c r="E15" s="37"/>
      <c r="F15" s="37"/>
      <c r="G15" s="38"/>
      <c r="H15" s="12"/>
      <c r="I15" s="6"/>
      <c r="J15" s="13"/>
      <c r="K15" s="12"/>
      <c r="L15" s="6"/>
      <c r="M15" s="13"/>
      <c r="N15" s="19"/>
      <c r="O15" s="13"/>
      <c r="P15" s="3"/>
      <c r="Q15" s="13"/>
      <c r="R15" s="13"/>
    </row>
    <row r="16" spans="1:18" ht="15.75" thickBot="1">
      <c r="A16" s="55" t="s">
        <v>58</v>
      </c>
      <c r="B16" s="56"/>
      <c r="C16" s="57"/>
      <c r="D16" s="58">
        <f>SUM(D3:D15)</f>
        <v>0</v>
      </c>
      <c r="E16" s="58"/>
      <c r="F16" s="58">
        <f>SUM(F3:F15)</f>
        <v>11133051</v>
      </c>
      <c r="G16" s="59">
        <f>SUM(G3:G15)</f>
        <v>0</v>
      </c>
      <c r="H16" s="60"/>
      <c r="I16" s="61"/>
      <c r="J16" s="62">
        <f>SUM(J3:J15)</f>
        <v>0</v>
      </c>
      <c r="K16" s="60"/>
      <c r="L16" s="61"/>
      <c r="M16" s="62">
        <f>SUM(M3:M15)</f>
        <v>0</v>
      </c>
      <c r="N16" s="63"/>
      <c r="O16" s="62">
        <f>SUM(O3:O15)</f>
        <v>5292.793042232663</v>
      </c>
      <c r="P16" s="63"/>
      <c r="Q16" s="62">
        <f>SUM(Q3:Q15)</f>
        <v>19450.67609463077</v>
      </c>
      <c r="R16" s="62">
        <f>SUM(R3:R15)</f>
        <v>24743.469136863434</v>
      </c>
    </row>
    <row r="17" spans="1:18" ht="15">
      <c r="A17" s="26"/>
      <c r="B17" s="53"/>
      <c r="C17" s="36"/>
      <c r="D17" s="37"/>
      <c r="E17" s="37"/>
      <c r="F17" s="37"/>
      <c r="G17" s="38"/>
      <c r="H17" s="12"/>
      <c r="I17" s="6"/>
      <c r="J17" s="13"/>
      <c r="K17" s="12"/>
      <c r="L17" s="6"/>
      <c r="M17" s="13"/>
      <c r="N17" s="19"/>
      <c r="O17" s="13"/>
      <c r="P17" s="19"/>
      <c r="Q17" s="13"/>
      <c r="R17" s="13"/>
    </row>
    <row r="18" spans="1:18" ht="15">
      <c r="A18" s="26" t="s">
        <v>1</v>
      </c>
      <c r="B18" s="53">
        <v>2005</v>
      </c>
      <c r="C18" s="36" t="s">
        <v>39</v>
      </c>
      <c r="D18" s="37"/>
      <c r="E18" s="37">
        <v>1</v>
      </c>
      <c r="F18" s="37">
        <f>'Monthly Volumes'!F22</f>
        <v>472990.5833333333</v>
      </c>
      <c r="G18" s="38"/>
      <c r="H18" s="12">
        <v>0</v>
      </c>
      <c r="I18" s="6">
        <v>0</v>
      </c>
      <c r="J18" s="13">
        <f>D18*E18*H18+(F18+G18)*I18</f>
        <v>0</v>
      </c>
      <c r="K18" s="12">
        <v>0</v>
      </c>
      <c r="L18" s="6">
        <v>0</v>
      </c>
      <c r="M18" s="13">
        <f>D18*E18*K18+(F18+G18)*L18</f>
        <v>0</v>
      </c>
      <c r="N18" s="19">
        <f>'2004 PILS Recoveries'!N27</f>
        <v>0.0009815883589429954</v>
      </c>
      <c r="O18" s="13">
        <f>(F18+G18)*N18</f>
        <v>464.28205048965674</v>
      </c>
      <c r="P18" s="19">
        <v>0</v>
      </c>
      <c r="Q18" s="13">
        <f>(F18+G18)*P18</f>
        <v>0</v>
      </c>
      <c r="R18" s="13">
        <f>J18+M18+O18+Q18</f>
        <v>464.28205048965674</v>
      </c>
    </row>
    <row r="19" spans="1:18" ht="15">
      <c r="A19" s="26" t="s">
        <v>1</v>
      </c>
      <c r="B19" s="53">
        <v>2005</v>
      </c>
      <c r="C19" s="36" t="s">
        <v>40</v>
      </c>
      <c r="D19" s="37"/>
      <c r="E19" s="37">
        <v>1</v>
      </c>
      <c r="F19" s="37">
        <f>'Monthly Volumes'!F23</f>
        <v>472990.5833333333</v>
      </c>
      <c r="G19" s="38"/>
      <c r="H19" s="12">
        <v>0</v>
      </c>
      <c r="I19" s="6">
        <v>0</v>
      </c>
      <c r="J19" s="13">
        <f>D19*E19*H19+(F19+G19)*I19</f>
        <v>0</v>
      </c>
      <c r="K19" s="12">
        <v>0</v>
      </c>
      <c r="L19" s="6">
        <v>0</v>
      </c>
      <c r="M19" s="13">
        <f>D19*E19*K19+(F19+G19)*L19</f>
        <v>0</v>
      </c>
      <c r="N19" s="19">
        <f>'2004 PILS Recoveries'!N28</f>
        <v>0.0009815883589429954</v>
      </c>
      <c r="O19" s="13">
        <f>(F19+G19)*N19</f>
        <v>464.28205048965674</v>
      </c>
      <c r="P19" s="19">
        <v>0</v>
      </c>
      <c r="Q19" s="13">
        <f>(F19+G19)*P19</f>
        <v>0</v>
      </c>
      <c r="R19" s="13">
        <f>J19+M19+O19+Q19</f>
        <v>464.28205048965674</v>
      </c>
    </row>
    <row r="20" spans="1:18" ht="15">
      <c r="A20" s="26" t="s">
        <v>1</v>
      </c>
      <c r="B20" s="53">
        <v>2005</v>
      </c>
      <c r="C20" s="36" t="s">
        <v>41</v>
      </c>
      <c r="D20" s="37"/>
      <c r="E20" s="37">
        <v>1</v>
      </c>
      <c r="F20" s="37">
        <f>'Monthly Volumes'!F24</f>
        <v>472990.5833333333</v>
      </c>
      <c r="G20" s="38"/>
      <c r="H20" s="12">
        <v>0</v>
      </c>
      <c r="I20" s="6">
        <v>0</v>
      </c>
      <c r="J20" s="13">
        <f>D20*E20*H20+(F20+G20)*I20</f>
        <v>0</v>
      </c>
      <c r="K20" s="12">
        <v>0</v>
      </c>
      <c r="L20" s="6">
        <v>0</v>
      </c>
      <c r="M20" s="13">
        <f>D20*E20*K20+(F20+G20)*L20</f>
        <v>0</v>
      </c>
      <c r="N20" s="19">
        <f>'2004 PILS Recoveries'!N29</f>
        <v>0.0009815883589429954</v>
      </c>
      <c r="O20" s="13">
        <f>(F20+G20)*N20</f>
        <v>464.28205048965674</v>
      </c>
      <c r="P20" s="19">
        <v>0</v>
      </c>
      <c r="Q20" s="13">
        <f>(F20+G20)*P20</f>
        <v>0</v>
      </c>
      <c r="R20" s="13">
        <f>J20+M20+O20+Q20</f>
        <v>464.28205048965674</v>
      </c>
    </row>
    <row r="21" spans="1:18" ht="15">
      <c r="A21" s="26" t="s">
        <v>1</v>
      </c>
      <c r="B21" s="53">
        <v>2005</v>
      </c>
      <c r="C21" s="36" t="s">
        <v>42</v>
      </c>
      <c r="D21" s="37"/>
      <c r="E21" s="37">
        <v>1</v>
      </c>
      <c r="F21" s="37">
        <f>'Monthly Volumes'!F25</f>
        <v>472990.5833333333</v>
      </c>
      <c r="G21" s="38"/>
      <c r="H21" s="12">
        <v>0</v>
      </c>
      <c r="I21" s="6">
        <v>0</v>
      </c>
      <c r="J21" s="13">
        <f>D21*E21*H21+(F21+G21)*I21</f>
        <v>0</v>
      </c>
      <c r="K21" s="12">
        <v>0</v>
      </c>
      <c r="L21" s="6">
        <v>0</v>
      </c>
      <c r="M21" s="13">
        <f>D21*E21*K21+(F21+G21)*L21</f>
        <v>0</v>
      </c>
      <c r="N21" s="19"/>
      <c r="O21" s="13">
        <f>(F21+G21)*N21</f>
        <v>0</v>
      </c>
      <c r="P21" s="3">
        <f>'[5]4. 2003 Data &amp; 2005 PILs'!$B$67</f>
        <v>0.001457538659447489</v>
      </c>
      <c r="Q21" s="13">
        <f>(F21+G21)*P21</f>
        <v>689.4020607629525</v>
      </c>
      <c r="R21" s="13">
        <f>J21+M21+O21+Q21</f>
        <v>689.4020607629525</v>
      </c>
    </row>
    <row r="22" spans="1:18" ht="15">
      <c r="A22" s="26" t="s">
        <v>1</v>
      </c>
      <c r="B22" s="53">
        <v>2005</v>
      </c>
      <c r="C22" s="36" t="s">
        <v>35</v>
      </c>
      <c r="D22" s="37"/>
      <c r="E22" s="37">
        <v>1</v>
      </c>
      <c r="F22" s="37">
        <f>'Monthly Volumes'!F26</f>
        <v>472990.5833333333</v>
      </c>
      <c r="G22" s="38"/>
      <c r="H22" s="12">
        <v>0</v>
      </c>
      <c r="I22" s="6">
        <v>0</v>
      </c>
      <c r="J22" s="13">
        <f aca="true" t="shared" si="5" ref="J22:J29">D22*E22*H22+(F22+G22)*I22</f>
        <v>0</v>
      </c>
      <c r="K22" s="12">
        <v>0</v>
      </c>
      <c r="L22" s="6">
        <v>0</v>
      </c>
      <c r="M22" s="13">
        <f aca="true" t="shared" si="6" ref="M22:M29">D22*E22*K22+(F22+G22)*L22</f>
        <v>0</v>
      </c>
      <c r="N22" s="19"/>
      <c r="O22" s="13">
        <f aca="true" t="shared" si="7" ref="O22:O29">(F22+G22)*N22</f>
        <v>0</v>
      </c>
      <c r="P22" s="3">
        <f>'[5]4. 2003 Data &amp; 2005 PILs'!$B$67</f>
        <v>0.001457538659447489</v>
      </c>
      <c r="Q22" s="13">
        <f aca="true" t="shared" si="8" ref="Q22:Q29">(F22+G22)*P22</f>
        <v>689.4020607629525</v>
      </c>
      <c r="R22" s="13">
        <f aca="true" t="shared" si="9" ref="R22:R29">J22+M22+O22+Q22</f>
        <v>689.4020607629525</v>
      </c>
    </row>
    <row r="23" spans="1:18" ht="15">
      <c r="A23" s="26" t="s">
        <v>1</v>
      </c>
      <c r="B23" s="53">
        <v>2005</v>
      </c>
      <c r="C23" s="36" t="s">
        <v>43</v>
      </c>
      <c r="D23" s="37"/>
      <c r="E23" s="37">
        <v>1</v>
      </c>
      <c r="F23" s="37">
        <f>'Monthly Volumes'!F27</f>
        <v>472990.5833333333</v>
      </c>
      <c r="G23" s="38"/>
      <c r="H23" s="12">
        <v>0</v>
      </c>
      <c r="I23" s="6">
        <v>0</v>
      </c>
      <c r="J23" s="13">
        <f t="shared" si="5"/>
        <v>0</v>
      </c>
      <c r="K23" s="12">
        <v>0</v>
      </c>
      <c r="L23" s="6">
        <v>0</v>
      </c>
      <c r="M23" s="13">
        <f t="shared" si="6"/>
        <v>0</v>
      </c>
      <c r="N23" s="19"/>
      <c r="O23" s="13">
        <f t="shared" si="7"/>
        <v>0</v>
      </c>
      <c r="P23" s="3">
        <f>'[5]4. 2003 Data &amp; 2005 PILs'!$B$67</f>
        <v>0.001457538659447489</v>
      </c>
      <c r="Q23" s="13">
        <f t="shared" si="8"/>
        <v>689.4020607629525</v>
      </c>
      <c r="R23" s="13">
        <f t="shared" si="9"/>
        <v>689.4020607629525</v>
      </c>
    </row>
    <row r="24" spans="1:18" ht="15">
      <c r="A24" s="26" t="s">
        <v>1</v>
      </c>
      <c r="B24" s="53">
        <v>2005</v>
      </c>
      <c r="C24" s="36" t="s">
        <v>44</v>
      </c>
      <c r="D24" s="37"/>
      <c r="E24" s="37">
        <v>1</v>
      </c>
      <c r="F24" s="37">
        <f>'Monthly Volumes'!F28</f>
        <v>472990.5833333333</v>
      </c>
      <c r="G24" s="38"/>
      <c r="H24" s="12">
        <v>0</v>
      </c>
      <c r="I24" s="6">
        <v>0</v>
      </c>
      <c r="J24" s="13">
        <f t="shared" si="5"/>
        <v>0</v>
      </c>
      <c r="K24" s="12">
        <v>0</v>
      </c>
      <c r="L24" s="6">
        <v>0</v>
      </c>
      <c r="M24" s="13">
        <f t="shared" si="6"/>
        <v>0</v>
      </c>
      <c r="N24" s="19"/>
      <c r="O24" s="13">
        <f t="shared" si="7"/>
        <v>0</v>
      </c>
      <c r="P24" s="3">
        <f>'[5]4. 2003 Data &amp; 2005 PILs'!$B$67</f>
        <v>0.001457538659447489</v>
      </c>
      <c r="Q24" s="13">
        <f t="shared" si="8"/>
        <v>689.4020607629525</v>
      </c>
      <c r="R24" s="13">
        <f t="shared" si="9"/>
        <v>689.4020607629525</v>
      </c>
    </row>
    <row r="25" spans="1:18" ht="15">
      <c r="A25" s="26" t="s">
        <v>1</v>
      </c>
      <c r="B25" s="53">
        <v>2005</v>
      </c>
      <c r="C25" s="36" t="s">
        <v>45</v>
      </c>
      <c r="D25" s="37"/>
      <c r="E25" s="37">
        <v>1</v>
      </c>
      <c r="F25" s="37">
        <f>'Monthly Volumes'!F29</f>
        <v>472990.5833333333</v>
      </c>
      <c r="G25" s="38"/>
      <c r="H25" s="12">
        <v>0</v>
      </c>
      <c r="I25" s="6">
        <v>0</v>
      </c>
      <c r="J25" s="13">
        <f t="shared" si="5"/>
        <v>0</v>
      </c>
      <c r="K25" s="12">
        <v>0</v>
      </c>
      <c r="L25" s="6">
        <v>0</v>
      </c>
      <c r="M25" s="13">
        <f t="shared" si="6"/>
        <v>0</v>
      </c>
      <c r="N25" s="19"/>
      <c r="O25" s="13">
        <f t="shared" si="7"/>
        <v>0</v>
      </c>
      <c r="P25" s="3">
        <f>'[5]4. 2003 Data &amp; 2005 PILs'!$B$67</f>
        <v>0.001457538659447489</v>
      </c>
      <c r="Q25" s="13">
        <f t="shared" si="8"/>
        <v>689.4020607629525</v>
      </c>
      <c r="R25" s="13">
        <f t="shared" si="9"/>
        <v>689.4020607629525</v>
      </c>
    </row>
    <row r="26" spans="1:18" ht="15">
      <c r="A26" s="26" t="s">
        <v>1</v>
      </c>
      <c r="B26" s="53">
        <v>2005</v>
      </c>
      <c r="C26" s="36" t="s">
        <v>46</v>
      </c>
      <c r="D26" s="37"/>
      <c r="E26" s="37">
        <v>1</v>
      </c>
      <c r="F26" s="37">
        <f>'Monthly Volumes'!F30</f>
        <v>472990.5833333333</v>
      </c>
      <c r="G26" s="38"/>
      <c r="H26" s="12">
        <v>0</v>
      </c>
      <c r="I26" s="6">
        <v>0</v>
      </c>
      <c r="J26" s="13">
        <f t="shared" si="5"/>
        <v>0</v>
      </c>
      <c r="K26" s="12">
        <v>0</v>
      </c>
      <c r="L26" s="6">
        <v>0</v>
      </c>
      <c r="M26" s="13">
        <f t="shared" si="6"/>
        <v>0</v>
      </c>
      <c r="N26" s="19"/>
      <c r="O26" s="13">
        <f t="shared" si="7"/>
        <v>0</v>
      </c>
      <c r="P26" s="3">
        <f>'[5]4. 2003 Data &amp; 2005 PILs'!$B$67</f>
        <v>0.001457538659447489</v>
      </c>
      <c r="Q26" s="13">
        <f t="shared" si="8"/>
        <v>689.4020607629525</v>
      </c>
      <c r="R26" s="13">
        <f t="shared" si="9"/>
        <v>689.4020607629525</v>
      </c>
    </row>
    <row r="27" spans="1:18" ht="15">
      <c r="A27" s="26" t="s">
        <v>1</v>
      </c>
      <c r="B27" s="53">
        <v>2005</v>
      </c>
      <c r="C27" s="36" t="s">
        <v>47</v>
      </c>
      <c r="D27" s="37"/>
      <c r="E27" s="37">
        <v>1</v>
      </c>
      <c r="F27" s="37">
        <f>'Monthly Volumes'!F31</f>
        <v>472990.5833333333</v>
      </c>
      <c r="G27" s="38"/>
      <c r="H27" s="12">
        <v>0</v>
      </c>
      <c r="I27" s="6">
        <v>0</v>
      </c>
      <c r="J27" s="13">
        <f t="shared" si="5"/>
        <v>0</v>
      </c>
      <c r="K27" s="12">
        <v>0</v>
      </c>
      <c r="L27" s="6">
        <v>0</v>
      </c>
      <c r="M27" s="13">
        <f t="shared" si="6"/>
        <v>0</v>
      </c>
      <c r="N27" s="19"/>
      <c r="O27" s="13">
        <f t="shared" si="7"/>
        <v>0</v>
      </c>
      <c r="P27" s="3">
        <f>'[5]4. 2003 Data &amp; 2005 PILs'!$B$67</f>
        <v>0.001457538659447489</v>
      </c>
      <c r="Q27" s="13">
        <f t="shared" si="8"/>
        <v>689.4020607629525</v>
      </c>
      <c r="R27" s="13">
        <f t="shared" si="9"/>
        <v>689.4020607629525</v>
      </c>
    </row>
    <row r="28" spans="1:18" ht="15">
      <c r="A28" s="26" t="s">
        <v>1</v>
      </c>
      <c r="B28" s="53">
        <v>2005</v>
      </c>
      <c r="C28" s="36" t="s">
        <v>48</v>
      </c>
      <c r="D28" s="37"/>
      <c r="E28" s="37">
        <v>1</v>
      </c>
      <c r="F28" s="37">
        <f>'Monthly Volumes'!F32</f>
        <v>472990.5833333333</v>
      </c>
      <c r="G28" s="38"/>
      <c r="H28" s="12">
        <v>0</v>
      </c>
      <c r="I28" s="6">
        <v>0</v>
      </c>
      <c r="J28" s="13">
        <f t="shared" si="5"/>
        <v>0</v>
      </c>
      <c r="K28" s="12">
        <v>0</v>
      </c>
      <c r="L28" s="6">
        <v>0</v>
      </c>
      <c r="M28" s="13">
        <f t="shared" si="6"/>
        <v>0</v>
      </c>
      <c r="N28" s="19"/>
      <c r="O28" s="13">
        <f t="shared" si="7"/>
        <v>0</v>
      </c>
      <c r="P28" s="3">
        <f>'[5]4. 2003 Data &amp; 2005 PILs'!$B$67</f>
        <v>0.001457538659447489</v>
      </c>
      <c r="Q28" s="13">
        <f t="shared" si="8"/>
        <v>689.4020607629525</v>
      </c>
      <c r="R28" s="13">
        <f t="shared" si="9"/>
        <v>689.4020607629525</v>
      </c>
    </row>
    <row r="29" spans="1:18" ht="15">
      <c r="A29" s="26" t="s">
        <v>1</v>
      </c>
      <c r="B29" s="53">
        <v>2005</v>
      </c>
      <c r="C29" s="36" t="s">
        <v>49</v>
      </c>
      <c r="D29" s="37"/>
      <c r="E29" s="37">
        <v>1</v>
      </c>
      <c r="F29" s="37">
        <f>'Monthly Volumes'!F33</f>
        <v>472990.5833333333</v>
      </c>
      <c r="G29" s="38"/>
      <c r="H29" s="12">
        <v>0</v>
      </c>
      <c r="I29" s="6">
        <v>0</v>
      </c>
      <c r="J29" s="13">
        <f t="shared" si="5"/>
        <v>0</v>
      </c>
      <c r="K29" s="12">
        <v>0</v>
      </c>
      <c r="L29" s="6">
        <v>0</v>
      </c>
      <c r="M29" s="13">
        <f t="shared" si="6"/>
        <v>0</v>
      </c>
      <c r="N29" s="19"/>
      <c r="O29" s="13">
        <f t="shared" si="7"/>
        <v>0</v>
      </c>
      <c r="P29" s="3">
        <f>'[5]4. 2003 Data &amp; 2005 PILs'!$B$67</f>
        <v>0.001457538659447489</v>
      </c>
      <c r="Q29" s="13">
        <f t="shared" si="8"/>
        <v>689.4020607629525</v>
      </c>
      <c r="R29" s="13">
        <f t="shared" si="9"/>
        <v>689.4020607629525</v>
      </c>
    </row>
    <row r="30" spans="1:18" ht="15.75" thickBot="1">
      <c r="A30" s="26"/>
      <c r="B30" s="53"/>
      <c r="C30" s="36"/>
      <c r="D30" s="37"/>
      <c r="E30" s="37"/>
      <c r="F30" s="37"/>
      <c r="G30" s="38"/>
      <c r="H30" s="12"/>
      <c r="I30" s="6"/>
      <c r="J30" s="13"/>
      <c r="K30" s="12"/>
      <c r="L30" s="6"/>
      <c r="M30" s="13"/>
      <c r="N30" s="19"/>
      <c r="O30" s="13"/>
      <c r="P30" s="3"/>
      <c r="Q30" s="13"/>
      <c r="R30" s="13"/>
    </row>
    <row r="31" spans="1:18" ht="15.75" thickBot="1">
      <c r="A31" s="55" t="s">
        <v>59</v>
      </c>
      <c r="B31" s="56"/>
      <c r="C31" s="57"/>
      <c r="D31" s="58">
        <f>SUM(D18:D30)</f>
        <v>0</v>
      </c>
      <c r="E31" s="58"/>
      <c r="F31" s="58">
        <f>SUM(F18:F30)</f>
        <v>5675886.999999999</v>
      </c>
      <c r="G31" s="59">
        <f>SUM(G18:G30)</f>
        <v>0</v>
      </c>
      <c r="H31" s="60"/>
      <c r="I31" s="61"/>
      <c r="J31" s="62">
        <f>SUM(J18:J30)</f>
        <v>0</v>
      </c>
      <c r="K31" s="60"/>
      <c r="L31" s="61"/>
      <c r="M31" s="62">
        <f>SUM(M18:M30)</f>
        <v>0</v>
      </c>
      <c r="N31" s="63"/>
      <c r="O31" s="62">
        <f>SUM(O18:O30)</f>
        <v>1392.8461514689702</v>
      </c>
      <c r="P31" s="63"/>
      <c r="Q31" s="62">
        <f>SUM(Q18:Q30)</f>
        <v>6204.6185468665735</v>
      </c>
      <c r="R31" s="62">
        <f>SUM(R18:R30)</f>
        <v>7597.464698335544</v>
      </c>
    </row>
    <row r="32" spans="1:18" ht="15">
      <c r="A32" s="26"/>
      <c r="B32" s="53"/>
      <c r="C32" s="36"/>
      <c r="D32" s="37"/>
      <c r="E32" s="37"/>
      <c r="F32" s="37"/>
      <c r="G32" s="38"/>
      <c r="H32" s="12"/>
      <c r="I32" s="6"/>
      <c r="J32" s="13"/>
      <c r="K32" s="12"/>
      <c r="L32" s="6"/>
      <c r="M32" s="13"/>
      <c r="N32" s="19"/>
      <c r="O32" s="13"/>
      <c r="P32" s="19"/>
      <c r="Q32" s="13"/>
      <c r="R32" s="13"/>
    </row>
    <row r="33" spans="1:18" ht="15">
      <c r="A33" s="26" t="s">
        <v>8</v>
      </c>
      <c r="B33" s="53">
        <v>2005</v>
      </c>
      <c r="C33" s="36" t="s">
        <v>39</v>
      </c>
      <c r="D33" s="37"/>
      <c r="E33" s="37">
        <v>1</v>
      </c>
      <c r="F33" s="37">
        <f>'Monthly Volumes'!F40</f>
        <v>0</v>
      </c>
      <c r="G33" s="38"/>
      <c r="H33" s="12">
        <v>0</v>
      </c>
      <c r="I33" s="6">
        <v>0</v>
      </c>
      <c r="J33" s="13">
        <f aca="true" t="shared" si="10" ref="J33:J44">D33*E33*H33+(F33+G33)*I33</f>
        <v>0</v>
      </c>
      <c r="K33" s="12">
        <v>0</v>
      </c>
      <c r="L33" s="6">
        <v>0</v>
      </c>
      <c r="M33" s="13">
        <f aca="true" t="shared" si="11" ref="M33:M44">D33*E33*K33+(F33+G33)*L33</f>
        <v>0</v>
      </c>
      <c r="N33" s="19">
        <f>'2004 PILS Recoveries'!N42</f>
        <v>0</v>
      </c>
      <c r="O33" s="13">
        <f aca="true" t="shared" si="12" ref="O33:O44">(F33+G33)*N33</f>
        <v>0</v>
      </c>
      <c r="P33" s="19">
        <v>0</v>
      </c>
      <c r="Q33" s="13">
        <f>(F33+G33)*P33</f>
        <v>0</v>
      </c>
      <c r="R33" s="13">
        <f aca="true" t="shared" si="13" ref="R33:R44">J33+M33+O33+Q33</f>
        <v>0</v>
      </c>
    </row>
    <row r="34" spans="1:18" ht="15">
      <c r="A34" s="26" t="s">
        <v>8</v>
      </c>
      <c r="B34" s="53">
        <v>2005</v>
      </c>
      <c r="C34" s="36" t="s">
        <v>40</v>
      </c>
      <c r="D34" s="37"/>
      <c r="E34" s="37">
        <v>1</v>
      </c>
      <c r="F34" s="37">
        <f>'Monthly Volumes'!F41</f>
        <v>0</v>
      </c>
      <c r="G34" s="38"/>
      <c r="H34" s="12">
        <v>0</v>
      </c>
      <c r="I34" s="6">
        <v>0</v>
      </c>
      <c r="J34" s="13">
        <f t="shared" si="10"/>
        <v>0</v>
      </c>
      <c r="K34" s="12">
        <v>0</v>
      </c>
      <c r="L34" s="6">
        <v>0</v>
      </c>
      <c r="M34" s="13">
        <f t="shared" si="11"/>
        <v>0</v>
      </c>
      <c r="N34" s="19">
        <f>'2004 PILS Recoveries'!N43</f>
        <v>0</v>
      </c>
      <c r="O34" s="13">
        <f t="shared" si="12"/>
        <v>0</v>
      </c>
      <c r="P34" s="19">
        <v>0</v>
      </c>
      <c r="Q34" s="13">
        <f>(F34+G34)*P34</f>
        <v>0</v>
      </c>
      <c r="R34" s="13">
        <f t="shared" si="13"/>
        <v>0</v>
      </c>
    </row>
    <row r="35" spans="1:18" ht="15">
      <c r="A35" s="26" t="s">
        <v>8</v>
      </c>
      <c r="B35" s="53">
        <v>2005</v>
      </c>
      <c r="C35" s="36" t="s">
        <v>41</v>
      </c>
      <c r="D35" s="37"/>
      <c r="E35" s="37">
        <v>1</v>
      </c>
      <c r="F35" s="37">
        <f>'Monthly Volumes'!F42</f>
        <v>0</v>
      </c>
      <c r="G35" s="38"/>
      <c r="H35" s="12">
        <v>0</v>
      </c>
      <c r="I35" s="6">
        <v>0</v>
      </c>
      <c r="J35" s="13">
        <f t="shared" si="10"/>
        <v>0</v>
      </c>
      <c r="K35" s="12">
        <v>0</v>
      </c>
      <c r="L35" s="6">
        <v>0</v>
      </c>
      <c r="M35" s="13">
        <f t="shared" si="11"/>
        <v>0</v>
      </c>
      <c r="N35" s="19">
        <f>'2004 PILS Recoveries'!N44</f>
        <v>0</v>
      </c>
      <c r="O35" s="13">
        <f t="shared" si="12"/>
        <v>0</v>
      </c>
      <c r="P35" s="19">
        <v>0</v>
      </c>
      <c r="Q35" s="13">
        <f>(F35+G35)*P35</f>
        <v>0</v>
      </c>
      <c r="R35" s="13">
        <f t="shared" si="13"/>
        <v>0</v>
      </c>
    </row>
    <row r="36" spans="1:18" ht="15">
      <c r="A36" s="26" t="s">
        <v>8</v>
      </c>
      <c r="B36" s="53">
        <v>2005</v>
      </c>
      <c r="C36" s="36" t="s">
        <v>42</v>
      </c>
      <c r="D36" s="37"/>
      <c r="E36" s="37">
        <v>1</v>
      </c>
      <c r="F36" s="37">
        <f>'Monthly Volumes'!F43</f>
        <v>0</v>
      </c>
      <c r="G36" s="38"/>
      <c r="H36" s="12">
        <v>0</v>
      </c>
      <c r="I36" s="6">
        <v>0</v>
      </c>
      <c r="J36" s="13">
        <f t="shared" si="10"/>
        <v>0</v>
      </c>
      <c r="K36" s="12">
        <v>0</v>
      </c>
      <c r="L36" s="6">
        <v>0</v>
      </c>
      <c r="M36" s="13">
        <f t="shared" si="11"/>
        <v>0</v>
      </c>
      <c r="N36" s="19"/>
      <c r="O36" s="13">
        <f t="shared" si="12"/>
        <v>0</v>
      </c>
      <c r="P36" s="19">
        <v>0</v>
      </c>
      <c r="Q36" s="13">
        <f>(F36+G36)*P36</f>
        <v>0</v>
      </c>
      <c r="R36" s="13">
        <f t="shared" si="13"/>
        <v>0</v>
      </c>
    </row>
    <row r="37" spans="1:18" ht="15">
      <c r="A37" s="26" t="s">
        <v>8</v>
      </c>
      <c r="B37" s="53">
        <v>2005</v>
      </c>
      <c r="C37" s="36" t="s">
        <v>35</v>
      </c>
      <c r="D37" s="37"/>
      <c r="E37" s="37">
        <v>1</v>
      </c>
      <c r="F37" s="37">
        <f>'Monthly Volumes'!F44</f>
        <v>0</v>
      </c>
      <c r="G37" s="38"/>
      <c r="H37" s="12">
        <v>0</v>
      </c>
      <c r="I37" s="6">
        <v>0</v>
      </c>
      <c r="J37" s="13">
        <f t="shared" si="10"/>
        <v>0</v>
      </c>
      <c r="K37" s="12">
        <v>0</v>
      </c>
      <c r="L37" s="6">
        <v>0</v>
      </c>
      <c r="M37" s="13">
        <f t="shared" si="11"/>
        <v>0</v>
      </c>
      <c r="N37" s="19"/>
      <c r="O37" s="13">
        <f t="shared" si="12"/>
        <v>0</v>
      </c>
      <c r="P37" s="19">
        <v>0</v>
      </c>
      <c r="Q37" s="13">
        <f aca="true" t="shared" si="14" ref="Q37:Q44">(F37+G37)*P37</f>
        <v>0</v>
      </c>
      <c r="R37" s="13">
        <f t="shared" si="13"/>
        <v>0</v>
      </c>
    </row>
    <row r="38" spans="1:18" ht="15">
      <c r="A38" s="26" t="s">
        <v>8</v>
      </c>
      <c r="B38" s="53">
        <v>2005</v>
      </c>
      <c r="C38" s="36" t="s">
        <v>43</v>
      </c>
      <c r="D38" s="37"/>
      <c r="E38" s="37">
        <v>1</v>
      </c>
      <c r="F38" s="37">
        <f>'Monthly Volumes'!F45</f>
        <v>0</v>
      </c>
      <c r="G38" s="38"/>
      <c r="H38" s="12">
        <v>0</v>
      </c>
      <c r="I38" s="6">
        <v>0</v>
      </c>
      <c r="J38" s="13">
        <f t="shared" si="10"/>
        <v>0</v>
      </c>
      <c r="K38" s="12">
        <v>0</v>
      </c>
      <c r="L38" s="6">
        <v>0</v>
      </c>
      <c r="M38" s="13">
        <f t="shared" si="11"/>
        <v>0</v>
      </c>
      <c r="N38" s="19"/>
      <c r="O38" s="13">
        <f t="shared" si="12"/>
        <v>0</v>
      </c>
      <c r="P38" s="19">
        <v>0</v>
      </c>
      <c r="Q38" s="13">
        <f t="shared" si="14"/>
        <v>0</v>
      </c>
      <c r="R38" s="13">
        <f t="shared" si="13"/>
        <v>0</v>
      </c>
    </row>
    <row r="39" spans="1:18" ht="15">
      <c r="A39" s="26" t="s">
        <v>8</v>
      </c>
      <c r="B39" s="53">
        <v>2005</v>
      </c>
      <c r="C39" s="36" t="s">
        <v>44</v>
      </c>
      <c r="D39" s="37"/>
      <c r="E39" s="37">
        <v>1</v>
      </c>
      <c r="F39" s="37">
        <f>'Monthly Volumes'!F46</f>
        <v>0</v>
      </c>
      <c r="G39" s="38"/>
      <c r="H39" s="12">
        <v>0</v>
      </c>
      <c r="I39" s="6">
        <v>0</v>
      </c>
      <c r="J39" s="13">
        <f t="shared" si="10"/>
        <v>0</v>
      </c>
      <c r="K39" s="12">
        <v>0</v>
      </c>
      <c r="L39" s="6">
        <v>0</v>
      </c>
      <c r="M39" s="13">
        <f t="shared" si="11"/>
        <v>0</v>
      </c>
      <c r="N39" s="19"/>
      <c r="O39" s="13">
        <f t="shared" si="12"/>
        <v>0</v>
      </c>
      <c r="P39" s="19">
        <v>0</v>
      </c>
      <c r="Q39" s="13">
        <f t="shared" si="14"/>
        <v>0</v>
      </c>
      <c r="R39" s="13">
        <f t="shared" si="13"/>
        <v>0</v>
      </c>
    </row>
    <row r="40" spans="1:18" ht="15">
      <c r="A40" s="26" t="s">
        <v>8</v>
      </c>
      <c r="B40" s="53">
        <v>2005</v>
      </c>
      <c r="C40" s="36" t="s">
        <v>45</v>
      </c>
      <c r="D40" s="37"/>
      <c r="E40" s="37">
        <v>1</v>
      </c>
      <c r="F40" s="37">
        <f>'Monthly Volumes'!F47</f>
        <v>0</v>
      </c>
      <c r="G40" s="38"/>
      <c r="H40" s="12">
        <v>0</v>
      </c>
      <c r="I40" s="6">
        <v>0</v>
      </c>
      <c r="J40" s="13">
        <f t="shared" si="10"/>
        <v>0</v>
      </c>
      <c r="K40" s="12">
        <v>0</v>
      </c>
      <c r="L40" s="6">
        <v>0</v>
      </c>
      <c r="M40" s="13">
        <f t="shared" si="11"/>
        <v>0</v>
      </c>
      <c r="N40" s="19"/>
      <c r="O40" s="13">
        <f t="shared" si="12"/>
        <v>0</v>
      </c>
      <c r="P40" s="19">
        <v>0</v>
      </c>
      <c r="Q40" s="13">
        <f t="shared" si="14"/>
        <v>0</v>
      </c>
      <c r="R40" s="13">
        <f t="shared" si="13"/>
        <v>0</v>
      </c>
    </row>
    <row r="41" spans="1:18" ht="15">
      <c r="A41" s="26" t="s">
        <v>8</v>
      </c>
      <c r="B41" s="53">
        <v>2005</v>
      </c>
      <c r="C41" s="36" t="s">
        <v>46</v>
      </c>
      <c r="D41" s="37"/>
      <c r="E41" s="37">
        <v>1</v>
      </c>
      <c r="F41" s="37">
        <f>'Monthly Volumes'!F48</f>
        <v>0</v>
      </c>
      <c r="G41" s="38"/>
      <c r="H41" s="12">
        <v>0</v>
      </c>
      <c r="I41" s="6">
        <v>0</v>
      </c>
      <c r="J41" s="13">
        <f t="shared" si="10"/>
        <v>0</v>
      </c>
      <c r="K41" s="12">
        <v>0</v>
      </c>
      <c r="L41" s="6">
        <v>0</v>
      </c>
      <c r="M41" s="13">
        <f t="shared" si="11"/>
        <v>0</v>
      </c>
      <c r="N41" s="19"/>
      <c r="O41" s="13">
        <f t="shared" si="12"/>
        <v>0</v>
      </c>
      <c r="P41" s="19">
        <v>0</v>
      </c>
      <c r="Q41" s="13">
        <f t="shared" si="14"/>
        <v>0</v>
      </c>
      <c r="R41" s="13">
        <f t="shared" si="13"/>
        <v>0</v>
      </c>
    </row>
    <row r="42" spans="1:18" ht="15">
      <c r="A42" s="26" t="s">
        <v>8</v>
      </c>
      <c r="B42" s="53">
        <v>2005</v>
      </c>
      <c r="C42" s="36" t="s">
        <v>47</v>
      </c>
      <c r="D42" s="37"/>
      <c r="E42" s="37">
        <v>1</v>
      </c>
      <c r="F42" s="37">
        <f>'Monthly Volumes'!F49</f>
        <v>0</v>
      </c>
      <c r="G42" s="38"/>
      <c r="H42" s="12">
        <v>0</v>
      </c>
      <c r="I42" s="6">
        <v>0</v>
      </c>
      <c r="J42" s="13">
        <f t="shared" si="10"/>
        <v>0</v>
      </c>
      <c r="K42" s="12">
        <v>0</v>
      </c>
      <c r="L42" s="6">
        <v>0</v>
      </c>
      <c r="M42" s="13">
        <f t="shared" si="11"/>
        <v>0</v>
      </c>
      <c r="N42" s="19"/>
      <c r="O42" s="13">
        <f t="shared" si="12"/>
        <v>0</v>
      </c>
      <c r="P42" s="19">
        <v>0</v>
      </c>
      <c r="Q42" s="13">
        <f t="shared" si="14"/>
        <v>0</v>
      </c>
      <c r="R42" s="13">
        <f t="shared" si="13"/>
        <v>0</v>
      </c>
    </row>
    <row r="43" spans="1:18" ht="15">
      <c r="A43" s="26" t="s">
        <v>8</v>
      </c>
      <c r="B43" s="53">
        <v>2005</v>
      </c>
      <c r="C43" s="36" t="s">
        <v>48</v>
      </c>
      <c r="D43" s="37"/>
      <c r="E43" s="37">
        <v>1</v>
      </c>
      <c r="F43" s="37">
        <f>'Monthly Volumes'!F50</f>
        <v>0</v>
      </c>
      <c r="G43" s="38"/>
      <c r="H43" s="12">
        <v>0</v>
      </c>
      <c r="I43" s="6">
        <v>0</v>
      </c>
      <c r="J43" s="13">
        <f t="shared" si="10"/>
        <v>0</v>
      </c>
      <c r="K43" s="12">
        <v>0</v>
      </c>
      <c r="L43" s="6">
        <v>0</v>
      </c>
      <c r="M43" s="13">
        <f t="shared" si="11"/>
        <v>0</v>
      </c>
      <c r="N43" s="19"/>
      <c r="O43" s="13">
        <f t="shared" si="12"/>
        <v>0</v>
      </c>
      <c r="P43" s="19">
        <v>0</v>
      </c>
      <c r="Q43" s="13">
        <f t="shared" si="14"/>
        <v>0</v>
      </c>
      <c r="R43" s="13">
        <f t="shared" si="13"/>
        <v>0</v>
      </c>
    </row>
    <row r="44" spans="1:18" ht="15">
      <c r="A44" s="26" t="s">
        <v>8</v>
      </c>
      <c r="B44" s="53">
        <v>2005</v>
      </c>
      <c r="C44" s="36" t="s">
        <v>49</v>
      </c>
      <c r="D44" s="37"/>
      <c r="E44" s="37">
        <v>1</v>
      </c>
      <c r="F44" s="37">
        <f>'Monthly Volumes'!F51</f>
        <v>0</v>
      </c>
      <c r="G44" s="38"/>
      <c r="H44" s="12">
        <v>0</v>
      </c>
      <c r="I44" s="6">
        <v>0</v>
      </c>
      <c r="J44" s="13">
        <f t="shared" si="10"/>
        <v>0</v>
      </c>
      <c r="K44" s="12">
        <v>0</v>
      </c>
      <c r="L44" s="6">
        <v>0</v>
      </c>
      <c r="M44" s="13">
        <f t="shared" si="11"/>
        <v>0</v>
      </c>
      <c r="N44" s="19"/>
      <c r="O44" s="13">
        <f t="shared" si="12"/>
        <v>0</v>
      </c>
      <c r="P44" s="19">
        <v>0</v>
      </c>
      <c r="Q44" s="13">
        <f t="shared" si="14"/>
        <v>0</v>
      </c>
      <c r="R44" s="13">
        <f t="shared" si="13"/>
        <v>0</v>
      </c>
    </row>
    <row r="45" spans="1:18" ht="15.75" thickBot="1">
      <c r="A45" s="26"/>
      <c r="B45" s="53"/>
      <c r="C45" s="36"/>
      <c r="D45" s="37"/>
      <c r="E45" s="37"/>
      <c r="F45" s="37"/>
      <c r="G45" s="38"/>
      <c r="H45" s="12"/>
      <c r="I45" s="6"/>
      <c r="J45" s="13"/>
      <c r="K45" s="12"/>
      <c r="L45" s="6"/>
      <c r="M45" s="13"/>
      <c r="N45" s="19"/>
      <c r="O45" s="13"/>
      <c r="P45" s="3"/>
      <c r="Q45" s="13"/>
      <c r="R45" s="13"/>
    </row>
    <row r="46" spans="1:18" ht="15.75" thickBot="1">
      <c r="A46" s="55" t="s">
        <v>60</v>
      </c>
      <c r="B46" s="56"/>
      <c r="C46" s="57"/>
      <c r="D46" s="58">
        <f>SUM(D33:D45)</f>
        <v>0</v>
      </c>
      <c r="E46" s="58"/>
      <c r="F46" s="58">
        <f>SUM(F33:F45)</f>
        <v>0</v>
      </c>
      <c r="G46" s="59">
        <f>SUM(G33:G45)</f>
        <v>0</v>
      </c>
      <c r="H46" s="60"/>
      <c r="I46" s="61"/>
      <c r="J46" s="62">
        <f>SUM(J33:J45)</f>
        <v>0</v>
      </c>
      <c r="K46" s="60"/>
      <c r="L46" s="61"/>
      <c r="M46" s="62">
        <f>SUM(M33:M45)</f>
        <v>0</v>
      </c>
      <c r="N46" s="63"/>
      <c r="O46" s="62">
        <f>SUM(O33:O45)</f>
        <v>0</v>
      </c>
      <c r="P46" s="63"/>
      <c r="Q46" s="62">
        <f>SUM(Q33:Q45)</f>
        <v>0</v>
      </c>
      <c r="R46" s="62">
        <f>SUM(R33:R45)</f>
        <v>0</v>
      </c>
    </row>
    <row r="47" spans="1:18" ht="15">
      <c r="A47" s="26"/>
      <c r="B47" s="53"/>
      <c r="C47" s="36"/>
      <c r="D47" s="37"/>
      <c r="E47" s="37"/>
      <c r="F47" s="39"/>
      <c r="G47" s="54"/>
      <c r="H47" s="12"/>
      <c r="I47" s="6"/>
      <c r="J47" s="13"/>
      <c r="K47" s="12"/>
      <c r="L47" s="6"/>
      <c r="M47" s="13"/>
      <c r="N47" s="19"/>
      <c r="O47" s="13"/>
      <c r="P47" s="19"/>
      <c r="Q47" s="13"/>
      <c r="R47" s="13"/>
    </row>
    <row r="48" spans="1:18" ht="15">
      <c r="A48" s="26" t="s">
        <v>2</v>
      </c>
      <c r="B48" s="53">
        <v>2005</v>
      </c>
      <c r="C48" s="36" t="s">
        <v>39</v>
      </c>
      <c r="D48" s="37"/>
      <c r="E48" s="37">
        <v>1</v>
      </c>
      <c r="F48" s="39"/>
      <c r="G48" s="40">
        <f>'Monthly Volumes'!O4</f>
        <v>1679.3833333333332</v>
      </c>
      <c r="H48" s="12">
        <v>0</v>
      </c>
      <c r="I48" s="6">
        <v>0</v>
      </c>
      <c r="J48" s="13">
        <f>D48*E48*H48+(F48+G48)*I48</f>
        <v>0</v>
      </c>
      <c r="K48" s="12">
        <v>0</v>
      </c>
      <c r="L48" s="6">
        <v>0</v>
      </c>
      <c r="M48" s="13">
        <f>D48*E48*K48+(F48+G48)*L48</f>
        <v>0</v>
      </c>
      <c r="N48" s="19">
        <f>'2004 PILS Recoveries'!N57</f>
        <v>0.06428070666355268</v>
      </c>
      <c r="O48" s="13">
        <f>(F48+G48)*N48</f>
        <v>107.9519474256593</v>
      </c>
      <c r="P48" s="19">
        <v>0</v>
      </c>
      <c r="Q48" s="13">
        <f>(F48+G48)*P48</f>
        <v>0</v>
      </c>
      <c r="R48" s="13">
        <f>J48+M48+O48+Q48</f>
        <v>107.9519474256593</v>
      </c>
    </row>
    <row r="49" spans="1:18" ht="15">
      <c r="A49" s="26" t="s">
        <v>2</v>
      </c>
      <c r="B49" s="53">
        <v>2005</v>
      </c>
      <c r="C49" s="36" t="s">
        <v>40</v>
      </c>
      <c r="D49" s="37"/>
      <c r="E49" s="37">
        <v>1</v>
      </c>
      <c r="F49" s="39"/>
      <c r="G49" s="40">
        <f>'Monthly Volumes'!O5</f>
        <v>1679.3833333333332</v>
      </c>
      <c r="H49" s="12">
        <v>0</v>
      </c>
      <c r="I49" s="6">
        <v>0</v>
      </c>
      <c r="J49" s="13">
        <f>D49*E49*H49+(F49+G49)*I49</f>
        <v>0</v>
      </c>
      <c r="K49" s="12">
        <v>0</v>
      </c>
      <c r="L49" s="6">
        <v>0</v>
      </c>
      <c r="M49" s="13">
        <f>D49*E49*K49+(F49+G49)*L49</f>
        <v>0</v>
      </c>
      <c r="N49" s="19">
        <f>'2004 PILS Recoveries'!N58</f>
        <v>0.06428070666355268</v>
      </c>
      <c r="O49" s="13">
        <f>(F49+G49)*N49</f>
        <v>107.9519474256593</v>
      </c>
      <c r="P49" s="19">
        <v>0</v>
      </c>
      <c r="Q49" s="13">
        <f>(F49+G49)*P49</f>
        <v>0</v>
      </c>
      <c r="R49" s="13">
        <f>J49+M49+O49+Q49</f>
        <v>107.9519474256593</v>
      </c>
    </row>
    <row r="50" spans="1:18" ht="15">
      <c r="A50" s="26" t="s">
        <v>2</v>
      </c>
      <c r="B50" s="53">
        <v>2005</v>
      </c>
      <c r="C50" s="36" t="s">
        <v>41</v>
      </c>
      <c r="D50" s="37"/>
      <c r="E50" s="37">
        <v>1</v>
      </c>
      <c r="F50" s="39"/>
      <c r="G50" s="40">
        <f>'Monthly Volumes'!O6</f>
        <v>1679.3833333333332</v>
      </c>
      <c r="H50" s="12">
        <v>0</v>
      </c>
      <c r="I50" s="6">
        <v>0</v>
      </c>
      <c r="J50" s="13">
        <f>D50*E50*H50+(F50+G50)*I50</f>
        <v>0</v>
      </c>
      <c r="K50" s="12">
        <v>0</v>
      </c>
      <c r="L50" s="6">
        <v>0</v>
      </c>
      <c r="M50" s="13">
        <f>D50*E50*K50+(F50+G50)*L50</f>
        <v>0</v>
      </c>
      <c r="N50" s="19">
        <f>'2004 PILS Recoveries'!N59</f>
        <v>0.06428070666355268</v>
      </c>
      <c r="O50" s="13">
        <f>(F50+G50)*N50</f>
        <v>107.9519474256593</v>
      </c>
      <c r="P50" s="19">
        <v>0</v>
      </c>
      <c r="Q50" s="13">
        <f>(F50+G50)*P50</f>
        <v>0</v>
      </c>
      <c r="R50" s="13">
        <f>J50+M50+O50+Q50</f>
        <v>107.9519474256593</v>
      </c>
    </row>
    <row r="51" spans="1:18" ht="15">
      <c r="A51" s="26" t="s">
        <v>2</v>
      </c>
      <c r="B51" s="53">
        <v>2005</v>
      </c>
      <c r="C51" s="36" t="s">
        <v>42</v>
      </c>
      <c r="D51" s="37"/>
      <c r="E51" s="37">
        <v>1</v>
      </c>
      <c r="F51" s="39"/>
      <c r="G51" s="40">
        <f>'Monthly Volumes'!O7</f>
        <v>1679.3833333333332</v>
      </c>
      <c r="H51" s="12">
        <v>0</v>
      </c>
      <c r="I51" s="6">
        <v>0</v>
      </c>
      <c r="J51" s="13">
        <f>D51*E51*H51+(F51+G51)*I51</f>
        <v>0</v>
      </c>
      <c r="K51" s="12">
        <v>0</v>
      </c>
      <c r="L51" s="6">
        <v>0</v>
      </c>
      <c r="M51" s="13">
        <f>D51*E51*K51+(F51+G51)*L51</f>
        <v>0</v>
      </c>
      <c r="N51" s="19"/>
      <c r="O51" s="13">
        <f>(F51+G51)*N51</f>
        <v>0</v>
      </c>
      <c r="P51" s="3">
        <f>'[5]4. 2003 Data &amp; 2005 PILs'!$B$84</f>
        <v>0.09368956433936645</v>
      </c>
      <c r="Q51" s="13">
        <f>(F51+G51)*P51</f>
        <v>157.34069285879303</v>
      </c>
      <c r="R51" s="13">
        <f>J51+M51+O51+Q51</f>
        <v>157.34069285879303</v>
      </c>
    </row>
    <row r="52" spans="1:18" ht="15">
      <c r="A52" s="26" t="s">
        <v>2</v>
      </c>
      <c r="B52" s="53">
        <v>2005</v>
      </c>
      <c r="C52" s="36" t="s">
        <v>35</v>
      </c>
      <c r="D52" s="37"/>
      <c r="E52" s="37">
        <v>1</v>
      </c>
      <c r="F52" s="39"/>
      <c r="G52" s="40">
        <f>'Monthly Volumes'!O8</f>
        <v>1679.3833333333332</v>
      </c>
      <c r="H52" s="12">
        <v>0</v>
      </c>
      <c r="I52" s="6">
        <v>0</v>
      </c>
      <c r="J52" s="13">
        <f aca="true" t="shared" si="15" ref="J52:J59">D52*E52*H52+(F52+G52)*I52</f>
        <v>0</v>
      </c>
      <c r="K52" s="12">
        <v>0</v>
      </c>
      <c r="L52" s="6">
        <v>0</v>
      </c>
      <c r="M52" s="13">
        <f aca="true" t="shared" si="16" ref="M52:M59">D52*E52*K52+(F52+G52)*L52</f>
        <v>0</v>
      </c>
      <c r="N52" s="19"/>
      <c r="O52" s="13">
        <f aca="true" t="shared" si="17" ref="O52:O59">(F52+G52)*N52</f>
        <v>0</v>
      </c>
      <c r="P52" s="3">
        <f>'[5]4. 2003 Data &amp; 2005 PILs'!$B$84</f>
        <v>0.09368956433936645</v>
      </c>
      <c r="Q52" s="13">
        <f aca="true" t="shared" si="18" ref="Q52:Q59">(F52+G52)*P52</f>
        <v>157.34069285879303</v>
      </c>
      <c r="R52" s="13">
        <f aca="true" t="shared" si="19" ref="R52:R59">J52+M52+O52+Q52</f>
        <v>157.34069285879303</v>
      </c>
    </row>
    <row r="53" spans="1:18" ht="15">
      <c r="A53" s="26" t="s">
        <v>2</v>
      </c>
      <c r="B53" s="53">
        <v>2005</v>
      </c>
      <c r="C53" s="36" t="s">
        <v>43</v>
      </c>
      <c r="D53" s="37"/>
      <c r="E53" s="37">
        <v>1</v>
      </c>
      <c r="F53" s="39"/>
      <c r="G53" s="40">
        <f>'Monthly Volumes'!O9</f>
        <v>1679.3833333333332</v>
      </c>
      <c r="H53" s="12">
        <v>0</v>
      </c>
      <c r="I53" s="6">
        <v>0</v>
      </c>
      <c r="J53" s="13">
        <f t="shared" si="15"/>
        <v>0</v>
      </c>
      <c r="K53" s="12">
        <v>0</v>
      </c>
      <c r="L53" s="6">
        <v>0</v>
      </c>
      <c r="M53" s="13">
        <f t="shared" si="16"/>
        <v>0</v>
      </c>
      <c r="N53" s="19"/>
      <c r="O53" s="13">
        <f t="shared" si="17"/>
        <v>0</v>
      </c>
      <c r="P53" s="3">
        <f>'[5]4. 2003 Data &amp; 2005 PILs'!$B$84</f>
        <v>0.09368956433936645</v>
      </c>
      <c r="Q53" s="13">
        <f t="shared" si="18"/>
        <v>157.34069285879303</v>
      </c>
      <c r="R53" s="13">
        <f t="shared" si="19"/>
        <v>157.34069285879303</v>
      </c>
    </row>
    <row r="54" spans="1:18" ht="15">
      <c r="A54" s="26" t="s">
        <v>2</v>
      </c>
      <c r="B54" s="53">
        <v>2005</v>
      </c>
      <c r="C54" s="36" t="s">
        <v>44</v>
      </c>
      <c r="D54" s="37"/>
      <c r="E54" s="37">
        <v>1</v>
      </c>
      <c r="F54" s="39"/>
      <c r="G54" s="40">
        <f>'Monthly Volumes'!O10</f>
        <v>1679.3833333333332</v>
      </c>
      <c r="H54" s="12">
        <v>0</v>
      </c>
      <c r="I54" s="6">
        <v>0</v>
      </c>
      <c r="J54" s="13">
        <f t="shared" si="15"/>
        <v>0</v>
      </c>
      <c r="K54" s="12">
        <v>0</v>
      </c>
      <c r="L54" s="6">
        <v>0</v>
      </c>
      <c r="M54" s="13">
        <f t="shared" si="16"/>
        <v>0</v>
      </c>
      <c r="N54" s="19"/>
      <c r="O54" s="13">
        <f t="shared" si="17"/>
        <v>0</v>
      </c>
      <c r="P54" s="3">
        <f>'[5]4. 2003 Data &amp; 2005 PILs'!$B$84</f>
        <v>0.09368956433936645</v>
      </c>
      <c r="Q54" s="13">
        <f t="shared" si="18"/>
        <v>157.34069285879303</v>
      </c>
      <c r="R54" s="13">
        <f t="shared" si="19"/>
        <v>157.34069285879303</v>
      </c>
    </row>
    <row r="55" spans="1:18" ht="15">
      <c r="A55" s="26" t="s">
        <v>2</v>
      </c>
      <c r="B55" s="53">
        <v>2005</v>
      </c>
      <c r="C55" s="36" t="s">
        <v>45</v>
      </c>
      <c r="D55" s="37"/>
      <c r="E55" s="37">
        <v>1</v>
      </c>
      <c r="F55" s="39"/>
      <c r="G55" s="40">
        <f>'Monthly Volumes'!O11</f>
        <v>1679.3833333333332</v>
      </c>
      <c r="H55" s="12">
        <v>0</v>
      </c>
      <c r="I55" s="6">
        <v>0</v>
      </c>
      <c r="J55" s="13">
        <f t="shared" si="15"/>
        <v>0</v>
      </c>
      <c r="K55" s="12">
        <v>0</v>
      </c>
      <c r="L55" s="6">
        <v>0</v>
      </c>
      <c r="M55" s="13">
        <f t="shared" si="16"/>
        <v>0</v>
      </c>
      <c r="N55" s="19"/>
      <c r="O55" s="13">
        <f t="shared" si="17"/>
        <v>0</v>
      </c>
      <c r="P55" s="3">
        <f>'[5]4. 2003 Data &amp; 2005 PILs'!$B$84</f>
        <v>0.09368956433936645</v>
      </c>
      <c r="Q55" s="13">
        <f t="shared" si="18"/>
        <v>157.34069285879303</v>
      </c>
      <c r="R55" s="13">
        <f t="shared" si="19"/>
        <v>157.34069285879303</v>
      </c>
    </row>
    <row r="56" spans="1:18" ht="15">
      <c r="A56" s="26" t="s">
        <v>2</v>
      </c>
      <c r="B56" s="53">
        <v>2005</v>
      </c>
      <c r="C56" s="36" t="s">
        <v>46</v>
      </c>
      <c r="D56" s="37"/>
      <c r="E56" s="37">
        <v>1</v>
      </c>
      <c r="F56" s="39"/>
      <c r="G56" s="40">
        <f>'Monthly Volumes'!O12</f>
        <v>1679.3833333333332</v>
      </c>
      <c r="H56" s="12">
        <v>0</v>
      </c>
      <c r="I56" s="6">
        <v>0</v>
      </c>
      <c r="J56" s="13">
        <f t="shared" si="15"/>
        <v>0</v>
      </c>
      <c r="K56" s="12">
        <v>0</v>
      </c>
      <c r="L56" s="6">
        <v>0</v>
      </c>
      <c r="M56" s="13">
        <f t="shared" si="16"/>
        <v>0</v>
      </c>
      <c r="N56" s="19"/>
      <c r="O56" s="13">
        <f t="shared" si="17"/>
        <v>0</v>
      </c>
      <c r="P56" s="3">
        <f>'[5]4. 2003 Data &amp; 2005 PILs'!$B$84</f>
        <v>0.09368956433936645</v>
      </c>
      <c r="Q56" s="13">
        <f t="shared" si="18"/>
        <v>157.34069285879303</v>
      </c>
      <c r="R56" s="13">
        <f t="shared" si="19"/>
        <v>157.34069285879303</v>
      </c>
    </row>
    <row r="57" spans="1:18" ht="15">
      <c r="A57" s="26" t="s">
        <v>2</v>
      </c>
      <c r="B57" s="53">
        <v>2005</v>
      </c>
      <c r="C57" s="36" t="s">
        <v>47</v>
      </c>
      <c r="D57" s="37"/>
      <c r="E57" s="37">
        <v>1</v>
      </c>
      <c r="F57" s="39"/>
      <c r="G57" s="40">
        <f>'Monthly Volumes'!O13</f>
        <v>1679.3833333333332</v>
      </c>
      <c r="H57" s="12">
        <v>0</v>
      </c>
      <c r="I57" s="6">
        <v>0</v>
      </c>
      <c r="J57" s="13">
        <f t="shared" si="15"/>
        <v>0</v>
      </c>
      <c r="K57" s="12">
        <v>0</v>
      </c>
      <c r="L57" s="6">
        <v>0</v>
      </c>
      <c r="M57" s="13">
        <f t="shared" si="16"/>
        <v>0</v>
      </c>
      <c r="N57" s="19"/>
      <c r="O57" s="13">
        <f t="shared" si="17"/>
        <v>0</v>
      </c>
      <c r="P57" s="3">
        <f>'[5]4. 2003 Data &amp; 2005 PILs'!$B$84</f>
        <v>0.09368956433936645</v>
      </c>
      <c r="Q57" s="13">
        <f t="shared" si="18"/>
        <v>157.34069285879303</v>
      </c>
      <c r="R57" s="13">
        <f t="shared" si="19"/>
        <v>157.34069285879303</v>
      </c>
    </row>
    <row r="58" spans="1:18" ht="15">
      <c r="A58" s="26" t="s">
        <v>2</v>
      </c>
      <c r="B58" s="53">
        <v>2005</v>
      </c>
      <c r="C58" s="36" t="s">
        <v>48</v>
      </c>
      <c r="D58" s="37"/>
      <c r="E58" s="37">
        <v>1</v>
      </c>
      <c r="F58" s="39"/>
      <c r="G58" s="40">
        <f>'Monthly Volumes'!O14</f>
        <v>1679.3833333333332</v>
      </c>
      <c r="H58" s="12">
        <v>0</v>
      </c>
      <c r="I58" s="6">
        <v>0</v>
      </c>
      <c r="J58" s="13">
        <f t="shared" si="15"/>
        <v>0</v>
      </c>
      <c r="K58" s="12">
        <v>0</v>
      </c>
      <c r="L58" s="6">
        <v>0</v>
      </c>
      <c r="M58" s="13">
        <f t="shared" si="16"/>
        <v>0</v>
      </c>
      <c r="N58" s="19"/>
      <c r="O58" s="13">
        <f t="shared" si="17"/>
        <v>0</v>
      </c>
      <c r="P58" s="3">
        <f>'[5]4. 2003 Data &amp; 2005 PILs'!$B$84</f>
        <v>0.09368956433936645</v>
      </c>
      <c r="Q58" s="13">
        <f t="shared" si="18"/>
        <v>157.34069285879303</v>
      </c>
      <c r="R58" s="13">
        <f t="shared" si="19"/>
        <v>157.34069285879303</v>
      </c>
    </row>
    <row r="59" spans="1:18" ht="15">
      <c r="A59" s="26" t="s">
        <v>2</v>
      </c>
      <c r="B59" s="53">
        <v>2005</v>
      </c>
      <c r="C59" s="36" t="s">
        <v>49</v>
      </c>
      <c r="D59" s="37"/>
      <c r="E59" s="37">
        <v>1</v>
      </c>
      <c r="F59" s="39"/>
      <c r="G59" s="40">
        <f>'Monthly Volumes'!O15</f>
        <v>1679.3833333333332</v>
      </c>
      <c r="H59" s="12">
        <v>0</v>
      </c>
      <c r="I59" s="6">
        <v>0</v>
      </c>
      <c r="J59" s="13">
        <f t="shared" si="15"/>
        <v>0</v>
      </c>
      <c r="K59" s="12">
        <v>0</v>
      </c>
      <c r="L59" s="6">
        <v>0</v>
      </c>
      <c r="M59" s="13">
        <f t="shared" si="16"/>
        <v>0</v>
      </c>
      <c r="N59" s="19"/>
      <c r="O59" s="13">
        <f t="shared" si="17"/>
        <v>0</v>
      </c>
      <c r="P59" s="3">
        <f>'[5]4. 2003 Data &amp; 2005 PILs'!$B$84</f>
        <v>0.09368956433936645</v>
      </c>
      <c r="Q59" s="13">
        <f t="shared" si="18"/>
        <v>157.34069285879303</v>
      </c>
      <c r="R59" s="13">
        <f t="shared" si="19"/>
        <v>157.34069285879303</v>
      </c>
    </row>
    <row r="60" spans="1:18" ht="16.5" customHeight="1" thickBot="1">
      <c r="A60" s="26"/>
      <c r="B60" s="53"/>
      <c r="C60" s="36"/>
      <c r="D60" s="37"/>
      <c r="E60" s="37"/>
      <c r="F60" s="39"/>
      <c r="G60" s="40"/>
      <c r="H60" s="12"/>
      <c r="I60" s="6"/>
      <c r="J60" s="13"/>
      <c r="K60" s="12"/>
      <c r="L60" s="6"/>
      <c r="M60" s="13"/>
      <c r="N60" s="19"/>
      <c r="O60" s="13"/>
      <c r="P60" s="3"/>
      <c r="Q60" s="13"/>
      <c r="R60" s="13"/>
    </row>
    <row r="61" spans="1:18" ht="15.75" thickBot="1">
      <c r="A61" s="55" t="s">
        <v>61</v>
      </c>
      <c r="B61" s="56"/>
      <c r="C61" s="57"/>
      <c r="D61" s="58">
        <f>SUM(D48:D60)</f>
        <v>0</v>
      </c>
      <c r="E61" s="58"/>
      <c r="F61" s="58">
        <f>SUM(F48:F60)</f>
        <v>0</v>
      </c>
      <c r="G61" s="59">
        <f>SUM(G48:G60)</f>
        <v>20152.6</v>
      </c>
      <c r="H61" s="60"/>
      <c r="I61" s="61"/>
      <c r="J61" s="62">
        <f>SUM(J48:J60)</f>
        <v>0</v>
      </c>
      <c r="K61" s="60"/>
      <c r="L61" s="61"/>
      <c r="M61" s="62">
        <f>SUM(M48:M60)</f>
        <v>0</v>
      </c>
      <c r="N61" s="63"/>
      <c r="O61" s="62">
        <f>SUM(O48:O60)</f>
        <v>323.8558422769779</v>
      </c>
      <c r="P61" s="63"/>
      <c r="Q61" s="62">
        <f>SUM(Q48:Q60)</f>
        <v>1416.0662357291376</v>
      </c>
      <c r="R61" s="62">
        <f>SUM(R48:R60)</f>
        <v>1739.9220780061155</v>
      </c>
    </row>
    <row r="62" spans="1:18" ht="15">
      <c r="A62" s="26"/>
      <c r="B62" s="53"/>
      <c r="C62" s="36"/>
      <c r="D62" s="37"/>
      <c r="E62" s="37"/>
      <c r="F62" s="39"/>
      <c r="G62" s="40"/>
      <c r="H62" s="12"/>
      <c r="I62" s="6"/>
      <c r="J62" s="13"/>
      <c r="K62" s="12"/>
      <c r="L62" s="6"/>
      <c r="M62" s="13"/>
      <c r="N62" s="19"/>
      <c r="O62" s="13"/>
      <c r="P62" s="19"/>
      <c r="Q62" s="13"/>
      <c r="R62" s="13"/>
    </row>
    <row r="63" spans="1:18" ht="15">
      <c r="A63" s="26" t="str">
        <f>'2004 PILS Recoveries'!A63</f>
        <v>Intermediate</v>
      </c>
      <c r="B63" s="53">
        <v>2005</v>
      </c>
      <c r="C63" s="36" t="s">
        <v>39</v>
      </c>
      <c r="D63" s="37"/>
      <c r="E63" s="37">
        <v>1</v>
      </c>
      <c r="F63" s="39"/>
      <c r="G63" s="40">
        <f>'Monthly Volumes'!O22</f>
        <v>2824.691666666667</v>
      </c>
      <c r="H63" s="12">
        <v>0</v>
      </c>
      <c r="I63" s="6">
        <v>0</v>
      </c>
      <c r="J63" s="13">
        <f aca="true" t="shared" si="20" ref="J63:J74">D63*E63*H63+(F63+G63)*I63</f>
        <v>0</v>
      </c>
      <c r="K63" s="12">
        <v>0</v>
      </c>
      <c r="L63" s="6">
        <v>0</v>
      </c>
      <c r="M63" s="13">
        <f aca="true" t="shared" si="21" ref="M63:M74">D63*E63*K63+(F63+G63)*L63</f>
        <v>0</v>
      </c>
      <c r="N63" s="19">
        <f>'2004 PILS Recoveries'!N72</f>
        <v>0.028078706040085607</v>
      </c>
      <c r="O63" s="13">
        <f aca="true" t="shared" si="22" ref="O63:O74">(F63+G63)*N63</f>
        <v>79.31368696221283</v>
      </c>
      <c r="P63" s="19">
        <v>0</v>
      </c>
      <c r="Q63" s="13">
        <f aca="true" t="shared" si="23" ref="Q63:Q74">(F63+G63)*P63</f>
        <v>0</v>
      </c>
      <c r="R63" s="13">
        <f aca="true" t="shared" si="24" ref="R63:R74">J63+M63+O63+Q63</f>
        <v>79.31368696221283</v>
      </c>
    </row>
    <row r="64" spans="1:18" ht="15">
      <c r="A64" s="26" t="str">
        <f>'2004 PILS Recoveries'!A64</f>
        <v>Intermediate</v>
      </c>
      <c r="B64" s="53">
        <v>2005</v>
      </c>
      <c r="C64" s="36" t="s">
        <v>40</v>
      </c>
      <c r="D64" s="37"/>
      <c r="E64" s="37">
        <v>1</v>
      </c>
      <c r="F64" s="39"/>
      <c r="G64" s="40">
        <f>'Monthly Volumes'!O23</f>
        <v>2824.691666666667</v>
      </c>
      <c r="H64" s="12">
        <v>0</v>
      </c>
      <c r="I64" s="6">
        <v>0</v>
      </c>
      <c r="J64" s="13">
        <f t="shared" si="20"/>
        <v>0</v>
      </c>
      <c r="K64" s="12">
        <v>0</v>
      </c>
      <c r="L64" s="6">
        <v>0</v>
      </c>
      <c r="M64" s="13">
        <f t="shared" si="21"/>
        <v>0</v>
      </c>
      <c r="N64" s="19">
        <f>'2004 PILS Recoveries'!N73</f>
        <v>0.028078706040085607</v>
      </c>
      <c r="O64" s="13">
        <f t="shared" si="22"/>
        <v>79.31368696221283</v>
      </c>
      <c r="P64" s="19">
        <v>0</v>
      </c>
      <c r="Q64" s="13">
        <f t="shared" si="23"/>
        <v>0</v>
      </c>
      <c r="R64" s="13">
        <f t="shared" si="24"/>
        <v>79.31368696221283</v>
      </c>
    </row>
    <row r="65" spans="1:18" ht="15">
      <c r="A65" s="26" t="str">
        <f>'2004 PILS Recoveries'!A65</f>
        <v>Intermediate</v>
      </c>
      <c r="B65" s="53">
        <v>2005</v>
      </c>
      <c r="C65" s="36" t="s">
        <v>41</v>
      </c>
      <c r="D65" s="37"/>
      <c r="E65" s="37">
        <v>1</v>
      </c>
      <c r="F65" s="39"/>
      <c r="G65" s="40">
        <f>'Monthly Volumes'!O24</f>
        <v>2824.691666666667</v>
      </c>
      <c r="H65" s="12">
        <v>0</v>
      </c>
      <c r="I65" s="6">
        <v>0</v>
      </c>
      <c r="J65" s="13">
        <f t="shared" si="20"/>
        <v>0</v>
      </c>
      <c r="K65" s="12">
        <v>0</v>
      </c>
      <c r="L65" s="6">
        <v>0</v>
      </c>
      <c r="M65" s="13">
        <f t="shared" si="21"/>
        <v>0</v>
      </c>
      <c r="N65" s="19">
        <f>'2004 PILS Recoveries'!N74</f>
        <v>0.028078706040085607</v>
      </c>
      <c r="O65" s="13">
        <f t="shared" si="22"/>
        <v>79.31368696221283</v>
      </c>
      <c r="P65" s="19">
        <v>0</v>
      </c>
      <c r="Q65" s="13">
        <f t="shared" si="23"/>
        <v>0</v>
      </c>
      <c r="R65" s="13">
        <f t="shared" si="24"/>
        <v>79.31368696221283</v>
      </c>
    </row>
    <row r="66" spans="1:18" ht="15">
      <c r="A66" s="26" t="str">
        <f>'2004 PILS Recoveries'!A66</f>
        <v>Intermediate</v>
      </c>
      <c r="B66" s="53">
        <v>2005</v>
      </c>
      <c r="C66" s="36" t="s">
        <v>42</v>
      </c>
      <c r="D66" s="37"/>
      <c r="E66" s="37">
        <v>1</v>
      </c>
      <c r="F66" s="39"/>
      <c r="G66" s="40">
        <f>'Monthly Volumes'!O25</f>
        <v>2824.691666666667</v>
      </c>
      <c r="H66" s="12">
        <v>0</v>
      </c>
      <c r="I66" s="6">
        <v>0</v>
      </c>
      <c r="J66" s="13">
        <f t="shared" si="20"/>
        <v>0</v>
      </c>
      <c r="K66" s="12">
        <v>0</v>
      </c>
      <c r="L66" s="6">
        <v>0</v>
      </c>
      <c r="M66" s="13">
        <f t="shared" si="21"/>
        <v>0</v>
      </c>
      <c r="N66" s="19"/>
      <c r="O66" s="13">
        <f t="shared" si="22"/>
        <v>0</v>
      </c>
      <c r="P66" s="5">
        <f>'[5]4. 2003 Data &amp; 2005 PILs'!$B$118</f>
        <v>0.0468565519128949</v>
      </c>
      <c r="Q66" s="13">
        <f t="shared" si="23"/>
        <v>132.3553117170883</v>
      </c>
      <c r="R66" s="13">
        <f t="shared" si="24"/>
        <v>132.3553117170883</v>
      </c>
    </row>
    <row r="67" spans="1:18" ht="15">
      <c r="A67" s="26" t="str">
        <f>'2004 PILS Recoveries'!A67</f>
        <v>Intermediate</v>
      </c>
      <c r="B67" s="53">
        <v>2005</v>
      </c>
      <c r="C67" s="36" t="s">
        <v>35</v>
      </c>
      <c r="D67" s="37"/>
      <c r="E67" s="37">
        <v>1</v>
      </c>
      <c r="F67" s="39"/>
      <c r="G67" s="40">
        <f>'Monthly Volumes'!O26</f>
        <v>2824.691666666667</v>
      </c>
      <c r="H67" s="12">
        <v>0</v>
      </c>
      <c r="I67" s="6">
        <v>0</v>
      </c>
      <c r="J67" s="13">
        <f t="shared" si="20"/>
        <v>0</v>
      </c>
      <c r="K67" s="12">
        <v>0</v>
      </c>
      <c r="L67" s="6">
        <v>0</v>
      </c>
      <c r="M67" s="13">
        <f t="shared" si="21"/>
        <v>0</v>
      </c>
      <c r="N67" s="19"/>
      <c r="O67" s="13">
        <f t="shared" si="22"/>
        <v>0</v>
      </c>
      <c r="P67" s="5">
        <f>'[5]4. 2003 Data &amp; 2005 PILs'!$B$118</f>
        <v>0.0468565519128949</v>
      </c>
      <c r="Q67" s="13">
        <f t="shared" si="23"/>
        <v>132.3553117170883</v>
      </c>
      <c r="R67" s="13">
        <f t="shared" si="24"/>
        <v>132.3553117170883</v>
      </c>
    </row>
    <row r="68" spans="1:18" ht="15">
      <c r="A68" s="26" t="str">
        <f>'2004 PILS Recoveries'!A68</f>
        <v>Intermediate</v>
      </c>
      <c r="B68" s="53">
        <v>2005</v>
      </c>
      <c r="C68" s="36" t="s">
        <v>43</v>
      </c>
      <c r="D68" s="37"/>
      <c r="E68" s="37">
        <v>1</v>
      </c>
      <c r="F68" s="39"/>
      <c r="G68" s="40">
        <f>'Monthly Volumes'!O27</f>
        <v>2824.691666666667</v>
      </c>
      <c r="H68" s="12">
        <v>0</v>
      </c>
      <c r="I68" s="6">
        <v>0</v>
      </c>
      <c r="J68" s="13">
        <f t="shared" si="20"/>
        <v>0</v>
      </c>
      <c r="K68" s="12">
        <v>0</v>
      </c>
      <c r="L68" s="6">
        <v>0</v>
      </c>
      <c r="M68" s="13">
        <f t="shared" si="21"/>
        <v>0</v>
      </c>
      <c r="N68" s="19"/>
      <c r="O68" s="13">
        <f t="shared" si="22"/>
        <v>0</v>
      </c>
      <c r="P68" s="5">
        <f>'[5]4. 2003 Data &amp; 2005 PILs'!$B$118</f>
        <v>0.0468565519128949</v>
      </c>
      <c r="Q68" s="13">
        <f t="shared" si="23"/>
        <v>132.3553117170883</v>
      </c>
      <c r="R68" s="13">
        <f t="shared" si="24"/>
        <v>132.3553117170883</v>
      </c>
    </row>
    <row r="69" spans="1:18" ht="15">
      <c r="A69" s="26" t="str">
        <f>'2004 PILS Recoveries'!A69</f>
        <v>Intermediate</v>
      </c>
      <c r="B69" s="53">
        <v>2005</v>
      </c>
      <c r="C69" s="36" t="s">
        <v>44</v>
      </c>
      <c r="D69" s="37"/>
      <c r="E69" s="37">
        <v>1</v>
      </c>
      <c r="F69" s="39"/>
      <c r="G69" s="40">
        <f>'Monthly Volumes'!O28</f>
        <v>2824.691666666667</v>
      </c>
      <c r="H69" s="12">
        <v>0</v>
      </c>
      <c r="I69" s="6">
        <v>0</v>
      </c>
      <c r="J69" s="13">
        <f t="shared" si="20"/>
        <v>0</v>
      </c>
      <c r="K69" s="12">
        <v>0</v>
      </c>
      <c r="L69" s="6">
        <v>0</v>
      </c>
      <c r="M69" s="13">
        <f t="shared" si="21"/>
        <v>0</v>
      </c>
      <c r="N69" s="19"/>
      <c r="O69" s="13">
        <f t="shared" si="22"/>
        <v>0</v>
      </c>
      <c r="P69" s="5">
        <f>'[5]4. 2003 Data &amp; 2005 PILs'!$B$118</f>
        <v>0.0468565519128949</v>
      </c>
      <c r="Q69" s="13">
        <f t="shared" si="23"/>
        <v>132.3553117170883</v>
      </c>
      <c r="R69" s="13">
        <f t="shared" si="24"/>
        <v>132.3553117170883</v>
      </c>
    </row>
    <row r="70" spans="1:18" ht="15">
      <c r="A70" s="26" t="str">
        <f>'2004 PILS Recoveries'!A70</f>
        <v>Intermediate</v>
      </c>
      <c r="B70" s="53">
        <v>2005</v>
      </c>
      <c r="C70" s="36" t="s">
        <v>45</v>
      </c>
      <c r="D70" s="37"/>
      <c r="E70" s="37">
        <v>1</v>
      </c>
      <c r="F70" s="39"/>
      <c r="G70" s="40">
        <f>'Monthly Volumes'!O29</f>
        <v>2824.691666666667</v>
      </c>
      <c r="H70" s="12">
        <v>0</v>
      </c>
      <c r="I70" s="6">
        <v>0</v>
      </c>
      <c r="J70" s="13">
        <f t="shared" si="20"/>
        <v>0</v>
      </c>
      <c r="K70" s="12">
        <v>0</v>
      </c>
      <c r="L70" s="6">
        <v>0</v>
      </c>
      <c r="M70" s="13">
        <f t="shared" si="21"/>
        <v>0</v>
      </c>
      <c r="N70" s="19"/>
      <c r="O70" s="13">
        <f t="shared" si="22"/>
        <v>0</v>
      </c>
      <c r="P70" s="5">
        <f>'[5]4. 2003 Data &amp; 2005 PILs'!$B$118</f>
        <v>0.0468565519128949</v>
      </c>
      <c r="Q70" s="13">
        <f t="shared" si="23"/>
        <v>132.3553117170883</v>
      </c>
      <c r="R70" s="13">
        <f t="shared" si="24"/>
        <v>132.3553117170883</v>
      </c>
    </row>
    <row r="71" spans="1:18" ht="15">
      <c r="A71" s="26" t="str">
        <f>'2004 PILS Recoveries'!A71</f>
        <v>Intermediate</v>
      </c>
      <c r="B71" s="53">
        <v>2005</v>
      </c>
      <c r="C71" s="36" t="s">
        <v>46</v>
      </c>
      <c r="D71" s="37"/>
      <c r="E71" s="37">
        <v>1</v>
      </c>
      <c r="F71" s="39"/>
      <c r="G71" s="40">
        <f>'Monthly Volumes'!O30</f>
        <v>2824.691666666667</v>
      </c>
      <c r="H71" s="12">
        <v>0</v>
      </c>
      <c r="I71" s="6">
        <v>0</v>
      </c>
      <c r="J71" s="13">
        <f t="shared" si="20"/>
        <v>0</v>
      </c>
      <c r="K71" s="12">
        <v>0</v>
      </c>
      <c r="L71" s="6">
        <v>0</v>
      </c>
      <c r="M71" s="13">
        <f t="shared" si="21"/>
        <v>0</v>
      </c>
      <c r="N71" s="19"/>
      <c r="O71" s="13">
        <f t="shared" si="22"/>
        <v>0</v>
      </c>
      <c r="P71" s="5">
        <f>'[5]4. 2003 Data &amp; 2005 PILs'!$B$118</f>
        <v>0.0468565519128949</v>
      </c>
      <c r="Q71" s="13">
        <f t="shared" si="23"/>
        <v>132.3553117170883</v>
      </c>
      <c r="R71" s="13">
        <f t="shared" si="24"/>
        <v>132.3553117170883</v>
      </c>
    </row>
    <row r="72" spans="1:18" ht="15">
      <c r="A72" s="26" t="str">
        <f>'2004 PILS Recoveries'!A72</f>
        <v>Intermediate</v>
      </c>
      <c r="B72" s="53">
        <v>2005</v>
      </c>
      <c r="C72" s="36" t="s">
        <v>47</v>
      </c>
      <c r="D72" s="37"/>
      <c r="E72" s="37">
        <v>1</v>
      </c>
      <c r="F72" s="39"/>
      <c r="G72" s="40">
        <f>'Monthly Volumes'!O31</f>
        <v>2824.691666666667</v>
      </c>
      <c r="H72" s="12">
        <v>0</v>
      </c>
      <c r="I72" s="6">
        <v>0</v>
      </c>
      <c r="J72" s="13">
        <f t="shared" si="20"/>
        <v>0</v>
      </c>
      <c r="K72" s="12">
        <v>0</v>
      </c>
      <c r="L72" s="6">
        <v>0</v>
      </c>
      <c r="M72" s="13">
        <f t="shared" si="21"/>
        <v>0</v>
      </c>
      <c r="N72" s="19"/>
      <c r="O72" s="13">
        <f t="shared" si="22"/>
        <v>0</v>
      </c>
      <c r="P72" s="5">
        <f>'[5]4. 2003 Data &amp; 2005 PILs'!$B$118</f>
        <v>0.0468565519128949</v>
      </c>
      <c r="Q72" s="13">
        <f t="shared" si="23"/>
        <v>132.3553117170883</v>
      </c>
      <c r="R72" s="13">
        <f t="shared" si="24"/>
        <v>132.3553117170883</v>
      </c>
    </row>
    <row r="73" spans="1:18" ht="15">
      <c r="A73" s="26" t="str">
        <f>'2004 PILS Recoveries'!A73</f>
        <v>Intermediate</v>
      </c>
      <c r="B73" s="53">
        <v>2005</v>
      </c>
      <c r="C73" s="36" t="s">
        <v>48</v>
      </c>
      <c r="D73" s="37"/>
      <c r="E73" s="37">
        <v>1</v>
      </c>
      <c r="F73" s="39"/>
      <c r="G73" s="40">
        <f>'Monthly Volumes'!O32</f>
        <v>2824.691666666667</v>
      </c>
      <c r="H73" s="12">
        <v>0</v>
      </c>
      <c r="I73" s="6">
        <v>0</v>
      </c>
      <c r="J73" s="13">
        <f t="shared" si="20"/>
        <v>0</v>
      </c>
      <c r="K73" s="12">
        <v>0</v>
      </c>
      <c r="L73" s="6">
        <v>0</v>
      </c>
      <c r="M73" s="13">
        <f t="shared" si="21"/>
        <v>0</v>
      </c>
      <c r="N73" s="19"/>
      <c r="O73" s="13">
        <f t="shared" si="22"/>
        <v>0</v>
      </c>
      <c r="P73" s="5">
        <f>'[5]4. 2003 Data &amp; 2005 PILs'!$B$118</f>
        <v>0.0468565519128949</v>
      </c>
      <c r="Q73" s="13">
        <f t="shared" si="23"/>
        <v>132.3553117170883</v>
      </c>
      <c r="R73" s="13">
        <f t="shared" si="24"/>
        <v>132.3553117170883</v>
      </c>
    </row>
    <row r="74" spans="1:18" ht="15">
      <c r="A74" s="26" t="str">
        <f>'2004 PILS Recoveries'!A74</f>
        <v>Intermediate</v>
      </c>
      <c r="B74" s="53">
        <v>2005</v>
      </c>
      <c r="C74" s="36" t="s">
        <v>49</v>
      </c>
      <c r="D74" s="37"/>
      <c r="E74" s="37">
        <v>1</v>
      </c>
      <c r="F74" s="39"/>
      <c r="G74" s="40">
        <f>'Monthly Volumes'!O33</f>
        <v>2824.691666666667</v>
      </c>
      <c r="H74" s="12">
        <v>0</v>
      </c>
      <c r="I74" s="6">
        <v>0</v>
      </c>
      <c r="J74" s="13">
        <f t="shared" si="20"/>
        <v>0</v>
      </c>
      <c r="K74" s="12">
        <v>0</v>
      </c>
      <c r="L74" s="6">
        <v>0</v>
      </c>
      <c r="M74" s="13">
        <f t="shared" si="21"/>
        <v>0</v>
      </c>
      <c r="N74" s="19"/>
      <c r="O74" s="13">
        <f t="shared" si="22"/>
        <v>0</v>
      </c>
      <c r="P74" s="5">
        <f>'[5]4. 2003 Data &amp; 2005 PILs'!$B$118</f>
        <v>0.0468565519128949</v>
      </c>
      <c r="Q74" s="13">
        <f t="shared" si="23"/>
        <v>132.3553117170883</v>
      </c>
      <c r="R74" s="13">
        <f t="shared" si="24"/>
        <v>132.3553117170883</v>
      </c>
    </row>
    <row r="75" spans="1:18" ht="15.75" thickBot="1">
      <c r="A75" s="26"/>
      <c r="B75" s="53"/>
      <c r="C75" s="36"/>
      <c r="D75" s="37"/>
      <c r="E75" s="37"/>
      <c r="F75" s="39"/>
      <c r="G75" s="40"/>
      <c r="H75" s="12"/>
      <c r="I75" s="6"/>
      <c r="J75" s="13"/>
      <c r="K75" s="12"/>
      <c r="L75" s="6"/>
      <c r="M75" s="13"/>
      <c r="N75" s="19"/>
      <c r="O75" s="13"/>
      <c r="P75" s="5"/>
      <c r="Q75" s="13"/>
      <c r="R75" s="13"/>
    </row>
    <row r="76" spans="1:18" ht="15.75" thickBot="1">
      <c r="A76" s="55" t="s">
        <v>62</v>
      </c>
      <c r="B76" s="56"/>
      <c r="C76" s="57"/>
      <c r="D76" s="58">
        <f>SUM(D63:D75)</f>
        <v>0</v>
      </c>
      <c r="E76" s="58"/>
      <c r="F76" s="58">
        <f>SUM(F63:F75)</f>
        <v>0</v>
      </c>
      <c r="G76" s="59">
        <f>SUM(G63:G75)</f>
        <v>33896.299999999996</v>
      </c>
      <c r="H76" s="60"/>
      <c r="I76" s="61"/>
      <c r="J76" s="62">
        <f>SUM(J63:J75)</f>
        <v>0</v>
      </c>
      <c r="K76" s="60"/>
      <c r="L76" s="61"/>
      <c r="M76" s="62">
        <f>SUM(M63:M75)</f>
        <v>0</v>
      </c>
      <c r="N76" s="63"/>
      <c r="O76" s="62">
        <f>SUM(O63:O75)</f>
        <v>237.94106088663847</v>
      </c>
      <c r="P76" s="63"/>
      <c r="Q76" s="62">
        <f>SUM(Q63:Q75)</f>
        <v>1191.197805453795</v>
      </c>
      <c r="R76" s="62">
        <f>SUM(R63:R75)</f>
        <v>1429.1388663404334</v>
      </c>
    </row>
    <row r="77" spans="1:18" ht="15">
      <c r="A77" s="26"/>
      <c r="B77" s="53"/>
      <c r="C77" s="36"/>
      <c r="D77" s="37"/>
      <c r="E77" s="37"/>
      <c r="F77" s="39"/>
      <c r="G77" s="40"/>
      <c r="H77" s="14"/>
      <c r="I77" s="6"/>
      <c r="J77" s="13"/>
      <c r="K77" s="14"/>
      <c r="L77" s="6"/>
      <c r="M77" s="13"/>
      <c r="N77" s="19"/>
      <c r="O77" s="13"/>
      <c r="P77" s="19"/>
      <c r="Q77" s="13"/>
      <c r="R77" s="13"/>
    </row>
    <row r="78" spans="1:18" ht="15">
      <c r="A78" s="26" t="s">
        <v>4</v>
      </c>
      <c r="B78" s="53">
        <v>2005</v>
      </c>
      <c r="C78" s="36" t="s">
        <v>39</v>
      </c>
      <c r="D78" s="37"/>
      <c r="E78" s="37">
        <v>1</v>
      </c>
      <c r="F78" s="39"/>
      <c r="G78" s="40">
        <f>'Monthly Volumes'!O58</f>
        <v>0.25</v>
      </c>
      <c r="H78" s="12">
        <v>0</v>
      </c>
      <c r="I78" s="6">
        <v>0</v>
      </c>
      <c r="J78" s="13">
        <f aca="true" t="shared" si="25" ref="J78:J89">D78*E78*H78+(F78+G78)*I78</f>
        <v>0</v>
      </c>
      <c r="K78" s="12">
        <v>0</v>
      </c>
      <c r="L78" s="6">
        <v>0</v>
      </c>
      <c r="M78" s="13">
        <f aca="true" t="shared" si="26" ref="M78:M89">D78*E78*K78+(F78+G78)*L78</f>
        <v>0</v>
      </c>
      <c r="N78" s="19">
        <f>'2004 PILS Recoveries'!N87</f>
        <v>0</v>
      </c>
      <c r="O78" s="13">
        <f aca="true" t="shared" si="27" ref="O78:O89">(F78+G78)*N78</f>
        <v>0</v>
      </c>
      <c r="P78" s="19">
        <v>0</v>
      </c>
      <c r="Q78" s="13">
        <f aca="true" t="shared" si="28" ref="Q78:Q89">(F78+G78)*P78</f>
        <v>0</v>
      </c>
      <c r="R78" s="13">
        <f aca="true" t="shared" si="29" ref="R78:R89">J78+M78+O78+Q78</f>
        <v>0</v>
      </c>
    </row>
    <row r="79" spans="1:18" ht="15">
      <c r="A79" s="26" t="s">
        <v>4</v>
      </c>
      <c r="B79" s="53">
        <v>2005</v>
      </c>
      <c r="C79" s="36" t="s">
        <v>40</v>
      </c>
      <c r="D79" s="37"/>
      <c r="E79" s="37">
        <v>1</v>
      </c>
      <c r="F79" s="39"/>
      <c r="G79" s="40">
        <f>'Monthly Volumes'!O59</f>
        <v>0.25</v>
      </c>
      <c r="H79" s="12">
        <v>0</v>
      </c>
      <c r="I79" s="6">
        <v>0</v>
      </c>
      <c r="J79" s="13">
        <f t="shared" si="25"/>
        <v>0</v>
      </c>
      <c r="K79" s="12">
        <v>0</v>
      </c>
      <c r="L79" s="6">
        <v>0</v>
      </c>
      <c r="M79" s="13">
        <f t="shared" si="26"/>
        <v>0</v>
      </c>
      <c r="N79" s="19">
        <f>'2004 PILS Recoveries'!N88</f>
        <v>0</v>
      </c>
      <c r="O79" s="13">
        <f t="shared" si="27"/>
        <v>0</v>
      </c>
      <c r="P79" s="19">
        <v>0</v>
      </c>
      <c r="Q79" s="13">
        <f t="shared" si="28"/>
        <v>0</v>
      </c>
      <c r="R79" s="13">
        <f t="shared" si="29"/>
        <v>0</v>
      </c>
    </row>
    <row r="80" spans="1:18" ht="15">
      <c r="A80" s="26" t="s">
        <v>4</v>
      </c>
      <c r="B80" s="53">
        <v>2005</v>
      </c>
      <c r="C80" s="36" t="s">
        <v>41</v>
      </c>
      <c r="D80" s="37"/>
      <c r="E80" s="37">
        <v>1</v>
      </c>
      <c r="F80" s="39"/>
      <c r="G80" s="40">
        <f>'Monthly Volumes'!O60</f>
        <v>0.25</v>
      </c>
      <c r="H80" s="12">
        <v>0</v>
      </c>
      <c r="I80" s="6">
        <v>0</v>
      </c>
      <c r="J80" s="13">
        <f t="shared" si="25"/>
        <v>0</v>
      </c>
      <c r="K80" s="12">
        <v>0</v>
      </c>
      <c r="L80" s="6">
        <v>0</v>
      </c>
      <c r="M80" s="13">
        <f t="shared" si="26"/>
        <v>0</v>
      </c>
      <c r="N80" s="19">
        <f>'2004 PILS Recoveries'!N89</f>
        <v>0</v>
      </c>
      <c r="O80" s="13">
        <f t="shared" si="27"/>
        <v>0</v>
      </c>
      <c r="P80" s="19">
        <v>0</v>
      </c>
      <c r="Q80" s="13">
        <f t="shared" si="28"/>
        <v>0</v>
      </c>
      <c r="R80" s="13">
        <f t="shared" si="29"/>
        <v>0</v>
      </c>
    </row>
    <row r="81" spans="1:18" ht="15">
      <c r="A81" s="26" t="s">
        <v>4</v>
      </c>
      <c r="B81" s="53">
        <v>2005</v>
      </c>
      <c r="C81" s="36" t="s">
        <v>42</v>
      </c>
      <c r="D81" s="37"/>
      <c r="E81" s="37">
        <v>1</v>
      </c>
      <c r="F81" s="39"/>
      <c r="G81" s="40">
        <f>'Monthly Volumes'!O61</f>
        <v>0.25</v>
      </c>
      <c r="H81" s="12">
        <v>0</v>
      </c>
      <c r="I81" s="6">
        <v>0</v>
      </c>
      <c r="J81" s="13">
        <f t="shared" si="25"/>
        <v>0</v>
      </c>
      <c r="K81" s="12">
        <v>0</v>
      </c>
      <c r="L81" s="6">
        <v>0</v>
      </c>
      <c r="M81" s="13">
        <f t="shared" si="26"/>
        <v>0</v>
      </c>
      <c r="N81" s="19"/>
      <c r="O81" s="13">
        <f t="shared" si="27"/>
        <v>0</v>
      </c>
      <c r="P81" s="19">
        <v>0</v>
      </c>
      <c r="Q81" s="13">
        <f t="shared" si="28"/>
        <v>0</v>
      </c>
      <c r="R81" s="13">
        <f t="shared" si="29"/>
        <v>0</v>
      </c>
    </row>
    <row r="82" spans="1:18" ht="15">
      <c r="A82" s="26" t="s">
        <v>4</v>
      </c>
      <c r="B82" s="53">
        <v>2005</v>
      </c>
      <c r="C82" s="36" t="s">
        <v>35</v>
      </c>
      <c r="D82" s="37"/>
      <c r="E82" s="37">
        <v>1</v>
      </c>
      <c r="F82" s="39"/>
      <c r="G82" s="40">
        <f>'Monthly Volumes'!O62</f>
        <v>0.25</v>
      </c>
      <c r="H82" s="12">
        <v>0</v>
      </c>
      <c r="I82" s="6">
        <v>0</v>
      </c>
      <c r="J82" s="13">
        <f t="shared" si="25"/>
        <v>0</v>
      </c>
      <c r="K82" s="12">
        <v>0</v>
      </c>
      <c r="L82" s="6">
        <v>0</v>
      </c>
      <c r="M82" s="13">
        <f t="shared" si="26"/>
        <v>0</v>
      </c>
      <c r="N82" s="19"/>
      <c r="O82" s="13">
        <f t="shared" si="27"/>
        <v>0</v>
      </c>
      <c r="P82" s="19">
        <v>0</v>
      </c>
      <c r="Q82" s="13">
        <f t="shared" si="28"/>
        <v>0</v>
      </c>
      <c r="R82" s="13">
        <f t="shared" si="29"/>
        <v>0</v>
      </c>
    </row>
    <row r="83" spans="1:18" ht="15">
      <c r="A83" s="26" t="s">
        <v>4</v>
      </c>
      <c r="B83" s="53">
        <v>2005</v>
      </c>
      <c r="C83" s="36" t="s">
        <v>43</v>
      </c>
      <c r="D83" s="37"/>
      <c r="E83" s="37">
        <v>1</v>
      </c>
      <c r="F83" s="39"/>
      <c r="G83" s="40">
        <f>'Monthly Volumes'!O63</f>
        <v>0.25</v>
      </c>
      <c r="H83" s="12">
        <v>0</v>
      </c>
      <c r="I83" s="6">
        <v>0</v>
      </c>
      <c r="J83" s="13">
        <f t="shared" si="25"/>
        <v>0</v>
      </c>
      <c r="K83" s="12">
        <v>0</v>
      </c>
      <c r="L83" s="6">
        <v>0</v>
      </c>
      <c r="M83" s="13">
        <f t="shared" si="26"/>
        <v>0</v>
      </c>
      <c r="N83" s="19"/>
      <c r="O83" s="13">
        <f t="shared" si="27"/>
        <v>0</v>
      </c>
      <c r="P83" s="19">
        <v>0</v>
      </c>
      <c r="Q83" s="13">
        <f t="shared" si="28"/>
        <v>0</v>
      </c>
      <c r="R83" s="13">
        <f t="shared" si="29"/>
        <v>0</v>
      </c>
    </row>
    <row r="84" spans="1:18" ht="15">
      <c r="A84" s="26" t="s">
        <v>4</v>
      </c>
      <c r="B84" s="53">
        <v>2005</v>
      </c>
      <c r="C84" s="36" t="s">
        <v>44</v>
      </c>
      <c r="D84" s="37"/>
      <c r="E84" s="37">
        <v>1</v>
      </c>
      <c r="F84" s="39"/>
      <c r="G84" s="40">
        <f>'Monthly Volumes'!O64</f>
        <v>0.25</v>
      </c>
      <c r="H84" s="12">
        <v>0</v>
      </c>
      <c r="I84" s="6">
        <v>0</v>
      </c>
      <c r="J84" s="13">
        <f t="shared" si="25"/>
        <v>0</v>
      </c>
      <c r="K84" s="12">
        <v>0</v>
      </c>
      <c r="L84" s="6">
        <v>0</v>
      </c>
      <c r="M84" s="13">
        <f t="shared" si="26"/>
        <v>0</v>
      </c>
      <c r="N84" s="19"/>
      <c r="O84" s="13">
        <f t="shared" si="27"/>
        <v>0</v>
      </c>
      <c r="P84" s="19">
        <v>0</v>
      </c>
      <c r="Q84" s="13">
        <f t="shared" si="28"/>
        <v>0</v>
      </c>
      <c r="R84" s="13">
        <f t="shared" si="29"/>
        <v>0</v>
      </c>
    </row>
    <row r="85" spans="1:18" ht="15">
      <c r="A85" s="26" t="s">
        <v>4</v>
      </c>
      <c r="B85" s="53">
        <v>2005</v>
      </c>
      <c r="C85" s="36" t="s">
        <v>45</v>
      </c>
      <c r="D85" s="37"/>
      <c r="E85" s="37">
        <v>1</v>
      </c>
      <c r="F85" s="39"/>
      <c r="G85" s="40">
        <f>'Monthly Volumes'!O65</f>
        <v>0.25</v>
      </c>
      <c r="H85" s="12">
        <v>0</v>
      </c>
      <c r="I85" s="6">
        <v>0</v>
      </c>
      <c r="J85" s="13">
        <f t="shared" si="25"/>
        <v>0</v>
      </c>
      <c r="K85" s="12">
        <v>0</v>
      </c>
      <c r="L85" s="6">
        <v>0</v>
      </c>
      <c r="M85" s="13">
        <f t="shared" si="26"/>
        <v>0</v>
      </c>
      <c r="N85" s="19"/>
      <c r="O85" s="13">
        <f t="shared" si="27"/>
        <v>0</v>
      </c>
      <c r="P85" s="19">
        <v>0</v>
      </c>
      <c r="Q85" s="13">
        <f t="shared" si="28"/>
        <v>0</v>
      </c>
      <c r="R85" s="13">
        <f t="shared" si="29"/>
        <v>0</v>
      </c>
    </row>
    <row r="86" spans="1:18" ht="15">
      <c r="A86" s="26" t="s">
        <v>4</v>
      </c>
      <c r="B86" s="53">
        <v>2005</v>
      </c>
      <c r="C86" s="36" t="s">
        <v>46</v>
      </c>
      <c r="D86" s="37"/>
      <c r="E86" s="37">
        <v>1</v>
      </c>
      <c r="F86" s="39"/>
      <c r="G86" s="40">
        <f>'Monthly Volumes'!O66</f>
        <v>0.25</v>
      </c>
      <c r="H86" s="12">
        <v>0</v>
      </c>
      <c r="I86" s="6">
        <v>0</v>
      </c>
      <c r="J86" s="13">
        <f t="shared" si="25"/>
        <v>0</v>
      </c>
      <c r="K86" s="12">
        <v>0</v>
      </c>
      <c r="L86" s="6">
        <v>0</v>
      </c>
      <c r="M86" s="13">
        <f t="shared" si="26"/>
        <v>0</v>
      </c>
      <c r="N86" s="19"/>
      <c r="O86" s="13">
        <f t="shared" si="27"/>
        <v>0</v>
      </c>
      <c r="P86" s="19">
        <v>0</v>
      </c>
      <c r="Q86" s="13">
        <f t="shared" si="28"/>
        <v>0</v>
      </c>
      <c r="R86" s="13">
        <f t="shared" si="29"/>
        <v>0</v>
      </c>
    </row>
    <row r="87" spans="1:18" ht="15">
      <c r="A87" s="26" t="s">
        <v>4</v>
      </c>
      <c r="B87" s="53">
        <v>2005</v>
      </c>
      <c r="C87" s="36" t="s">
        <v>47</v>
      </c>
      <c r="D87" s="37"/>
      <c r="E87" s="37">
        <v>1</v>
      </c>
      <c r="F87" s="39"/>
      <c r="G87" s="40">
        <f>'Monthly Volumes'!O67</f>
        <v>0.25</v>
      </c>
      <c r="H87" s="12">
        <v>0</v>
      </c>
      <c r="I87" s="6">
        <v>0</v>
      </c>
      <c r="J87" s="13">
        <f t="shared" si="25"/>
        <v>0</v>
      </c>
      <c r="K87" s="12">
        <v>0</v>
      </c>
      <c r="L87" s="6">
        <v>0</v>
      </c>
      <c r="M87" s="13">
        <f t="shared" si="26"/>
        <v>0</v>
      </c>
      <c r="N87" s="19"/>
      <c r="O87" s="13">
        <f t="shared" si="27"/>
        <v>0</v>
      </c>
      <c r="P87" s="19">
        <v>0</v>
      </c>
      <c r="Q87" s="13">
        <f t="shared" si="28"/>
        <v>0</v>
      </c>
      <c r="R87" s="13">
        <f t="shared" si="29"/>
        <v>0</v>
      </c>
    </row>
    <row r="88" spans="1:18" ht="15">
      <c r="A88" s="26" t="s">
        <v>4</v>
      </c>
      <c r="B88" s="53">
        <v>2005</v>
      </c>
      <c r="C88" s="36" t="s">
        <v>48</v>
      </c>
      <c r="D88" s="37"/>
      <c r="E88" s="37">
        <v>1</v>
      </c>
      <c r="F88" s="39"/>
      <c r="G88" s="40">
        <f>'Monthly Volumes'!O68</f>
        <v>0.25</v>
      </c>
      <c r="H88" s="12">
        <v>0</v>
      </c>
      <c r="I88" s="6">
        <v>0</v>
      </c>
      <c r="J88" s="13">
        <f t="shared" si="25"/>
        <v>0</v>
      </c>
      <c r="K88" s="12">
        <v>0</v>
      </c>
      <c r="L88" s="6">
        <v>0</v>
      </c>
      <c r="M88" s="13">
        <f t="shared" si="26"/>
        <v>0</v>
      </c>
      <c r="N88" s="19"/>
      <c r="O88" s="13">
        <f t="shared" si="27"/>
        <v>0</v>
      </c>
      <c r="P88" s="19">
        <v>0</v>
      </c>
      <c r="Q88" s="13">
        <f t="shared" si="28"/>
        <v>0</v>
      </c>
      <c r="R88" s="13">
        <f t="shared" si="29"/>
        <v>0</v>
      </c>
    </row>
    <row r="89" spans="1:18" ht="15">
      <c r="A89" s="26" t="s">
        <v>4</v>
      </c>
      <c r="B89" s="53">
        <v>2005</v>
      </c>
      <c r="C89" s="36" t="s">
        <v>49</v>
      </c>
      <c r="D89" s="37"/>
      <c r="E89" s="37">
        <v>1</v>
      </c>
      <c r="F89" s="39"/>
      <c r="G89" s="40">
        <f>'Monthly Volumes'!O69</f>
        <v>0.25</v>
      </c>
      <c r="H89" s="12">
        <v>0</v>
      </c>
      <c r="I89" s="6">
        <v>0</v>
      </c>
      <c r="J89" s="13">
        <f t="shared" si="25"/>
        <v>0</v>
      </c>
      <c r="K89" s="12">
        <v>0</v>
      </c>
      <c r="L89" s="6">
        <v>0</v>
      </c>
      <c r="M89" s="13">
        <f t="shared" si="26"/>
        <v>0</v>
      </c>
      <c r="N89" s="19"/>
      <c r="O89" s="13">
        <f t="shared" si="27"/>
        <v>0</v>
      </c>
      <c r="P89" s="19">
        <v>0</v>
      </c>
      <c r="Q89" s="13">
        <f t="shared" si="28"/>
        <v>0</v>
      </c>
      <c r="R89" s="13">
        <f t="shared" si="29"/>
        <v>0</v>
      </c>
    </row>
    <row r="90" spans="1:18" ht="15.75" thickBot="1">
      <c r="A90" s="26"/>
      <c r="B90" s="53"/>
      <c r="C90" s="36"/>
      <c r="D90" s="37"/>
      <c r="E90" s="37"/>
      <c r="F90" s="39"/>
      <c r="G90" s="40"/>
      <c r="H90" s="12"/>
      <c r="I90" s="6"/>
      <c r="J90" s="13"/>
      <c r="K90" s="12"/>
      <c r="L90" s="6"/>
      <c r="M90" s="13"/>
      <c r="N90" s="19"/>
      <c r="O90" s="13"/>
      <c r="P90" s="5"/>
      <c r="Q90" s="13"/>
      <c r="R90" s="13"/>
    </row>
    <row r="91" spans="1:18" ht="15.75" thickBot="1">
      <c r="A91" s="55" t="s">
        <v>63</v>
      </c>
      <c r="B91" s="56"/>
      <c r="C91" s="57"/>
      <c r="D91" s="58">
        <f>SUM(D78:D90)</f>
        <v>0</v>
      </c>
      <c r="E91" s="58"/>
      <c r="F91" s="58">
        <f>SUM(F78:F90)</f>
        <v>0</v>
      </c>
      <c r="G91" s="59">
        <f>SUM(G78:G90)</f>
        <v>3</v>
      </c>
      <c r="H91" s="60"/>
      <c r="I91" s="61"/>
      <c r="J91" s="62">
        <f>SUM(J78:J90)</f>
        <v>0</v>
      </c>
      <c r="K91" s="60"/>
      <c r="L91" s="61"/>
      <c r="M91" s="62">
        <f>SUM(M78:M90)</f>
        <v>0</v>
      </c>
      <c r="N91" s="63"/>
      <c r="O91" s="62">
        <f>SUM(O78:O90)</f>
        <v>0</v>
      </c>
      <c r="P91" s="63"/>
      <c r="Q91" s="62">
        <f>SUM(Q78:Q90)</f>
        <v>0</v>
      </c>
      <c r="R91" s="62">
        <f>SUM(R78:R90)</f>
        <v>0</v>
      </c>
    </row>
    <row r="92" spans="1:18" ht="15">
      <c r="A92" s="26"/>
      <c r="B92" s="53"/>
      <c r="C92" s="36"/>
      <c r="D92" s="37"/>
      <c r="E92" s="37"/>
      <c r="F92" s="39"/>
      <c r="G92" s="40"/>
      <c r="H92" s="14"/>
      <c r="I92" s="6"/>
      <c r="J92" s="13"/>
      <c r="K92" s="14"/>
      <c r="L92" s="6"/>
      <c r="M92" s="13"/>
      <c r="N92" s="19"/>
      <c r="O92" s="13"/>
      <c r="P92" s="19"/>
      <c r="Q92" s="13"/>
      <c r="R92" s="13"/>
    </row>
    <row r="93" spans="1:18" ht="15">
      <c r="A93" s="26" t="s">
        <v>5</v>
      </c>
      <c r="B93" s="53">
        <v>2005</v>
      </c>
      <c r="C93" s="36" t="s">
        <v>39</v>
      </c>
      <c r="D93" s="37">
        <f>'Customer Count'!I29</f>
        <v>617.5</v>
      </c>
      <c r="E93" s="37">
        <v>1</v>
      </c>
      <c r="F93" s="39"/>
      <c r="G93" s="40">
        <f>'Monthly Volumes'!O40</f>
        <v>125.95833333333333</v>
      </c>
      <c r="H93" s="12">
        <v>0</v>
      </c>
      <c r="I93" s="6">
        <v>0</v>
      </c>
      <c r="J93" s="13">
        <f aca="true" t="shared" si="30" ref="J93:J104">D93*E93*H93+(F93+G93)*I93</f>
        <v>0</v>
      </c>
      <c r="K93" s="12">
        <v>0</v>
      </c>
      <c r="L93" s="6">
        <v>0</v>
      </c>
      <c r="M93" s="13">
        <f aca="true" t="shared" si="31" ref="M93:M104">D93*E93*K93+(F93+G93)*L93</f>
        <v>0</v>
      </c>
      <c r="N93" s="19">
        <f>'2004 PILS Recoveries'!N102</f>
        <v>0.42894353255132145</v>
      </c>
      <c r="O93" s="13">
        <f aca="true" t="shared" si="32" ref="O93:O104">(F93+G93)*N93</f>
        <v>54.02901245427686</v>
      </c>
      <c r="P93" s="19">
        <v>0</v>
      </c>
      <c r="Q93" s="13">
        <f aca="true" t="shared" si="33" ref="Q93:Q104">(F93+G93)*P93</f>
        <v>0</v>
      </c>
      <c r="R93" s="13">
        <f aca="true" t="shared" si="34" ref="R93:R104">J93+M93+O93+Q93</f>
        <v>54.02901245427686</v>
      </c>
    </row>
    <row r="94" spans="1:18" ht="15">
      <c r="A94" s="26" t="s">
        <v>5</v>
      </c>
      <c r="B94" s="53">
        <v>2005</v>
      </c>
      <c r="C94" s="36" t="s">
        <v>40</v>
      </c>
      <c r="D94" s="37">
        <f>'Customer Count'!I30</f>
        <v>617.5</v>
      </c>
      <c r="E94" s="37">
        <v>1</v>
      </c>
      <c r="F94" s="39"/>
      <c r="G94" s="40">
        <f>'Monthly Volumes'!O41</f>
        <v>125.95833333333333</v>
      </c>
      <c r="H94" s="12">
        <v>0</v>
      </c>
      <c r="I94" s="6">
        <v>0</v>
      </c>
      <c r="J94" s="13">
        <f t="shared" si="30"/>
        <v>0</v>
      </c>
      <c r="K94" s="12">
        <v>0</v>
      </c>
      <c r="L94" s="6">
        <v>0</v>
      </c>
      <c r="M94" s="13">
        <f t="shared" si="31"/>
        <v>0</v>
      </c>
      <c r="N94" s="19">
        <f>'2004 PILS Recoveries'!N103</f>
        <v>0.42894353255132145</v>
      </c>
      <c r="O94" s="13">
        <f t="shared" si="32"/>
        <v>54.02901245427686</v>
      </c>
      <c r="P94" s="19">
        <v>0</v>
      </c>
      <c r="Q94" s="13">
        <f t="shared" si="33"/>
        <v>0</v>
      </c>
      <c r="R94" s="13">
        <f t="shared" si="34"/>
        <v>54.02901245427686</v>
      </c>
    </row>
    <row r="95" spans="1:18" ht="15">
      <c r="A95" s="26" t="s">
        <v>5</v>
      </c>
      <c r="B95" s="53">
        <v>2005</v>
      </c>
      <c r="C95" s="36" t="s">
        <v>41</v>
      </c>
      <c r="D95" s="37">
        <f>'Customer Count'!I31</f>
        <v>617.5</v>
      </c>
      <c r="E95" s="37">
        <v>1</v>
      </c>
      <c r="F95" s="39"/>
      <c r="G95" s="40">
        <f>'Monthly Volumes'!O42</f>
        <v>125.95833333333333</v>
      </c>
      <c r="H95" s="12">
        <v>0</v>
      </c>
      <c r="I95" s="6">
        <v>0</v>
      </c>
      <c r="J95" s="13">
        <f t="shared" si="30"/>
        <v>0</v>
      </c>
      <c r="K95" s="12">
        <v>0</v>
      </c>
      <c r="L95" s="6">
        <v>0</v>
      </c>
      <c r="M95" s="13">
        <f t="shared" si="31"/>
        <v>0</v>
      </c>
      <c r="N95" s="19">
        <f>'2004 PILS Recoveries'!N104</f>
        <v>0.42894353255132145</v>
      </c>
      <c r="O95" s="13">
        <f t="shared" si="32"/>
        <v>54.02901245427686</v>
      </c>
      <c r="P95" s="19">
        <v>0</v>
      </c>
      <c r="Q95" s="13">
        <f t="shared" si="33"/>
        <v>0</v>
      </c>
      <c r="R95" s="13">
        <f t="shared" si="34"/>
        <v>54.02901245427686</v>
      </c>
    </row>
    <row r="96" spans="1:18" ht="15">
      <c r="A96" s="26" t="s">
        <v>5</v>
      </c>
      <c r="B96" s="53">
        <v>2005</v>
      </c>
      <c r="C96" s="36" t="s">
        <v>42</v>
      </c>
      <c r="D96" s="37"/>
      <c r="E96" s="37">
        <v>1</v>
      </c>
      <c r="F96" s="39"/>
      <c r="G96" s="40">
        <f>'Monthly Volumes'!O43</f>
        <v>125.95833333333333</v>
      </c>
      <c r="H96" s="12">
        <v>0</v>
      </c>
      <c r="I96" s="6">
        <v>0</v>
      </c>
      <c r="J96" s="13">
        <f t="shared" si="30"/>
        <v>0</v>
      </c>
      <c r="K96" s="12">
        <v>0</v>
      </c>
      <c r="L96" s="6">
        <v>0</v>
      </c>
      <c r="M96" s="13">
        <f t="shared" si="31"/>
        <v>0</v>
      </c>
      <c r="N96" s="19"/>
      <c r="O96" s="13">
        <f t="shared" si="32"/>
        <v>0</v>
      </c>
      <c r="P96" s="5">
        <f>'[5]4. 2003 Data &amp; 2005 PILs'!$B$169</f>
        <v>0.618238873859083</v>
      </c>
      <c r="Q96" s="13">
        <f t="shared" si="33"/>
        <v>77.872338153167</v>
      </c>
      <c r="R96" s="13">
        <f t="shared" si="34"/>
        <v>77.872338153167</v>
      </c>
    </row>
    <row r="97" spans="1:18" ht="15">
      <c r="A97" s="26" t="s">
        <v>5</v>
      </c>
      <c r="B97" s="53">
        <v>2005</v>
      </c>
      <c r="C97" s="36" t="s">
        <v>35</v>
      </c>
      <c r="D97" s="37"/>
      <c r="E97" s="37">
        <v>1</v>
      </c>
      <c r="F97" s="39"/>
      <c r="G97" s="40">
        <f>'Monthly Volumes'!O44</f>
        <v>125.95833333333333</v>
      </c>
      <c r="H97" s="12">
        <v>0</v>
      </c>
      <c r="I97" s="6">
        <v>0</v>
      </c>
      <c r="J97" s="13">
        <f t="shared" si="30"/>
        <v>0</v>
      </c>
      <c r="K97" s="12">
        <v>0</v>
      </c>
      <c r="L97" s="6">
        <v>0</v>
      </c>
      <c r="M97" s="13">
        <f t="shared" si="31"/>
        <v>0</v>
      </c>
      <c r="N97" s="19"/>
      <c r="O97" s="13">
        <f t="shared" si="32"/>
        <v>0</v>
      </c>
      <c r="P97" s="5">
        <f>'[5]4. 2003 Data &amp; 2005 PILs'!$B$169</f>
        <v>0.618238873859083</v>
      </c>
      <c r="Q97" s="13">
        <f t="shared" si="33"/>
        <v>77.872338153167</v>
      </c>
      <c r="R97" s="13">
        <f t="shared" si="34"/>
        <v>77.872338153167</v>
      </c>
    </row>
    <row r="98" spans="1:18" ht="15">
      <c r="A98" s="26" t="s">
        <v>5</v>
      </c>
      <c r="B98" s="53">
        <v>2005</v>
      </c>
      <c r="C98" s="36" t="s">
        <v>43</v>
      </c>
      <c r="D98" s="37"/>
      <c r="E98" s="37">
        <v>1</v>
      </c>
      <c r="F98" s="39"/>
      <c r="G98" s="40">
        <f>'Monthly Volumes'!O45</f>
        <v>125.95833333333333</v>
      </c>
      <c r="H98" s="12">
        <v>0</v>
      </c>
      <c r="I98" s="6">
        <v>0</v>
      </c>
      <c r="J98" s="13">
        <f t="shared" si="30"/>
        <v>0</v>
      </c>
      <c r="K98" s="12">
        <v>0</v>
      </c>
      <c r="L98" s="6">
        <v>0</v>
      </c>
      <c r="M98" s="13">
        <f t="shared" si="31"/>
        <v>0</v>
      </c>
      <c r="N98" s="19"/>
      <c r="O98" s="13">
        <f t="shared" si="32"/>
        <v>0</v>
      </c>
      <c r="P98" s="5">
        <f>'[5]4. 2003 Data &amp; 2005 PILs'!$B$169</f>
        <v>0.618238873859083</v>
      </c>
      <c r="Q98" s="13">
        <f t="shared" si="33"/>
        <v>77.872338153167</v>
      </c>
      <c r="R98" s="13">
        <f t="shared" si="34"/>
        <v>77.872338153167</v>
      </c>
    </row>
    <row r="99" spans="1:18" ht="15">
      <c r="A99" s="26" t="s">
        <v>5</v>
      </c>
      <c r="B99" s="53">
        <v>2005</v>
      </c>
      <c r="C99" s="36" t="s">
        <v>44</v>
      </c>
      <c r="D99" s="37"/>
      <c r="E99" s="37">
        <v>1</v>
      </c>
      <c r="F99" s="39"/>
      <c r="G99" s="40">
        <f>'Monthly Volumes'!O46</f>
        <v>125.95833333333333</v>
      </c>
      <c r="H99" s="12">
        <v>0</v>
      </c>
      <c r="I99" s="6">
        <v>0</v>
      </c>
      <c r="J99" s="13">
        <f t="shared" si="30"/>
        <v>0</v>
      </c>
      <c r="K99" s="12">
        <v>0</v>
      </c>
      <c r="L99" s="6">
        <v>0</v>
      </c>
      <c r="M99" s="13">
        <f t="shared" si="31"/>
        <v>0</v>
      </c>
      <c r="N99" s="19"/>
      <c r="O99" s="13">
        <f t="shared" si="32"/>
        <v>0</v>
      </c>
      <c r="P99" s="5">
        <f>'[5]4. 2003 Data &amp; 2005 PILs'!$B$169</f>
        <v>0.618238873859083</v>
      </c>
      <c r="Q99" s="13">
        <f t="shared" si="33"/>
        <v>77.872338153167</v>
      </c>
      <c r="R99" s="13">
        <f t="shared" si="34"/>
        <v>77.872338153167</v>
      </c>
    </row>
    <row r="100" spans="1:18" ht="15">
      <c r="A100" s="26" t="s">
        <v>5</v>
      </c>
      <c r="B100" s="53">
        <v>2005</v>
      </c>
      <c r="C100" s="36" t="s">
        <v>45</v>
      </c>
      <c r="D100" s="37"/>
      <c r="E100" s="37">
        <v>1</v>
      </c>
      <c r="F100" s="39"/>
      <c r="G100" s="40">
        <f>'Monthly Volumes'!O47</f>
        <v>125.95833333333333</v>
      </c>
      <c r="H100" s="12">
        <v>0</v>
      </c>
      <c r="I100" s="6">
        <v>0</v>
      </c>
      <c r="J100" s="13">
        <f t="shared" si="30"/>
        <v>0</v>
      </c>
      <c r="K100" s="12">
        <v>0</v>
      </c>
      <c r="L100" s="6">
        <v>0</v>
      </c>
      <c r="M100" s="13">
        <f t="shared" si="31"/>
        <v>0</v>
      </c>
      <c r="N100" s="19"/>
      <c r="O100" s="13">
        <f t="shared" si="32"/>
        <v>0</v>
      </c>
      <c r="P100" s="5">
        <f>'[5]4. 2003 Data &amp; 2005 PILs'!$B$169</f>
        <v>0.618238873859083</v>
      </c>
      <c r="Q100" s="13">
        <f t="shared" si="33"/>
        <v>77.872338153167</v>
      </c>
      <c r="R100" s="13">
        <f t="shared" si="34"/>
        <v>77.872338153167</v>
      </c>
    </row>
    <row r="101" spans="1:18" ht="15">
      <c r="A101" s="26" t="s">
        <v>5</v>
      </c>
      <c r="B101" s="53">
        <v>2005</v>
      </c>
      <c r="C101" s="36" t="s">
        <v>46</v>
      </c>
      <c r="D101" s="37"/>
      <c r="E101" s="37">
        <v>1</v>
      </c>
      <c r="F101" s="39"/>
      <c r="G101" s="40">
        <f>'Monthly Volumes'!O48</f>
        <v>125.95833333333333</v>
      </c>
      <c r="H101" s="12">
        <v>0</v>
      </c>
      <c r="I101" s="6">
        <v>0</v>
      </c>
      <c r="J101" s="13">
        <f t="shared" si="30"/>
        <v>0</v>
      </c>
      <c r="K101" s="12">
        <v>0</v>
      </c>
      <c r="L101" s="6">
        <v>0</v>
      </c>
      <c r="M101" s="13">
        <f t="shared" si="31"/>
        <v>0</v>
      </c>
      <c r="N101" s="19"/>
      <c r="O101" s="13">
        <f t="shared" si="32"/>
        <v>0</v>
      </c>
      <c r="P101" s="5">
        <f>'[5]4. 2003 Data &amp; 2005 PILs'!$B$169</f>
        <v>0.618238873859083</v>
      </c>
      <c r="Q101" s="13">
        <f t="shared" si="33"/>
        <v>77.872338153167</v>
      </c>
      <c r="R101" s="13">
        <f t="shared" si="34"/>
        <v>77.872338153167</v>
      </c>
    </row>
    <row r="102" spans="1:18" ht="15">
      <c r="A102" s="26" t="s">
        <v>5</v>
      </c>
      <c r="B102" s="53">
        <v>2005</v>
      </c>
      <c r="C102" s="36" t="s">
        <v>47</v>
      </c>
      <c r="D102" s="37"/>
      <c r="E102" s="37">
        <v>1</v>
      </c>
      <c r="F102" s="39"/>
      <c r="G102" s="40">
        <f>'Monthly Volumes'!O49</f>
        <v>125.95833333333333</v>
      </c>
      <c r="H102" s="12">
        <v>0</v>
      </c>
      <c r="I102" s="6">
        <v>0</v>
      </c>
      <c r="J102" s="13">
        <f t="shared" si="30"/>
        <v>0</v>
      </c>
      <c r="K102" s="12">
        <v>0</v>
      </c>
      <c r="L102" s="6">
        <v>0</v>
      </c>
      <c r="M102" s="13">
        <f t="shared" si="31"/>
        <v>0</v>
      </c>
      <c r="N102" s="19"/>
      <c r="O102" s="13">
        <f t="shared" si="32"/>
        <v>0</v>
      </c>
      <c r="P102" s="5">
        <f>'[5]4. 2003 Data &amp; 2005 PILs'!$B$169</f>
        <v>0.618238873859083</v>
      </c>
      <c r="Q102" s="13">
        <f t="shared" si="33"/>
        <v>77.872338153167</v>
      </c>
      <c r="R102" s="13">
        <f t="shared" si="34"/>
        <v>77.872338153167</v>
      </c>
    </row>
    <row r="103" spans="1:18" ht="15">
      <c r="A103" s="26" t="s">
        <v>5</v>
      </c>
      <c r="B103" s="53">
        <v>2005</v>
      </c>
      <c r="C103" s="36" t="s">
        <v>48</v>
      </c>
      <c r="D103" s="37"/>
      <c r="E103" s="37">
        <v>1</v>
      </c>
      <c r="F103" s="39"/>
      <c r="G103" s="40">
        <f>'Monthly Volumes'!O50</f>
        <v>125.95833333333333</v>
      </c>
      <c r="H103" s="12">
        <v>0</v>
      </c>
      <c r="I103" s="6">
        <v>0</v>
      </c>
      <c r="J103" s="13">
        <f t="shared" si="30"/>
        <v>0</v>
      </c>
      <c r="K103" s="12">
        <v>0</v>
      </c>
      <c r="L103" s="6">
        <v>0</v>
      </c>
      <c r="M103" s="13">
        <f t="shared" si="31"/>
        <v>0</v>
      </c>
      <c r="N103" s="19"/>
      <c r="O103" s="13">
        <f t="shared" si="32"/>
        <v>0</v>
      </c>
      <c r="P103" s="5">
        <f>'[5]4. 2003 Data &amp; 2005 PILs'!$B$169</f>
        <v>0.618238873859083</v>
      </c>
      <c r="Q103" s="13">
        <f t="shared" si="33"/>
        <v>77.872338153167</v>
      </c>
      <c r="R103" s="13">
        <f t="shared" si="34"/>
        <v>77.872338153167</v>
      </c>
    </row>
    <row r="104" spans="1:18" ht="15">
      <c r="A104" s="26" t="s">
        <v>5</v>
      </c>
      <c r="B104" s="53">
        <v>2005</v>
      </c>
      <c r="C104" s="36" t="s">
        <v>49</v>
      </c>
      <c r="D104" s="37"/>
      <c r="E104" s="37">
        <v>1</v>
      </c>
      <c r="F104" s="39"/>
      <c r="G104" s="40">
        <f>'Monthly Volumes'!O51</f>
        <v>125.95833333333333</v>
      </c>
      <c r="H104" s="12">
        <v>0</v>
      </c>
      <c r="I104" s="6">
        <v>0</v>
      </c>
      <c r="J104" s="13">
        <f t="shared" si="30"/>
        <v>0</v>
      </c>
      <c r="K104" s="12">
        <v>0</v>
      </c>
      <c r="L104" s="6">
        <v>0</v>
      </c>
      <c r="M104" s="13">
        <f t="shared" si="31"/>
        <v>0</v>
      </c>
      <c r="N104" s="19"/>
      <c r="O104" s="13">
        <f t="shared" si="32"/>
        <v>0</v>
      </c>
      <c r="P104" s="5">
        <f>'[5]4. 2003 Data &amp; 2005 PILs'!$B$169</f>
        <v>0.618238873859083</v>
      </c>
      <c r="Q104" s="13">
        <f t="shared" si="33"/>
        <v>77.872338153167</v>
      </c>
      <c r="R104" s="13">
        <f t="shared" si="34"/>
        <v>77.872338153167</v>
      </c>
    </row>
    <row r="105" spans="1:18" ht="15.75" thickBot="1">
      <c r="A105" s="26"/>
      <c r="B105" s="53"/>
      <c r="C105" s="36"/>
      <c r="D105" s="37"/>
      <c r="E105" s="37"/>
      <c r="F105" s="39"/>
      <c r="G105" s="40"/>
      <c r="H105" s="12"/>
      <c r="I105" s="6"/>
      <c r="J105" s="13"/>
      <c r="K105" s="12"/>
      <c r="L105" s="6"/>
      <c r="M105" s="13"/>
      <c r="N105" s="19"/>
      <c r="O105" s="13"/>
      <c r="P105" s="5"/>
      <c r="Q105" s="13"/>
      <c r="R105" s="13"/>
    </row>
    <row r="106" spans="1:18" ht="15.75" thickBot="1">
      <c r="A106" s="55" t="s">
        <v>64</v>
      </c>
      <c r="B106" s="56"/>
      <c r="C106" s="57"/>
      <c r="D106" s="58">
        <f>SUM(D93:D105)</f>
        <v>1852.5</v>
      </c>
      <c r="E106" s="58"/>
      <c r="F106" s="58">
        <f>SUM(F93:F105)</f>
        <v>0</v>
      </c>
      <c r="G106" s="59">
        <f>SUM(G93:G105)</f>
        <v>1511.4999999999998</v>
      </c>
      <c r="H106" s="60"/>
      <c r="I106" s="61"/>
      <c r="J106" s="62">
        <f>SUM(J93:J105)</f>
        <v>0</v>
      </c>
      <c r="K106" s="60"/>
      <c r="L106" s="61"/>
      <c r="M106" s="62">
        <f>SUM(M93:M105)</f>
        <v>0</v>
      </c>
      <c r="N106" s="63"/>
      <c r="O106" s="62">
        <f>SUM(O93:O105)</f>
        <v>162.08703736283059</v>
      </c>
      <c r="P106" s="63"/>
      <c r="Q106" s="62">
        <f>SUM(Q93:Q105)</f>
        <v>700.8510433785029</v>
      </c>
      <c r="R106" s="62">
        <f>SUM(R93:R105)</f>
        <v>862.9380807413336</v>
      </c>
    </row>
    <row r="107" spans="1:18" ht="15">
      <c r="A107" s="16"/>
      <c r="B107" s="3"/>
      <c r="C107" s="3"/>
      <c r="D107" s="64"/>
      <c r="E107" s="64"/>
      <c r="F107" s="64"/>
      <c r="G107" s="65"/>
      <c r="H107" s="14"/>
      <c r="I107" s="6"/>
      <c r="J107" s="13"/>
      <c r="K107" s="14"/>
      <c r="L107" s="6"/>
      <c r="M107" s="13"/>
      <c r="N107" s="19"/>
      <c r="O107" s="13"/>
      <c r="P107" s="19"/>
      <c r="Q107" s="13"/>
      <c r="R107" s="13"/>
    </row>
    <row r="108" spans="1:18" s="18" customFormat="1" ht="15.75" thickBot="1">
      <c r="A108" s="114" t="s">
        <v>7</v>
      </c>
      <c r="B108" s="115"/>
      <c r="C108" s="115"/>
      <c r="D108" s="116"/>
      <c r="E108" s="116"/>
      <c r="F108" s="116">
        <f>F16+F31+F46+F61+F76+F91+F106</f>
        <v>16808938</v>
      </c>
      <c r="G108" s="116">
        <f>G16+G31+G46+G61+G76+G91+G106</f>
        <v>55563.399999999994</v>
      </c>
      <c r="H108" s="114"/>
      <c r="I108" s="115"/>
      <c r="J108" s="117">
        <f>J16+J31+J46+J61+J76+J91+J106</f>
        <v>0</v>
      </c>
      <c r="K108" s="114"/>
      <c r="L108" s="115"/>
      <c r="M108" s="117">
        <f>M16+M31+M46+M61+M76+M91+M106</f>
        <v>0</v>
      </c>
      <c r="N108" s="114"/>
      <c r="O108" s="117">
        <f>O16+O31+O46+O61+O76+O91+O106</f>
        <v>7409.5231342280795</v>
      </c>
      <c r="P108" s="114"/>
      <c r="Q108" s="117">
        <f>Q16+Q31+Q46+Q61+Q76+Q91+Q106</f>
        <v>28963.409726058773</v>
      </c>
      <c r="R108" s="117">
        <f>R16+R31+R46+R61+R76+R91+R106</f>
        <v>36372.93286028686</v>
      </c>
    </row>
    <row r="109" spans="1:18" ht="15">
      <c r="A109" s="3"/>
      <c r="B109" s="3"/>
      <c r="C109" s="3"/>
      <c r="D109" s="9"/>
      <c r="E109" s="9"/>
      <c r="F109" s="9"/>
      <c r="G109" s="9"/>
      <c r="H109" s="3"/>
      <c r="I109" s="3"/>
      <c r="J109" s="4"/>
      <c r="K109" s="3"/>
      <c r="L109" s="3"/>
      <c r="M109" s="4"/>
      <c r="N109" s="4"/>
      <c r="O109" s="4"/>
      <c r="P109" s="4"/>
      <c r="Q109" s="4"/>
      <c r="R109" s="4"/>
    </row>
    <row r="111" spans="10:11" ht="15">
      <c r="J111" s="8"/>
      <c r="K111" s="2"/>
    </row>
    <row r="112" spans="10:11" ht="15">
      <c r="J112" s="8"/>
      <c r="K112" s="2"/>
    </row>
    <row r="113" spans="10:11" ht="15">
      <c r="J113" s="8"/>
      <c r="K113" s="2"/>
    </row>
    <row r="114" spans="10:11" ht="15">
      <c r="J114" s="8"/>
      <c r="K114" s="2"/>
    </row>
  </sheetData>
  <sheetProtection/>
  <printOptions/>
  <pageMargins left="0.45" right="0.45" top="0.75" bottom="0.75" header="0.3" footer="0.3"/>
  <pageSetup fitToHeight="2" fitToWidth="1" horizontalDpi="600" verticalDpi="600" orientation="portrait" scale="75" r:id="rId1"/>
  <headerFooter alignWithMargins="0">
    <oddHeader>&amp;C&amp;A&amp;RWoodstock Hydro
EB-2011-0207
September 2011</oddHeader>
    <oddFooter>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14"/>
  <sheetViews>
    <sheetView showGridLines="0" zoomScalePageLayoutView="0" workbookViewId="0" topLeftCell="A59">
      <selection activeCell="AC90" sqref="AC90:AG91"/>
    </sheetView>
  </sheetViews>
  <sheetFormatPr defaultColWidth="9.140625" defaultRowHeight="15"/>
  <cols>
    <col min="1" max="1" width="22.8515625" style="0" bestFit="1" customWidth="1"/>
    <col min="2" max="2" width="5.00390625" style="0" bestFit="1" customWidth="1"/>
    <col min="3" max="3" width="12.8515625" style="0" bestFit="1" customWidth="1"/>
    <col min="4" max="4" width="10.421875" style="0" hidden="1" customWidth="1"/>
    <col min="5" max="5" width="7.57421875" style="0" hidden="1" customWidth="1"/>
    <col min="6" max="6" width="12.57421875" style="0" bestFit="1" customWidth="1"/>
    <col min="7" max="7" width="9.00390625" style="0" bestFit="1" customWidth="1"/>
    <col min="8" max="8" width="12.140625" style="0" hidden="1" customWidth="1"/>
    <col min="9" max="9" width="12.7109375" style="0" hidden="1" customWidth="1"/>
    <col min="10" max="10" width="13.140625" style="0" hidden="1" customWidth="1"/>
    <col min="11" max="11" width="13.421875" style="0" hidden="1" customWidth="1"/>
    <col min="12" max="12" width="11.421875" style="0" hidden="1" customWidth="1"/>
    <col min="13" max="13" width="14.28125" style="0" hidden="1" customWidth="1"/>
    <col min="14" max="14" width="12.57421875" style="0" hidden="1" customWidth="1"/>
    <col min="15" max="15" width="14.00390625" style="0" hidden="1" customWidth="1"/>
    <col min="16" max="16" width="9.00390625" style="0" bestFit="1" customWidth="1"/>
    <col min="17" max="18" width="12.57421875" style="0" bestFit="1" customWidth="1"/>
  </cols>
  <sheetData>
    <row r="1" s="1" customFormat="1" ht="15.75" thickBot="1"/>
    <row r="2" spans="1:18" s="23" customFormat="1" ht="75">
      <c r="A2" s="33" t="s">
        <v>24</v>
      </c>
      <c r="B2" s="52"/>
      <c r="C2" s="34" t="s">
        <v>23</v>
      </c>
      <c r="D2" s="34" t="s">
        <v>57</v>
      </c>
      <c r="E2" s="34" t="s">
        <v>27</v>
      </c>
      <c r="F2" s="34" t="s">
        <v>80</v>
      </c>
      <c r="G2" s="35" t="s">
        <v>81</v>
      </c>
      <c r="H2" s="15" t="s">
        <v>12</v>
      </c>
      <c r="I2" s="17" t="s">
        <v>19</v>
      </c>
      <c r="J2" s="22" t="s">
        <v>13</v>
      </c>
      <c r="K2" s="15" t="s">
        <v>14</v>
      </c>
      <c r="L2" s="17" t="s">
        <v>16</v>
      </c>
      <c r="M2" s="22" t="s">
        <v>15</v>
      </c>
      <c r="N2" s="15" t="s">
        <v>17</v>
      </c>
      <c r="O2" s="22" t="s">
        <v>18</v>
      </c>
      <c r="P2" s="15" t="s">
        <v>20</v>
      </c>
      <c r="Q2" s="22" t="s">
        <v>21</v>
      </c>
      <c r="R2" s="22" t="s">
        <v>6</v>
      </c>
    </row>
    <row r="3" spans="1:18" ht="15">
      <c r="A3" s="26" t="s">
        <v>0</v>
      </c>
      <c r="B3" s="53">
        <v>2006</v>
      </c>
      <c r="C3" s="36" t="s">
        <v>39</v>
      </c>
      <c r="D3" s="37"/>
      <c r="E3" s="37">
        <v>1</v>
      </c>
      <c r="F3" s="37">
        <f>'Monthly Volumes'!G4</f>
        <v>896911.8333333334</v>
      </c>
      <c r="G3" s="38"/>
      <c r="H3" s="12">
        <v>0</v>
      </c>
      <c r="I3" s="6">
        <v>0</v>
      </c>
      <c r="J3" s="13">
        <f>D3*E3*H3+(F3+G3)*I3</f>
        <v>0</v>
      </c>
      <c r="K3" s="12">
        <v>0</v>
      </c>
      <c r="L3" s="6">
        <v>0</v>
      </c>
      <c r="M3" s="13">
        <f>D3*E3*K3+(F3+G3)*L3</f>
        <v>0</v>
      </c>
      <c r="N3" s="19"/>
      <c r="O3" s="13">
        <f>(F3+G3)*N3</f>
        <v>0</v>
      </c>
      <c r="P3" s="3">
        <f>'2005 PILS Recoveries'!P6</f>
        <v>0.002329481360755558</v>
      </c>
      <c r="Q3" s="13">
        <f>(F3+G3)*P3</f>
        <v>2089.3393979910957</v>
      </c>
      <c r="R3" s="13">
        <f>J3+M3+O3+Q3</f>
        <v>2089.3393979910957</v>
      </c>
    </row>
    <row r="4" spans="1:18" ht="15">
      <c r="A4" s="26" t="s">
        <v>0</v>
      </c>
      <c r="B4" s="53">
        <v>2006</v>
      </c>
      <c r="C4" s="36" t="s">
        <v>40</v>
      </c>
      <c r="D4" s="37"/>
      <c r="E4" s="37">
        <v>1</v>
      </c>
      <c r="F4" s="37">
        <f>'Monthly Volumes'!G5</f>
        <v>896911.8333333334</v>
      </c>
      <c r="G4" s="38"/>
      <c r="H4" s="12">
        <v>0</v>
      </c>
      <c r="I4" s="6">
        <v>0</v>
      </c>
      <c r="J4" s="13">
        <f>D4*E4*H4+(F4+G4)*I4</f>
        <v>0</v>
      </c>
      <c r="K4" s="12">
        <v>0</v>
      </c>
      <c r="L4" s="6">
        <v>0</v>
      </c>
      <c r="M4" s="13">
        <f>D4*E4*K4+(F4+G4)*L4</f>
        <v>0</v>
      </c>
      <c r="N4" s="19"/>
      <c r="O4" s="13">
        <f>(F4+G4)*N4</f>
        <v>0</v>
      </c>
      <c r="P4" s="3">
        <f>'2005 PILS Recoveries'!P7</f>
        <v>0.002329481360755558</v>
      </c>
      <c r="Q4" s="13">
        <f>(F4+G4)*P4</f>
        <v>2089.3393979910957</v>
      </c>
      <c r="R4" s="13">
        <f>J4+M4+O4+Q4</f>
        <v>2089.3393979910957</v>
      </c>
    </row>
    <row r="5" spans="1:18" ht="15">
      <c r="A5" s="26" t="s">
        <v>0</v>
      </c>
      <c r="B5" s="53">
        <v>2006</v>
      </c>
      <c r="C5" s="36" t="s">
        <v>41</v>
      </c>
      <c r="D5" s="37"/>
      <c r="E5" s="37">
        <v>1</v>
      </c>
      <c r="F5" s="37">
        <f>'Monthly Volumes'!G6</f>
        <v>896911.8333333334</v>
      </c>
      <c r="G5" s="38"/>
      <c r="H5" s="12">
        <v>0</v>
      </c>
      <c r="I5" s="6">
        <v>0</v>
      </c>
      <c r="J5" s="13">
        <f>D5*E5*H5+(F5+G5)*I5</f>
        <v>0</v>
      </c>
      <c r="K5" s="12">
        <v>0</v>
      </c>
      <c r="L5" s="6">
        <v>0</v>
      </c>
      <c r="M5" s="13">
        <f>D5*E5*K5+(F5+G5)*L5</f>
        <v>0</v>
      </c>
      <c r="N5" s="19"/>
      <c r="O5" s="13">
        <f>(F5+G5)*N5</f>
        <v>0</v>
      </c>
      <c r="P5" s="3">
        <f>'2005 PILS Recoveries'!P8</f>
        <v>0.002329481360755558</v>
      </c>
      <c r="Q5" s="13">
        <f>(F5+G5)*P5</f>
        <v>2089.3393979910957</v>
      </c>
      <c r="R5" s="13">
        <f>J5+M5+O5+Q5</f>
        <v>2089.3393979910957</v>
      </c>
    </row>
    <row r="6" spans="1:18" ht="15">
      <c r="A6" s="26" t="s">
        <v>0</v>
      </c>
      <c r="B6" s="53">
        <v>2006</v>
      </c>
      <c r="C6" s="36" t="s">
        <v>42</v>
      </c>
      <c r="D6" s="37"/>
      <c r="E6" s="37">
        <v>1</v>
      </c>
      <c r="F6" s="37">
        <f>'Monthly Volumes'!G7</f>
        <v>896911.8333333334</v>
      </c>
      <c r="G6" s="38"/>
      <c r="H6" s="12">
        <v>0</v>
      </c>
      <c r="I6" s="6">
        <v>0</v>
      </c>
      <c r="J6" s="13">
        <f aca="true" t="shared" si="0" ref="J6:J14">D6*E6*H6+(F6+G6)*I6</f>
        <v>0</v>
      </c>
      <c r="K6" s="12">
        <v>0</v>
      </c>
      <c r="L6" s="6">
        <v>0</v>
      </c>
      <c r="M6" s="13">
        <f aca="true" t="shared" si="1" ref="M6:M14">D6*E6*K6+(F6+G6)*L6</f>
        <v>0</v>
      </c>
      <c r="N6" s="19"/>
      <c r="O6" s="13">
        <f aca="true" t="shared" si="2" ref="O6:O14">(F6+G6)*N6</f>
        <v>0</v>
      </c>
      <c r="P6" s="3">
        <f>'2005 PILS Recoveries'!P9</f>
        <v>0.002329481360755558</v>
      </c>
      <c r="Q6" s="13">
        <f aca="true" t="shared" si="3" ref="Q6:Q14">(F6+G6)*P6</f>
        <v>2089.3393979910957</v>
      </c>
      <c r="R6" s="13">
        <f aca="true" t="shared" si="4" ref="R6:R14">J6+M6+O6+Q6</f>
        <v>2089.3393979910957</v>
      </c>
    </row>
    <row r="7" spans="1:18" ht="15">
      <c r="A7" s="26" t="s">
        <v>0</v>
      </c>
      <c r="B7" s="53">
        <v>2006</v>
      </c>
      <c r="C7" s="36" t="s">
        <v>35</v>
      </c>
      <c r="D7" s="37"/>
      <c r="E7" s="37"/>
      <c r="F7" s="37">
        <f>'Monthly Volumes'!G8</f>
        <v>0</v>
      </c>
      <c r="G7" s="38"/>
      <c r="H7" s="12">
        <v>0</v>
      </c>
      <c r="I7" s="6">
        <v>0</v>
      </c>
      <c r="J7" s="13">
        <f t="shared" si="0"/>
        <v>0</v>
      </c>
      <c r="K7" s="12">
        <v>0</v>
      </c>
      <c r="L7" s="6">
        <v>0</v>
      </c>
      <c r="M7" s="13">
        <f t="shared" si="1"/>
        <v>0</v>
      </c>
      <c r="N7" s="19"/>
      <c r="O7" s="13">
        <f t="shared" si="2"/>
        <v>0</v>
      </c>
      <c r="P7" s="3"/>
      <c r="Q7" s="13">
        <f t="shared" si="3"/>
        <v>0</v>
      </c>
      <c r="R7" s="13">
        <f t="shared" si="4"/>
        <v>0</v>
      </c>
    </row>
    <row r="8" spans="1:18" ht="15">
      <c r="A8" s="26" t="s">
        <v>0</v>
      </c>
      <c r="B8" s="53">
        <v>2006</v>
      </c>
      <c r="C8" s="36" t="s">
        <v>43</v>
      </c>
      <c r="D8" s="37"/>
      <c r="E8" s="37"/>
      <c r="F8" s="37">
        <f>'Monthly Volumes'!G9</f>
        <v>0</v>
      </c>
      <c r="G8" s="38"/>
      <c r="H8" s="12">
        <v>0</v>
      </c>
      <c r="I8" s="6">
        <v>0</v>
      </c>
      <c r="J8" s="13">
        <f t="shared" si="0"/>
        <v>0</v>
      </c>
      <c r="K8" s="12">
        <v>0</v>
      </c>
      <c r="L8" s="6">
        <v>0</v>
      </c>
      <c r="M8" s="13">
        <f t="shared" si="1"/>
        <v>0</v>
      </c>
      <c r="N8" s="19"/>
      <c r="O8" s="13">
        <f t="shared" si="2"/>
        <v>0</v>
      </c>
      <c r="P8" s="3"/>
      <c r="Q8" s="13">
        <f t="shared" si="3"/>
        <v>0</v>
      </c>
      <c r="R8" s="13">
        <f t="shared" si="4"/>
        <v>0</v>
      </c>
    </row>
    <row r="9" spans="1:18" ht="15">
      <c r="A9" s="26" t="s">
        <v>0</v>
      </c>
      <c r="B9" s="53">
        <v>2006</v>
      </c>
      <c r="C9" s="36" t="s">
        <v>44</v>
      </c>
      <c r="D9" s="37"/>
      <c r="E9" s="37"/>
      <c r="F9" s="37">
        <f>'Monthly Volumes'!G10</f>
        <v>0</v>
      </c>
      <c r="G9" s="38"/>
      <c r="H9" s="12">
        <v>0</v>
      </c>
      <c r="I9" s="6">
        <v>0</v>
      </c>
      <c r="J9" s="13">
        <f t="shared" si="0"/>
        <v>0</v>
      </c>
      <c r="K9" s="12">
        <v>0</v>
      </c>
      <c r="L9" s="6">
        <v>0</v>
      </c>
      <c r="M9" s="13">
        <f t="shared" si="1"/>
        <v>0</v>
      </c>
      <c r="N9" s="19"/>
      <c r="O9" s="13">
        <f t="shared" si="2"/>
        <v>0</v>
      </c>
      <c r="P9" s="3"/>
      <c r="Q9" s="13">
        <f t="shared" si="3"/>
        <v>0</v>
      </c>
      <c r="R9" s="13">
        <f t="shared" si="4"/>
        <v>0</v>
      </c>
    </row>
    <row r="10" spans="1:18" ht="15">
      <c r="A10" s="26" t="s">
        <v>0</v>
      </c>
      <c r="B10" s="53">
        <v>2006</v>
      </c>
      <c r="C10" s="36" t="s">
        <v>45</v>
      </c>
      <c r="D10" s="37"/>
      <c r="E10" s="37"/>
      <c r="F10" s="37">
        <f>'Monthly Volumes'!G11</f>
        <v>0</v>
      </c>
      <c r="G10" s="38"/>
      <c r="H10" s="12">
        <v>0</v>
      </c>
      <c r="I10" s="6">
        <v>0</v>
      </c>
      <c r="J10" s="13">
        <f t="shared" si="0"/>
        <v>0</v>
      </c>
      <c r="K10" s="12">
        <v>0</v>
      </c>
      <c r="L10" s="6">
        <v>0</v>
      </c>
      <c r="M10" s="13">
        <f t="shared" si="1"/>
        <v>0</v>
      </c>
      <c r="N10" s="19"/>
      <c r="O10" s="13">
        <f t="shared" si="2"/>
        <v>0</v>
      </c>
      <c r="P10" s="3"/>
      <c r="Q10" s="13">
        <f t="shared" si="3"/>
        <v>0</v>
      </c>
      <c r="R10" s="13">
        <f t="shared" si="4"/>
        <v>0</v>
      </c>
    </row>
    <row r="11" spans="1:18" ht="15">
      <c r="A11" s="26" t="s">
        <v>0</v>
      </c>
      <c r="B11" s="53">
        <v>2006</v>
      </c>
      <c r="C11" s="36" t="s">
        <v>46</v>
      </c>
      <c r="D11" s="37"/>
      <c r="E11" s="37"/>
      <c r="F11" s="37">
        <f>'Monthly Volumes'!G12</f>
        <v>0</v>
      </c>
      <c r="G11" s="38"/>
      <c r="H11" s="12">
        <v>0</v>
      </c>
      <c r="I11" s="6">
        <v>0</v>
      </c>
      <c r="J11" s="13">
        <f t="shared" si="0"/>
        <v>0</v>
      </c>
      <c r="K11" s="12">
        <v>0</v>
      </c>
      <c r="L11" s="6">
        <v>0</v>
      </c>
      <c r="M11" s="13">
        <f t="shared" si="1"/>
        <v>0</v>
      </c>
      <c r="N11" s="19"/>
      <c r="O11" s="13">
        <f t="shared" si="2"/>
        <v>0</v>
      </c>
      <c r="P11" s="3"/>
      <c r="Q11" s="13">
        <f t="shared" si="3"/>
        <v>0</v>
      </c>
      <c r="R11" s="13">
        <f t="shared" si="4"/>
        <v>0</v>
      </c>
    </row>
    <row r="12" spans="1:18" ht="15">
      <c r="A12" s="26" t="s">
        <v>0</v>
      </c>
      <c r="B12" s="53">
        <v>2006</v>
      </c>
      <c r="C12" s="36" t="s">
        <v>47</v>
      </c>
      <c r="D12" s="37"/>
      <c r="E12" s="37"/>
      <c r="F12" s="37">
        <f>'Monthly Volumes'!G13</f>
        <v>0</v>
      </c>
      <c r="G12" s="38"/>
      <c r="H12" s="12">
        <v>0</v>
      </c>
      <c r="I12" s="6">
        <v>0</v>
      </c>
      <c r="J12" s="13">
        <f t="shared" si="0"/>
        <v>0</v>
      </c>
      <c r="K12" s="12">
        <v>0</v>
      </c>
      <c r="L12" s="6">
        <v>0</v>
      </c>
      <c r="M12" s="13">
        <f t="shared" si="1"/>
        <v>0</v>
      </c>
      <c r="N12" s="19"/>
      <c r="O12" s="13">
        <f t="shared" si="2"/>
        <v>0</v>
      </c>
      <c r="P12" s="3"/>
      <c r="Q12" s="13">
        <f t="shared" si="3"/>
        <v>0</v>
      </c>
      <c r="R12" s="13">
        <f t="shared" si="4"/>
        <v>0</v>
      </c>
    </row>
    <row r="13" spans="1:18" ht="15">
      <c r="A13" s="26" t="s">
        <v>0</v>
      </c>
      <c r="B13" s="53">
        <v>2006</v>
      </c>
      <c r="C13" s="36" t="s">
        <v>48</v>
      </c>
      <c r="D13" s="37"/>
      <c r="E13" s="37"/>
      <c r="F13" s="37">
        <f>'Monthly Volumes'!G14</f>
        <v>0</v>
      </c>
      <c r="G13" s="38"/>
      <c r="H13" s="12">
        <v>0</v>
      </c>
      <c r="I13" s="6">
        <v>0</v>
      </c>
      <c r="J13" s="13">
        <f t="shared" si="0"/>
        <v>0</v>
      </c>
      <c r="K13" s="12">
        <v>0</v>
      </c>
      <c r="L13" s="6">
        <v>0</v>
      </c>
      <c r="M13" s="13">
        <f t="shared" si="1"/>
        <v>0</v>
      </c>
      <c r="N13" s="19"/>
      <c r="O13" s="13">
        <f t="shared" si="2"/>
        <v>0</v>
      </c>
      <c r="P13" s="3"/>
      <c r="Q13" s="13">
        <f t="shared" si="3"/>
        <v>0</v>
      </c>
      <c r="R13" s="13">
        <f t="shared" si="4"/>
        <v>0</v>
      </c>
    </row>
    <row r="14" spans="1:18" ht="15">
      <c r="A14" s="26" t="s">
        <v>0</v>
      </c>
      <c r="B14" s="53">
        <v>2006</v>
      </c>
      <c r="C14" s="36" t="s">
        <v>49</v>
      </c>
      <c r="D14" s="37"/>
      <c r="E14" s="37"/>
      <c r="F14" s="37">
        <f>'Monthly Volumes'!G15</f>
        <v>0</v>
      </c>
      <c r="G14" s="38"/>
      <c r="H14" s="12">
        <v>0</v>
      </c>
      <c r="I14" s="6">
        <v>0</v>
      </c>
      <c r="J14" s="13">
        <f t="shared" si="0"/>
        <v>0</v>
      </c>
      <c r="K14" s="12">
        <v>0</v>
      </c>
      <c r="L14" s="6">
        <v>0</v>
      </c>
      <c r="M14" s="13">
        <f t="shared" si="1"/>
        <v>0</v>
      </c>
      <c r="N14" s="19"/>
      <c r="O14" s="13">
        <f t="shared" si="2"/>
        <v>0</v>
      </c>
      <c r="P14" s="3"/>
      <c r="Q14" s="13">
        <f t="shared" si="3"/>
        <v>0</v>
      </c>
      <c r="R14" s="13">
        <f t="shared" si="4"/>
        <v>0</v>
      </c>
    </row>
    <row r="15" spans="1:18" ht="15.75" thickBot="1">
      <c r="A15" s="26"/>
      <c r="B15" s="53"/>
      <c r="C15" s="36"/>
      <c r="D15" s="37"/>
      <c r="E15" s="37"/>
      <c r="F15" s="37"/>
      <c r="G15" s="38"/>
      <c r="H15" s="12"/>
      <c r="I15" s="6"/>
      <c r="J15" s="13"/>
      <c r="K15" s="12"/>
      <c r="L15" s="6"/>
      <c r="M15" s="13"/>
      <c r="N15" s="19"/>
      <c r="O15" s="13"/>
      <c r="P15" s="3"/>
      <c r="Q15" s="13"/>
      <c r="R15" s="13"/>
    </row>
    <row r="16" spans="1:18" ht="15.75" thickBot="1">
      <c r="A16" s="55" t="s">
        <v>58</v>
      </c>
      <c r="B16" s="56"/>
      <c r="C16" s="57"/>
      <c r="D16" s="58">
        <f>SUM(D3:D15)</f>
        <v>0</v>
      </c>
      <c r="E16" s="58"/>
      <c r="F16" s="58">
        <f>SUM(F3:F15)</f>
        <v>3587647.3333333335</v>
      </c>
      <c r="G16" s="59">
        <f>SUM(G3:G15)</f>
        <v>0</v>
      </c>
      <c r="H16" s="60"/>
      <c r="I16" s="61"/>
      <c r="J16" s="62">
        <f>SUM(J3:J15)</f>
        <v>0</v>
      </c>
      <c r="K16" s="60"/>
      <c r="L16" s="61"/>
      <c r="M16" s="62">
        <f>SUM(M3:M15)</f>
        <v>0</v>
      </c>
      <c r="N16" s="63"/>
      <c r="O16" s="62">
        <f>SUM(O3:O15)</f>
        <v>0</v>
      </c>
      <c r="P16" s="63"/>
      <c r="Q16" s="62">
        <f>SUM(Q3:Q15)</f>
        <v>8357.357591964383</v>
      </c>
      <c r="R16" s="62">
        <f>SUM(R3:R15)</f>
        <v>8357.357591964383</v>
      </c>
    </row>
    <row r="17" spans="1:18" ht="15">
      <c r="A17" s="26"/>
      <c r="B17" s="53"/>
      <c r="C17" s="36"/>
      <c r="D17" s="37"/>
      <c r="E17" s="37"/>
      <c r="F17" s="37"/>
      <c r="G17" s="38"/>
      <c r="H17" s="12"/>
      <c r="I17" s="6"/>
      <c r="J17" s="13"/>
      <c r="K17" s="12"/>
      <c r="L17" s="6"/>
      <c r="M17" s="13"/>
      <c r="N17" s="19"/>
      <c r="O17" s="13"/>
      <c r="P17" s="19"/>
      <c r="Q17" s="13"/>
      <c r="R17" s="13"/>
    </row>
    <row r="18" spans="1:18" ht="15">
      <c r="A18" s="26" t="s">
        <v>1</v>
      </c>
      <c r="B18" s="53">
        <v>2006</v>
      </c>
      <c r="C18" s="36" t="s">
        <v>39</v>
      </c>
      <c r="D18" s="37"/>
      <c r="E18" s="37">
        <v>1</v>
      </c>
      <c r="F18" s="37">
        <f>'Monthly Volumes'!G22</f>
        <v>458044.8333333333</v>
      </c>
      <c r="G18" s="38"/>
      <c r="H18" s="12">
        <v>0</v>
      </c>
      <c r="I18" s="6">
        <v>0</v>
      </c>
      <c r="J18" s="13">
        <f>D18*E18*H18+(F18+G18)*I18</f>
        <v>0</v>
      </c>
      <c r="K18" s="12">
        <v>0</v>
      </c>
      <c r="L18" s="6">
        <v>0</v>
      </c>
      <c r="M18" s="13">
        <f>D18*E18*K18+(F18+G18)*L18</f>
        <v>0</v>
      </c>
      <c r="N18" s="19"/>
      <c r="O18" s="13">
        <f>(F18+G18)*N18</f>
        <v>0</v>
      </c>
      <c r="P18" s="3">
        <f>'2005 PILS Recoveries'!P21</f>
        <v>0.001457538659447489</v>
      </c>
      <c r="Q18" s="13">
        <f>(F18+G18)*P18</f>
        <v>667.6180523435152</v>
      </c>
      <c r="R18" s="13">
        <f>J18+M18+O18+Q18</f>
        <v>667.6180523435152</v>
      </c>
    </row>
    <row r="19" spans="1:18" ht="15">
      <c r="A19" s="26" t="s">
        <v>1</v>
      </c>
      <c r="B19" s="53">
        <v>2006</v>
      </c>
      <c r="C19" s="36" t="s">
        <v>40</v>
      </c>
      <c r="D19" s="37"/>
      <c r="E19" s="37">
        <v>1</v>
      </c>
      <c r="F19" s="37">
        <f>'Monthly Volumes'!G23</f>
        <v>458044.8333333333</v>
      </c>
      <c r="G19" s="38"/>
      <c r="H19" s="12">
        <v>0</v>
      </c>
      <c r="I19" s="6">
        <v>0</v>
      </c>
      <c r="J19" s="13">
        <f>D19*E19*H19+(F19+G19)*I19</f>
        <v>0</v>
      </c>
      <c r="K19" s="12">
        <v>0</v>
      </c>
      <c r="L19" s="6">
        <v>0</v>
      </c>
      <c r="M19" s="13">
        <f>D19*E19*K19+(F19+G19)*L19</f>
        <v>0</v>
      </c>
      <c r="N19" s="19"/>
      <c r="O19" s="13">
        <f>(F19+G19)*N19</f>
        <v>0</v>
      </c>
      <c r="P19" s="3">
        <f>'2005 PILS Recoveries'!P22</f>
        <v>0.001457538659447489</v>
      </c>
      <c r="Q19" s="13">
        <f>(F19+G19)*P19</f>
        <v>667.6180523435152</v>
      </c>
      <c r="R19" s="13">
        <f>J19+M19+O19+Q19</f>
        <v>667.6180523435152</v>
      </c>
    </row>
    <row r="20" spans="1:18" ht="15">
      <c r="A20" s="26" t="s">
        <v>1</v>
      </c>
      <c r="B20" s="53">
        <v>2006</v>
      </c>
      <c r="C20" s="36" t="s">
        <v>41</v>
      </c>
      <c r="D20" s="37"/>
      <c r="E20" s="37">
        <v>1</v>
      </c>
      <c r="F20" s="37">
        <f>'Monthly Volumes'!G24</f>
        <v>458044.8333333333</v>
      </c>
      <c r="G20" s="38"/>
      <c r="H20" s="12">
        <v>0</v>
      </c>
      <c r="I20" s="6">
        <v>0</v>
      </c>
      <c r="J20" s="13">
        <f>D20*E20*H20+(F20+G20)*I20</f>
        <v>0</v>
      </c>
      <c r="K20" s="12">
        <v>0</v>
      </c>
      <c r="L20" s="6">
        <v>0</v>
      </c>
      <c r="M20" s="13">
        <f>D20*E20*K20+(F20+G20)*L20</f>
        <v>0</v>
      </c>
      <c r="N20" s="19"/>
      <c r="O20" s="13">
        <f>(F20+G20)*N20</f>
        <v>0</v>
      </c>
      <c r="P20" s="3">
        <f>'2005 PILS Recoveries'!P23</f>
        <v>0.001457538659447489</v>
      </c>
      <c r="Q20" s="13">
        <f>(F20+G20)*P20</f>
        <v>667.6180523435152</v>
      </c>
      <c r="R20" s="13">
        <f>J20+M20+O20+Q20</f>
        <v>667.6180523435152</v>
      </c>
    </row>
    <row r="21" spans="1:18" ht="15">
      <c r="A21" s="26" t="s">
        <v>1</v>
      </c>
      <c r="B21" s="53">
        <v>2006</v>
      </c>
      <c r="C21" s="36" t="s">
        <v>42</v>
      </c>
      <c r="D21" s="37"/>
      <c r="E21" s="37">
        <v>1</v>
      </c>
      <c r="F21" s="37">
        <f>'Monthly Volumes'!G25</f>
        <v>458044.8333333333</v>
      </c>
      <c r="G21" s="38"/>
      <c r="H21" s="12">
        <v>0</v>
      </c>
      <c r="I21" s="6">
        <v>0</v>
      </c>
      <c r="J21" s="13">
        <f>D21*E21*H21+(F21+G21)*I21</f>
        <v>0</v>
      </c>
      <c r="K21" s="12">
        <v>0</v>
      </c>
      <c r="L21" s="6">
        <v>0</v>
      </c>
      <c r="M21" s="13">
        <f>D21*E21*K21+(F21+G21)*L21</f>
        <v>0</v>
      </c>
      <c r="N21" s="19"/>
      <c r="O21" s="13">
        <f>(F21+G21)*N21</f>
        <v>0</v>
      </c>
      <c r="P21" s="3">
        <f>'2005 PILS Recoveries'!P24</f>
        <v>0.001457538659447489</v>
      </c>
      <c r="Q21" s="13">
        <f>(F21+G21)*P21</f>
        <v>667.6180523435152</v>
      </c>
      <c r="R21" s="13">
        <f>J21+M21+O21+Q21</f>
        <v>667.6180523435152</v>
      </c>
    </row>
    <row r="22" spans="1:18" ht="15">
      <c r="A22" s="26" t="s">
        <v>1</v>
      </c>
      <c r="B22" s="53">
        <v>2006</v>
      </c>
      <c r="C22" s="36" t="s">
        <v>35</v>
      </c>
      <c r="D22" s="37"/>
      <c r="E22" s="37">
        <v>1</v>
      </c>
      <c r="F22" s="37">
        <f>'Monthly Volumes'!G26</f>
        <v>0</v>
      </c>
      <c r="G22" s="38"/>
      <c r="H22" s="12">
        <v>0</v>
      </c>
      <c r="I22" s="6">
        <v>0</v>
      </c>
      <c r="J22" s="13">
        <f aca="true" t="shared" si="5" ref="J22:J29">D22*E22*H22+(F22+G22)*I22</f>
        <v>0</v>
      </c>
      <c r="K22" s="12">
        <v>0</v>
      </c>
      <c r="L22" s="6">
        <v>0</v>
      </c>
      <c r="M22" s="13">
        <f aca="true" t="shared" si="6" ref="M22:M29">D22*E22*K22+(F22+G22)*L22</f>
        <v>0</v>
      </c>
      <c r="N22" s="19"/>
      <c r="O22" s="13">
        <f aca="true" t="shared" si="7" ref="O22:O29">(F22+G22)*N22</f>
        <v>0</v>
      </c>
      <c r="P22" s="3"/>
      <c r="Q22" s="13">
        <f aca="true" t="shared" si="8" ref="Q22:Q29">(F22+G22)*P22</f>
        <v>0</v>
      </c>
      <c r="R22" s="13">
        <f aca="true" t="shared" si="9" ref="R22:R29">J22+M22+O22+Q22</f>
        <v>0</v>
      </c>
    </row>
    <row r="23" spans="1:18" ht="15">
      <c r="A23" s="26" t="s">
        <v>1</v>
      </c>
      <c r="B23" s="53">
        <v>2006</v>
      </c>
      <c r="C23" s="36" t="s">
        <v>43</v>
      </c>
      <c r="D23" s="37"/>
      <c r="E23" s="37">
        <v>1</v>
      </c>
      <c r="F23" s="37">
        <f>'Monthly Volumes'!G27</f>
        <v>0</v>
      </c>
      <c r="G23" s="38"/>
      <c r="H23" s="12">
        <v>0</v>
      </c>
      <c r="I23" s="6">
        <v>0</v>
      </c>
      <c r="J23" s="13">
        <f t="shared" si="5"/>
        <v>0</v>
      </c>
      <c r="K23" s="12">
        <v>0</v>
      </c>
      <c r="L23" s="6">
        <v>0</v>
      </c>
      <c r="M23" s="13">
        <f t="shared" si="6"/>
        <v>0</v>
      </c>
      <c r="N23" s="19"/>
      <c r="O23" s="13">
        <f t="shared" si="7"/>
        <v>0</v>
      </c>
      <c r="P23" s="3"/>
      <c r="Q23" s="13">
        <f t="shared" si="8"/>
        <v>0</v>
      </c>
      <c r="R23" s="13">
        <f t="shared" si="9"/>
        <v>0</v>
      </c>
    </row>
    <row r="24" spans="1:18" ht="15">
      <c r="A24" s="26" t="s">
        <v>1</v>
      </c>
      <c r="B24" s="53">
        <v>2006</v>
      </c>
      <c r="C24" s="36" t="s">
        <v>44</v>
      </c>
      <c r="D24" s="37"/>
      <c r="E24" s="37">
        <v>1</v>
      </c>
      <c r="F24" s="37">
        <f>'Monthly Volumes'!G28</f>
        <v>0</v>
      </c>
      <c r="G24" s="38"/>
      <c r="H24" s="12">
        <v>0</v>
      </c>
      <c r="I24" s="6">
        <v>0</v>
      </c>
      <c r="J24" s="13">
        <f t="shared" si="5"/>
        <v>0</v>
      </c>
      <c r="K24" s="12">
        <v>0</v>
      </c>
      <c r="L24" s="6">
        <v>0</v>
      </c>
      <c r="M24" s="13">
        <f t="shared" si="6"/>
        <v>0</v>
      </c>
      <c r="N24" s="19"/>
      <c r="O24" s="13">
        <f t="shared" si="7"/>
        <v>0</v>
      </c>
      <c r="P24" s="3"/>
      <c r="Q24" s="13">
        <f t="shared" si="8"/>
        <v>0</v>
      </c>
      <c r="R24" s="13">
        <f t="shared" si="9"/>
        <v>0</v>
      </c>
    </row>
    <row r="25" spans="1:18" ht="15">
      <c r="A25" s="26" t="s">
        <v>1</v>
      </c>
      <c r="B25" s="53">
        <v>2006</v>
      </c>
      <c r="C25" s="36" t="s">
        <v>45</v>
      </c>
      <c r="D25" s="37"/>
      <c r="E25" s="37">
        <v>1</v>
      </c>
      <c r="F25" s="37">
        <f>'Monthly Volumes'!G29</f>
        <v>0</v>
      </c>
      <c r="G25" s="38"/>
      <c r="H25" s="12">
        <v>0</v>
      </c>
      <c r="I25" s="6">
        <v>0</v>
      </c>
      <c r="J25" s="13">
        <f t="shared" si="5"/>
        <v>0</v>
      </c>
      <c r="K25" s="12">
        <v>0</v>
      </c>
      <c r="L25" s="6">
        <v>0</v>
      </c>
      <c r="M25" s="13">
        <f t="shared" si="6"/>
        <v>0</v>
      </c>
      <c r="N25" s="19"/>
      <c r="O25" s="13">
        <f t="shared" si="7"/>
        <v>0</v>
      </c>
      <c r="P25" s="3"/>
      <c r="Q25" s="13">
        <f t="shared" si="8"/>
        <v>0</v>
      </c>
      <c r="R25" s="13">
        <f t="shared" si="9"/>
        <v>0</v>
      </c>
    </row>
    <row r="26" spans="1:18" ht="15">
      <c r="A26" s="26" t="s">
        <v>1</v>
      </c>
      <c r="B26" s="53">
        <v>2006</v>
      </c>
      <c r="C26" s="36" t="s">
        <v>46</v>
      </c>
      <c r="D26" s="37"/>
      <c r="E26" s="37">
        <v>1</v>
      </c>
      <c r="F26" s="37">
        <f>'Monthly Volumes'!G30</f>
        <v>0</v>
      </c>
      <c r="G26" s="38"/>
      <c r="H26" s="12">
        <v>0</v>
      </c>
      <c r="I26" s="6">
        <v>0</v>
      </c>
      <c r="J26" s="13">
        <f t="shared" si="5"/>
        <v>0</v>
      </c>
      <c r="K26" s="12">
        <v>0</v>
      </c>
      <c r="L26" s="6">
        <v>0</v>
      </c>
      <c r="M26" s="13">
        <f t="shared" si="6"/>
        <v>0</v>
      </c>
      <c r="N26" s="19"/>
      <c r="O26" s="13">
        <f t="shared" si="7"/>
        <v>0</v>
      </c>
      <c r="P26" s="3"/>
      <c r="Q26" s="13">
        <f t="shared" si="8"/>
        <v>0</v>
      </c>
      <c r="R26" s="13">
        <f t="shared" si="9"/>
        <v>0</v>
      </c>
    </row>
    <row r="27" spans="1:18" ht="15">
      <c r="A27" s="26" t="s">
        <v>1</v>
      </c>
      <c r="B27" s="53">
        <v>2006</v>
      </c>
      <c r="C27" s="36" t="s">
        <v>47</v>
      </c>
      <c r="D27" s="37"/>
      <c r="E27" s="37">
        <v>1</v>
      </c>
      <c r="F27" s="37">
        <f>'Monthly Volumes'!G31</f>
        <v>0</v>
      </c>
      <c r="G27" s="38"/>
      <c r="H27" s="12">
        <v>0</v>
      </c>
      <c r="I27" s="6">
        <v>0</v>
      </c>
      <c r="J27" s="13">
        <f t="shared" si="5"/>
        <v>0</v>
      </c>
      <c r="K27" s="12">
        <v>0</v>
      </c>
      <c r="L27" s="6">
        <v>0</v>
      </c>
      <c r="M27" s="13">
        <f t="shared" si="6"/>
        <v>0</v>
      </c>
      <c r="N27" s="19"/>
      <c r="O27" s="13">
        <f t="shared" si="7"/>
        <v>0</v>
      </c>
      <c r="P27" s="3"/>
      <c r="Q27" s="13">
        <f t="shared" si="8"/>
        <v>0</v>
      </c>
      <c r="R27" s="13">
        <f t="shared" si="9"/>
        <v>0</v>
      </c>
    </row>
    <row r="28" spans="1:18" ht="15">
      <c r="A28" s="26" t="s">
        <v>1</v>
      </c>
      <c r="B28" s="53">
        <v>2006</v>
      </c>
      <c r="C28" s="36" t="s">
        <v>48</v>
      </c>
      <c r="D28" s="37"/>
      <c r="E28" s="37">
        <v>1</v>
      </c>
      <c r="F28" s="37">
        <f>'Monthly Volumes'!G32</f>
        <v>0</v>
      </c>
      <c r="G28" s="38"/>
      <c r="H28" s="12">
        <v>0</v>
      </c>
      <c r="I28" s="6">
        <v>0</v>
      </c>
      <c r="J28" s="13">
        <f t="shared" si="5"/>
        <v>0</v>
      </c>
      <c r="K28" s="12">
        <v>0</v>
      </c>
      <c r="L28" s="6">
        <v>0</v>
      </c>
      <c r="M28" s="13">
        <f t="shared" si="6"/>
        <v>0</v>
      </c>
      <c r="N28" s="19"/>
      <c r="O28" s="13">
        <f t="shared" si="7"/>
        <v>0</v>
      </c>
      <c r="P28" s="3"/>
      <c r="Q28" s="13">
        <f t="shared" si="8"/>
        <v>0</v>
      </c>
      <c r="R28" s="13">
        <f t="shared" si="9"/>
        <v>0</v>
      </c>
    </row>
    <row r="29" spans="1:18" ht="15">
      <c r="A29" s="26" t="s">
        <v>1</v>
      </c>
      <c r="B29" s="53">
        <v>2006</v>
      </c>
      <c r="C29" s="36" t="s">
        <v>49</v>
      </c>
      <c r="D29" s="37"/>
      <c r="E29" s="37">
        <v>1</v>
      </c>
      <c r="F29" s="37">
        <f>'Monthly Volumes'!G33</f>
        <v>0</v>
      </c>
      <c r="G29" s="38"/>
      <c r="H29" s="12">
        <v>0</v>
      </c>
      <c r="I29" s="6">
        <v>0</v>
      </c>
      <c r="J29" s="13">
        <f t="shared" si="5"/>
        <v>0</v>
      </c>
      <c r="K29" s="12">
        <v>0</v>
      </c>
      <c r="L29" s="6">
        <v>0</v>
      </c>
      <c r="M29" s="13">
        <f t="shared" si="6"/>
        <v>0</v>
      </c>
      <c r="N29" s="19"/>
      <c r="O29" s="13">
        <f t="shared" si="7"/>
        <v>0</v>
      </c>
      <c r="P29" s="3"/>
      <c r="Q29" s="13">
        <f t="shared" si="8"/>
        <v>0</v>
      </c>
      <c r="R29" s="13">
        <f t="shared" si="9"/>
        <v>0</v>
      </c>
    </row>
    <row r="30" spans="1:18" ht="15.75" thickBot="1">
      <c r="A30" s="26"/>
      <c r="B30" s="53"/>
      <c r="C30" s="36"/>
      <c r="D30" s="37"/>
      <c r="E30" s="37"/>
      <c r="F30" s="37"/>
      <c r="G30" s="38"/>
      <c r="H30" s="12"/>
      <c r="I30" s="6"/>
      <c r="J30" s="13"/>
      <c r="K30" s="12"/>
      <c r="L30" s="6"/>
      <c r="M30" s="13"/>
      <c r="N30" s="19"/>
      <c r="O30" s="13"/>
      <c r="P30" s="3"/>
      <c r="Q30" s="13"/>
      <c r="R30" s="13"/>
    </row>
    <row r="31" spans="1:18" ht="15.75" thickBot="1">
      <c r="A31" s="55" t="s">
        <v>59</v>
      </c>
      <c r="B31" s="56"/>
      <c r="C31" s="57"/>
      <c r="D31" s="58">
        <f>SUM(D18:D30)</f>
        <v>0</v>
      </c>
      <c r="E31" s="58"/>
      <c r="F31" s="58">
        <f>SUM(F18:F30)</f>
        <v>1832179.3333333333</v>
      </c>
      <c r="G31" s="59">
        <f>SUM(G18:G30)</f>
        <v>0</v>
      </c>
      <c r="H31" s="60"/>
      <c r="I31" s="61"/>
      <c r="J31" s="62">
        <f>SUM(J18:J30)</f>
        <v>0</v>
      </c>
      <c r="K31" s="60"/>
      <c r="L31" s="61"/>
      <c r="M31" s="62">
        <f>SUM(M18:M30)</f>
        <v>0</v>
      </c>
      <c r="N31" s="63"/>
      <c r="O31" s="62">
        <f>SUM(O18:O30)</f>
        <v>0</v>
      </c>
      <c r="P31" s="63"/>
      <c r="Q31" s="62">
        <f>SUM(Q18:Q30)</f>
        <v>2670.4722093740606</v>
      </c>
      <c r="R31" s="62">
        <f>SUM(R18:R30)</f>
        <v>2670.4722093740606</v>
      </c>
    </row>
    <row r="32" spans="1:18" ht="15">
      <c r="A32" s="26"/>
      <c r="B32" s="53"/>
      <c r="C32" s="36"/>
      <c r="D32" s="37"/>
      <c r="E32" s="37"/>
      <c r="F32" s="37"/>
      <c r="G32" s="38"/>
      <c r="H32" s="12"/>
      <c r="I32" s="6"/>
      <c r="J32" s="13"/>
      <c r="K32" s="12"/>
      <c r="L32" s="6"/>
      <c r="M32" s="13"/>
      <c r="N32" s="19"/>
      <c r="O32" s="13"/>
      <c r="P32" s="19"/>
      <c r="Q32" s="13"/>
      <c r="R32" s="13"/>
    </row>
    <row r="33" spans="1:18" ht="15">
      <c r="A33" s="26" t="s">
        <v>8</v>
      </c>
      <c r="B33" s="53">
        <v>2006</v>
      </c>
      <c r="C33" s="36" t="s">
        <v>39</v>
      </c>
      <c r="D33" s="37"/>
      <c r="E33" s="37">
        <v>1</v>
      </c>
      <c r="F33" s="37">
        <f>'Monthly Volumes'!G40</f>
        <v>0</v>
      </c>
      <c r="G33" s="38"/>
      <c r="H33" s="12">
        <v>0</v>
      </c>
      <c r="I33" s="6">
        <v>0</v>
      </c>
      <c r="J33" s="13">
        <f>D33*E33*H33+(F33+G33)*I33</f>
        <v>0</v>
      </c>
      <c r="K33" s="12">
        <v>0</v>
      </c>
      <c r="L33" s="6">
        <v>0</v>
      </c>
      <c r="M33" s="13">
        <f>D33*E33*K33+(F33+G33)*L33</f>
        <v>0</v>
      </c>
      <c r="N33" s="19"/>
      <c r="O33" s="13">
        <f>(F33+G33)*N33</f>
        <v>0</v>
      </c>
      <c r="P33" s="3"/>
      <c r="Q33" s="13">
        <f>(F33+G33)*P33</f>
        <v>0</v>
      </c>
      <c r="R33" s="13">
        <f>J33+M33+O33+Q33</f>
        <v>0</v>
      </c>
    </row>
    <row r="34" spans="1:18" ht="15">
      <c r="A34" s="26" t="s">
        <v>8</v>
      </c>
      <c r="B34" s="53">
        <v>2006</v>
      </c>
      <c r="C34" s="36" t="s">
        <v>40</v>
      </c>
      <c r="D34" s="37"/>
      <c r="E34" s="37">
        <v>1</v>
      </c>
      <c r="F34" s="37">
        <f>'Monthly Volumes'!G41</f>
        <v>0</v>
      </c>
      <c r="G34" s="38"/>
      <c r="H34" s="12">
        <v>0</v>
      </c>
      <c r="I34" s="6">
        <v>0</v>
      </c>
      <c r="J34" s="13">
        <f>D34*E34*H34+(F34+G34)*I34</f>
        <v>0</v>
      </c>
      <c r="K34" s="12">
        <v>0</v>
      </c>
      <c r="L34" s="6">
        <v>0</v>
      </c>
      <c r="M34" s="13">
        <f>D34*E34*K34+(F34+G34)*L34</f>
        <v>0</v>
      </c>
      <c r="N34" s="19"/>
      <c r="O34" s="13">
        <f>(F34+G34)*N34</f>
        <v>0</v>
      </c>
      <c r="P34" s="3"/>
      <c r="Q34" s="13">
        <f>(F34+G34)*P34</f>
        <v>0</v>
      </c>
      <c r="R34" s="13">
        <f>J34+M34+O34+Q34</f>
        <v>0</v>
      </c>
    </row>
    <row r="35" spans="1:18" ht="15">
      <c r="A35" s="26" t="s">
        <v>8</v>
      </c>
      <c r="B35" s="53">
        <v>2006</v>
      </c>
      <c r="C35" s="36" t="s">
        <v>41</v>
      </c>
      <c r="D35" s="37"/>
      <c r="E35" s="37">
        <v>1</v>
      </c>
      <c r="F35" s="37">
        <f>'Monthly Volumes'!G42</f>
        <v>0</v>
      </c>
      <c r="G35" s="38"/>
      <c r="H35" s="12">
        <v>0</v>
      </c>
      <c r="I35" s="6">
        <v>0</v>
      </c>
      <c r="J35" s="13">
        <f>D35*E35*H35+(F35+G35)*I35</f>
        <v>0</v>
      </c>
      <c r="K35" s="12">
        <v>0</v>
      </c>
      <c r="L35" s="6">
        <v>0</v>
      </c>
      <c r="M35" s="13">
        <f>D35*E35*K35+(F35+G35)*L35</f>
        <v>0</v>
      </c>
      <c r="N35" s="19"/>
      <c r="O35" s="13">
        <f>(F35+G35)*N35</f>
        <v>0</v>
      </c>
      <c r="P35" s="3"/>
      <c r="Q35" s="13">
        <f>(F35+G35)*P35</f>
        <v>0</v>
      </c>
      <c r="R35" s="13">
        <f>J35+M35+O35+Q35</f>
        <v>0</v>
      </c>
    </row>
    <row r="36" spans="1:18" ht="15">
      <c r="A36" s="26" t="s">
        <v>8</v>
      </c>
      <c r="B36" s="53">
        <v>2006</v>
      </c>
      <c r="C36" s="36" t="s">
        <v>42</v>
      </c>
      <c r="D36" s="37"/>
      <c r="E36" s="37">
        <v>1</v>
      </c>
      <c r="F36" s="37">
        <f>'Monthly Volumes'!G43</f>
        <v>0</v>
      </c>
      <c r="G36" s="38"/>
      <c r="H36" s="12">
        <v>0</v>
      </c>
      <c r="I36" s="6">
        <v>0</v>
      </c>
      <c r="J36" s="13">
        <f>D36*E36*H36+(F36+G36)*I36</f>
        <v>0</v>
      </c>
      <c r="K36" s="12">
        <v>0</v>
      </c>
      <c r="L36" s="6">
        <v>0</v>
      </c>
      <c r="M36" s="13">
        <f>D36*E36*K36+(F36+G36)*L36</f>
        <v>0</v>
      </c>
      <c r="N36" s="19"/>
      <c r="O36" s="13">
        <f>(F36+G36)*N36</f>
        <v>0</v>
      </c>
      <c r="P36" s="3"/>
      <c r="Q36" s="13">
        <f>(F36+G36)*P36</f>
        <v>0</v>
      </c>
      <c r="R36" s="13">
        <f>J36+M36+O36+Q36</f>
        <v>0</v>
      </c>
    </row>
    <row r="37" spans="1:18" ht="15" hidden="1">
      <c r="A37" s="26" t="s">
        <v>8</v>
      </c>
      <c r="B37" s="53">
        <v>2006</v>
      </c>
      <c r="C37" s="36" t="s">
        <v>35</v>
      </c>
      <c r="D37" s="37"/>
      <c r="E37" s="37">
        <v>1</v>
      </c>
      <c r="F37" s="37">
        <f>'Monthly Volumes'!G44</f>
        <v>0</v>
      </c>
      <c r="G37" s="38"/>
      <c r="H37" s="12">
        <v>0</v>
      </c>
      <c r="I37" s="6">
        <v>0</v>
      </c>
      <c r="J37" s="13">
        <f aca="true" t="shared" si="10" ref="J37:J44">D37*E37*H37+(F37+G37)*I37</f>
        <v>0</v>
      </c>
      <c r="K37" s="12">
        <v>0</v>
      </c>
      <c r="L37" s="6">
        <v>0</v>
      </c>
      <c r="M37" s="13">
        <f aca="true" t="shared" si="11" ref="M37:M44">D37*E37*K37+(F37+G37)*L37</f>
        <v>0</v>
      </c>
      <c r="N37" s="19"/>
      <c r="O37" s="13">
        <f aca="true" t="shared" si="12" ref="O37:O44">(F37+G37)*N37</f>
        <v>0</v>
      </c>
      <c r="P37" s="3"/>
      <c r="Q37" s="13">
        <f aca="true" t="shared" si="13" ref="Q37:Q44">(F37+G37)*P37</f>
        <v>0</v>
      </c>
      <c r="R37" s="13">
        <f aca="true" t="shared" si="14" ref="R37:R44">J37+M37+O37+Q37</f>
        <v>0</v>
      </c>
    </row>
    <row r="38" spans="1:18" ht="15" hidden="1">
      <c r="A38" s="26" t="s">
        <v>8</v>
      </c>
      <c r="B38" s="53">
        <v>2006</v>
      </c>
      <c r="C38" s="36" t="s">
        <v>43</v>
      </c>
      <c r="D38" s="37"/>
      <c r="E38" s="37">
        <v>1</v>
      </c>
      <c r="F38" s="37">
        <f>'Monthly Volumes'!G45</f>
        <v>0</v>
      </c>
      <c r="G38" s="38"/>
      <c r="H38" s="12">
        <v>0</v>
      </c>
      <c r="I38" s="6">
        <v>0</v>
      </c>
      <c r="J38" s="13">
        <f t="shared" si="10"/>
        <v>0</v>
      </c>
      <c r="K38" s="12">
        <v>0</v>
      </c>
      <c r="L38" s="6">
        <v>0</v>
      </c>
      <c r="M38" s="13">
        <f t="shared" si="11"/>
        <v>0</v>
      </c>
      <c r="N38" s="19"/>
      <c r="O38" s="13">
        <f t="shared" si="12"/>
        <v>0</v>
      </c>
      <c r="P38" s="3"/>
      <c r="Q38" s="13">
        <f t="shared" si="13"/>
        <v>0</v>
      </c>
      <c r="R38" s="13">
        <f t="shared" si="14"/>
        <v>0</v>
      </c>
    </row>
    <row r="39" spans="1:18" ht="15" hidden="1">
      <c r="A39" s="26" t="s">
        <v>8</v>
      </c>
      <c r="B39" s="53">
        <v>2006</v>
      </c>
      <c r="C39" s="36" t="s">
        <v>44</v>
      </c>
      <c r="D39" s="37"/>
      <c r="E39" s="37">
        <v>1</v>
      </c>
      <c r="F39" s="37">
        <f>'Monthly Volumes'!G46</f>
        <v>0</v>
      </c>
      <c r="G39" s="38"/>
      <c r="H39" s="12">
        <v>0</v>
      </c>
      <c r="I39" s="6">
        <v>0</v>
      </c>
      <c r="J39" s="13">
        <f t="shared" si="10"/>
        <v>0</v>
      </c>
      <c r="K39" s="12">
        <v>0</v>
      </c>
      <c r="L39" s="6">
        <v>0</v>
      </c>
      <c r="M39" s="13">
        <f t="shared" si="11"/>
        <v>0</v>
      </c>
      <c r="N39" s="19"/>
      <c r="O39" s="13">
        <f t="shared" si="12"/>
        <v>0</v>
      </c>
      <c r="P39" s="3"/>
      <c r="Q39" s="13">
        <f t="shared" si="13"/>
        <v>0</v>
      </c>
      <c r="R39" s="13">
        <f t="shared" si="14"/>
        <v>0</v>
      </c>
    </row>
    <row r="40" spans="1:18" ht="15" hidden="1">
      <c r="A40" s="26" t="s">
        <v>8</v>
      </c>
      <c r="B40" s="53">
        <v>2006</v>
      </c>
      <c r="C40" s="36" t="s">
        <v>45</v>
      </c>
      <c r="D40" s="37"/>
      <c r="E40" s="37">
        <v>1</v>
      </c>
      <c r="F40" s="37">
        <f>'Monthly Volumes'!G47</f>
        <v>0</v>
      </c>
      <c r="G40" s="38"/>
      <c r="H40" s="12">
        <v>0</v>
      </c>
      <c r="I40" s="6">
        <v>0</v>
      </c>
      <c r="J40" s="13">
        <f t="shared" si="10"/>
        <v>0</v>
      </c>
      <c r="K40" s="12">
        <v>0</v>
      </c>
      <c r="L40" s="6">
        <v>0</v>
      </c>
      <c r="M40" s="13">
        <f t="shared" si="11"/>
        <v>0</v>
      </c>
      <c r="N40" s="19"/>
      <c r="O40" s="13">
        <f t="shared" si="12"/>
        <v>0</v>
      </c>
      <c r="P40" s="3"/>
      <c r="Q40" s="13">
        <f t="shared" si="13"/>
        <v>0</v>
      </c>
      <c r="R40" s="13">
        <f t="shared" si="14"/>
        <v>0</v>
      </c>
    </row>
    <row r="41" spans="1:18" ht="15" hidden="1">
      <c r="A41" s="26" t="s">
        <v>8</v>
      </c>
      <c r="B41" s="53">
        <v>2006</v>
      </c>
      <c r="C41" s="36" t="s">
        <v>46</v>
      </c>
      <c r="D41" s="37"/>
      <c r="E41" s="37">
        <v>1</v>
      </c>
      <c r="F41" s="37">
        <f>'Monthly Volumes'!G48</f>
        <v>0</v>
      </c>
      <c r="G41" s="38"/>
      <c r="H41" s="12">
        <v>0</v>
      </c>
      <c r="I41" s="6">
        <v>0</v>
      </c>
      <c r="J41" s="13">
        <f t="shared" si="10"/>
        <v>0</v>
      </c>
      <c r="K41" s="12">
        <v>0</v>
      </c>
      <c r="L41" s="6">
        <v>0</v>
      </c>
      <c r="M41" s="13">
        <f t="shared" si="11"/>
        <v>0</v>
      </c>
      <c r="N41" s="19"/>
      <c r="O41" s="13">
        <f t="shared" si="12"/>
        <v>0</v>
      </c>
      <c r="P41" s="3"/>
      <c r="Q41" s="13">
        <f t="shared" si="13"/>
        <v>0</v>
      </c>
      <c r="R41" s="13">
        <f t="shared" si="14"/>
        <v>0</v>
      </c>
    </row>
    <row r="42" spans="1:18" ht="15" hidden="1">
      <c r="A42" s="26" t="s">
        <v>8</v>
      </c>
      <c r="B42" s="53">
        <v>2006</v>
      </c>
      <c r="C42" s="36" t="s">
        <v>47</v>
      </c>
      <c r="D42" s="37"/>
      <c r="E42" s="37">
        <v>1</v>
      </c>
      <c r="F42" s="37">
        <f>'Monthly Volumes'!G49</f>
        <v>0</v>
      </c>
      <c r="G42" s="38"/>
      <c r="H42" s="12">
        <v>0</v>
      </c>
      <c r="I42" s="6">
        <v>0</v>
      </c>
      <c r="J42" s="13">
        <f t="shared" si="10"/>
        <v>0</v>
      </c>
      <c r="K42" s="12">
        <v>0</v>
      </c>
      <c r="L42" s="6">
        <v>0</v>
      </c>
      <c r="M42" s="13">
        <f t="shared" si="11"/>
        <v>0</v>
      </c>
      <c r="N42" s="19"/>
      <c r="O42" s="13">
        <f t="shared" si="12"/>
        <v>0</v>
      </c>
      <c r="P42" s="3"/>
      <c r="Q42" s="13">
        <f t="shared" si="13"/>
        <v>0</v>
      </c>
      <c r="R42" s="13">
        <f t="shared" si="14"/>
        <v>0</v>
      </c>
    </row>
    <row r="43" spans="1:18" ht="15" hidden="1">
      <c r="A43" s="26" t="s">
        <v>8</v>
      </c>
      <c r="B43" s="53">
        <v>2006</v>
      </c>
      <c r="C43" s="36" t="s">
        <v>48</v>
      </c>
      <c r="D43" s="37"/>
      <c r="E43" s="37">
        <v>1</v>
      </c>
      <c r="F43" s="37">
        <f>'Monthly Volumes'!G50</f>
        <v>0</v>
      </c>
      <c r="G43" s="38"/>
      <c r="H43" s="12">
        <v>0</v>
      </c>
      <c r="I43" s="6">
        <v>0</v>
      </c>
      <c r="J43" s="13">
        <f t="shared" si="10"/>
        <v>0</v>
      </c>
      <c r="K43" s="12">
        <v>0</v>
      </c>
      <c r="L43" s="6">
        <v>0</v>
      </c>
      <c r="M43" s="13">
        <f t="shared" si="11"/>
        <v>0</v>
      </c>
      <c r="N43" s="19"/>
      <c r="O43" s="13">
        <f t="shared" si="12"/>
        <v>0</v>
      </c>
      <c r="P43" s="3"/>
      <c r="Q43" s="13">
        <f t="shared" si="13"/>
        <v>0</v>
      </c>
      <c r="R43" s="13">
        <f t="shared" si="14"/>
        <v>0</v>
      </c>
    </row>
    <row r="44" spans="1:18" ht="15" hidden="1">
      <c r="A44" s="26" t="s">
        <v>8</v>
      </c>
      <c r="B44" s="53">
        <v>2006</v>
      </c>
      <c r="C44" s="36" t="s">
        <v>49</v>
      </c>
      <c r="D44" s="37"/>
      <c r="E44" s="37">
        <v>1</v>
      </c>
      <c r="F44" s="37">
        <f>'Monthly Volumes'!G51</f>
        <v>0</v>
      </c>
      <c r="G44" s="38"/>
      <c r="H44" s="12">
        <v>0</v>
      </c>
      <c r="I44" s="6">
        <v>0</v>
      </c>
      <c r="J44" s="13">
        <f t="shared" si="10"/>
        <v>0</v>
      </c>
      <c r="K44" s="12">
        <v>0</v>
      </c>
      <c r="L44" s="6">
        <v>0</v>
      </c>
      <c r="M44" s="13">
        <f t="shared" si="11"/>
        <v>0</v>
      </c>
      <c r="N44" s="19"/>
      <c r="O44" s="13">
        <f t="shared" si="12"/>
        <v>0</v>
      </c>
      <c r="P44" s="3"/>
      <c r="Q44" s="13">
        <f t="shared" si="13"/>
        <v>0</v>
      </c>
      <c r="R44" s="13">
        <f t="shared" si="14"/>
        <v>0</v>
      </c>
    </row>
    <row r="45" spans="1:18" ht="15.75" thickBot="1">
      <c r="A45" s="26"/>
      <c r="B45" s="53"/>
      <c r="C45" s="36"/>
      <c r="D45" s="37"/>
      <c r="E45" s="37"/>
      <c r="F45" s="37"/>
      <c r="G45" s="38"/>
      <c r="H45" s="12"/>
      <c r="I45" s="6"/>
      <c r="J45" s="13"/>
      <c r="K45" s="12"/>
      <c r="L45" s="6"/>
      <c r="M45" s="13"/>
      <c r="N45" s="19"/>
      <c r="O45" s="13"/>
      <c r="P45" s="3"/>
      <c r="Q45" s="13"/>
      <c r="R45" s="13"/>
    </row>
    <row r="46" spans="1:18" ht="15.75" thickBot="1">
      <c r="A46" s="55" t="s">
        <v>60</v>
      </c>
      <c r="B46" s="56"/>
      <c r="C46" s="57"/>
      <c r="D46" s="58">
        <f>SUM(D33:D45)</f>
        <v>0</v>
      </c>
      <c r="E46" s="58"/>
      <c r="F46" s="58">
        <f>SUM(F33:F45)</f>
        <v>0</v>
      </c>
      <c r="G46" s="59">
        <f>SUM(G33:G45)</f>
        <v>0</v>
      </c>
      <c r="H46" s="60"/>
      <c r="I46" s="61"/>
      <c r="J46" s="62">
        <f>SUM(J33:J45)</f>
        <v>0</v>
      </c>
      <c r="K46" s="60"/>
      <c r="L46" s="61"/>
      <c r="M46" s="62">
        <f>SUM(M33:M45)</f>
        <v>0</v>
      </c>
      <c r="N46" s="63"/>
      <c r="O46" s="62">
        <f>SUM(O33:O45)</f>
        <v>0</v>
      </c>
      <c r="P46" s="63"/>
      <c r="Q46" s="62">
        <f>SUM(Q33:Q45)</f>
        <v>0</v>
      </c>
      <c r="R46" s="62">
        <f>SUM(R33:R45)</f>
        <v>0</v>
      </c>
    </row>
    <row r="47" spans="1:18" ht="15">
      <c r="A47" s="26"/>
      <c r="B47" s="53"/>
      <c r="C47" s="36"/>
      <c r="D47" s="37"/>
      <c r="E47" s="37"/>
      <c r="F47" s="37"/>
      <c r="G47" s="54"/>
      <c r="H47" s="12"/>
      <c r="I47" s="6"/>
      <c r="J47" s="13"/>
      <c r="K47" s="12"/>
      <c r="L47" s="6"/>
      <c r="M47" s="13"/>
      <c r="N47" s="19"/>
      <c r="O47" s="13"/>
      <c r="P47" s="19"/>
      <c r="Q47" s="13"/>
      <c r="R47" s="13"/>
    </row>
    <row r="48" spans="1:18" ht="15">
      <c r="A48" s="26" t="s">
        <v>2</v>
      </c>
      <c r="B48" s="53">
        <v>2006</v>
      </c>
      <c r="C48" s="36" t="s">
        <v>39</v>
      </c>
      <c r="D48" s="37"/>
      <c r="E48" s="37">
        <v>1</v>
      </c>
      <c r="F48" s="39"/>
      <c r="G48" s="40">
        <f>'Monthly Volumes'!P4</f>
        <v>1568.075</v>
      </c>
      <c r="H48" s="12">
        <v>0</v>
      </c>
      <c r="I48" s="6">
        <v>0</v>
      </c>
      <c r="J48" s="13">
        <f>D48*E48*H48+(F48+G48)*I48</f>
        <v>0</v>
      </c>
      <c r="K48" s="12">
        <v>0</v>
      </c>
      <c r="L48" s="6">
        <v>0</v>
      </c>
      <c r="M48" s="13">
        <f>D48*E48*K48+(F48+G48)*L48</f>
        <v>0</v>
      </c>
      <c r="N48" s="19"/>
      <c r="O48" s="13">
        <f>(F48+G48)*N48</f>
        <v>0</v>
      </c>
      <c r="P48" s="3">
        <f>'2005 PILS Recoveries'!P51</f>
        <v>0.09368956433936645</v>
      </c>
      <c r="Q48" s="13">
        <f>(F48+G48)*P48</f>
        <v>146.91226360145205</v>
      </c>
      <c r="R48" s="13">
        <f>J48+M48+O48+Q48</f>
        <v>146.91226360145205</v>
      </c>
    </row>
    <row r="49" spans="1:18" ht="15">
      <c r="A49" s="26" t="s">
        <v>2</v>
      </c>
      <c r="B49" s="53">
        <v>2006</v>
      </c>
      <c r="C49" s="36" t="s">
        <v>40</v>
      </c>
      <c r="D49" s="37"/>
      <c r="E49" s="37">
        <v>1</v>
      </c>
      <c r="F49" s="39"/>
      <c r="G49" s="40">
        <f>'Monthly Volumes'!P5</f>
        <v>1568.075</v>
      </c>
      <c r="H49" s="12">
        <v>0</v>
      </c>
      <c r="I49" s="6">
        <v>0</v>
      </c>
      <c r="J49" s="13">
        <f>D49*E49*H49+(F49+G49)*I49</f>
        <v>0</v>
      </c>
      <c r="K49" s="12">
        <v>0</v>
      </c>
      <c r="L49" s="6">
        <v>0</v>
      </c>
      <c r="M49" s="13">
        <f>D49*E49*K49+(F49+G49)*L49</f>
        <v>0</v>
      </c>
      <c r="N49" s="19"/>
      <c r="O49" s="13">
        <f>(F49+G49)*N49</f>
        <v>0</v>
      </c>
      <c r="P49" s="3">
        <f>'2005 PILS Recoveries'!P52</f>
        <v>0.09368956433936645</v>
      </c>
      <c r="Q49" s="13">
        <f>(F49+G49)*P49</f>
        <v>146.91226360145205</v>
      </c>
      <c r="R49" s="13">
        <f>J49+M49+O49+Q49</f>
        <v>146.91226360145205</v>
      </c>
    </row>
    <row r="50" spans="1:18" ht="15">
      <c r="A50" s="26" t="s">
        <v>2</v>
      </c>
      <c r="B50" s="53">
        <v>2006</v>
      </c>
      <c r="C50" s="36" t="s">
        <v>41</v>
      </c>
      <c r="D50" s="37"/>
      <c r="E50" s="37">
        <v>1</v>
      </c>
      <c r="F50" s="39"/>
      <c r="G50" s="40">
        <f>'Monthly Volumes'!P6</f>
        <v>1568.075</v>
      </c>
      <c r="H50" s="12">
        <v>0</v>
      </c>
      <c r="I50" s="6">
        <v>0</v>
      </c>
      <c r="J50" s="13">
        <f>D50*E50*H50+(F50+G50)*I50</f>
        <v>0</v>
      </c>
      <c r="K50" s="12">
        <v>0</v>
      </c>
      <c r="L50" s="6">
        <v>0</v>
      </c>
      <c r="M50" s="13">
        <f>D50*E50*K50+(F50+G50)*L50</f>
        <v>0</v>
      </c>
      <c r="N50" s="19"/>
      <c r="O50" s="13">
        <f>(F50+G50)*N50</f>
        <v>0</v>
      </c>
      <c r="P50" s="3">
        <f>'2005 PILS Recoveries'!P53</f>
        <v>0.09368956433936645</v>
      </c>
      <c r="Q50" s="13">
        <f>(F50+G50)*P50</f>
        <v>146.91226360145205</v>
      </c>
      <c r="R50" s="13">
        <f>J50+M50+O50+Q50</f>
        <v>146.91226360145205</v>
      </c>
    </row>
    <row r="51" spans="1:18" ht="12.75" customHeight="1">
      <c r="A51" s="26" t="s">
        <v>2</v>
      </c>
      <c r="B51" s="53">
        <v>2006</v>
      </c>
      <c r="C51" s="36" t="s">
        <v>42</v>
      </c>
      <c r="D51" s="37"/>
      <c r="E51" s="37">
        <v>1</v>
      </c>
      <c r="F51" s="39"/>
      <c r="G51" s="40">
        <f>'Monthly Volumes'!P7</f>
        <v>1568.075</v>
      </c>
      <c r="H51" s="12">
        <v>0</v>
      </c>
      <c r="I51" s="6">
        <v>0</v>
      </c>
      <c r="J51" s="13">
        <f>D51*E51*H51+(F51+G51)*I51</f>
        <v>0</v>
      </c>
      <c r="K51" s="12">
        <v>0</v>
      </c>
      <c r="L51" s="6">
        <v>0</v>
      </c>
      <c r="M51" s="13">
        <f>D51*E51*K51+(F51+G51)*L51</f>
        <v>0</v>
      </c>
      <c r="N51" s="19"/>
      <c r="O51" s="13">
        <f>(F51+G51)*N51</f>
        <v>0</v>
      </c>
      <c r="P51" s="3">
        <f>'2005 PILS Recoveries'!P54</f>
        <v>0.09368956433936645</v>
      </c>
      <c r="Q51" s="13">
        <f>(F51+G51)*P51</f>
        <v>146.91226360145205</v>
      </c>
      <c r="R51" s="13">
        <f>J51+M51+O51+Q51</f>
        <v>146.91226360145205</v>
      </c>
    </row>
    <row r="52" spans="1:18" ht="15" hidden="1">
      <c r="A52" s="26" t="s">
        <v>2</v>
      </c>
      <c r="B52" s="53">
        <v>2006</v>
      </c>
      <c r="C52" s="36" t="s">
        <v>35</v>
      </c>
      <c r="D52" s="37"/>
      <c r="E52" s="37">
        <v>1</v>
      </c>
      <c r="F52" s="39"/>
      <c r="G52" s="40">
        <f>'Monthly Volumes'!P8</f>
        <v>0</v>
      </c>
      <c r="H52" s="12">
        <v>0</v>
      </c>
      <c r="I52" s="6">
        <v>0</v>
      </c>
      <c r="J52" s="13">
        <f aca="true" t="shared" si="15" ref="J52:J59">D52*E52*H52+(F52+G52)*I52</f>
        <v>0</v>
      </c>
      <c r="K52" s="12">
        <v>0</v>
      </c>
      <c r="L52" s="6">
        <v>0</v>
      </c>
      <c r="M52" s="13">
        <f aca="true" t="shared" si="16" ref="M52:M59">D52*E52*K52+(F52+G52)*L52</f>
        <v>0</v>
      </c>
      <c r="N52" s="19"/>
      <c r="O52" s="13">
        <f aca="true" t="shared" si="17" ref="O52:O59">(F52+G52)*N52</f>
        <v>0</v>
      </c>
      <c r="P52" s="3">
        <v>0.1666</v>
      </c>
      <c r="Q52" s="13">
        <f aca="true" t="shared" si="18" ref="Q52:Q59">(F52+G52)*P52</f>
        <v>0</v>
      </c>
      <c r="R52" s="13">
        <f aca="true" t="shared" si="19" ref="R52:R59">J52+M52+O52+Q52</f>
        <v>0</v>
      </c>
    </row>
    <row r="53" spans="1:18" ht="15" hidden="1">
      <c r="A53" s="26" t="s">
        <v>2</v>
      </c>
      <c r="B53" s="53">
        <v>2006</v>
      </c>
      <c r="C53" s="36" t="s">
        <v>43</v>
      </c>
      <c r="D53" s="37"/>
      <c r="E53" s="37">
        <v>1</v>
      </c>
      <c r="F53" s="39"/>
      <c r="G53" s="40">
        <f>'Monthly Volumes'!P9</f>
        <v>0</v>
      </c>
      <c r="H53" s="12">
        <v>0</v>
      </c>
      <c r="I53" s="6">
        <v>0</v>
      </c>
      <c r="J53" s="13">
        <f t="shared" si="15"/>
        <v>0</v>
      </c>
      <c r="K53" s="12">
        <v>0</v>
      </c>
      <c r="L53" s="6">
        <v>0</v>
      </c>
      <c r="M53" s="13">
        <f t="shared" si="16"/>
        <v>0</v>
      </c>
      <c r="N53" s="19"/>
      <c r="O53" s="13">
        <f t="shared" si="17"/>
        <v>0</v>
      </c>
      <c r="P53" s="3">
        <v>0.1666</v>
      </c>
      <c r="Q53" s="13">
        <f t="shared" si="18"/>
        <v>0</v>
      </c>
      <c r="R53" s="13">
        <f t="shared" si="19"/>
        <v>0</v>
      </c>
    </row>
    <row r="54" spans="1:18" ht="15" hidden="1">
      <c r="A54" s="26" t="s">
        <v>2</v>
      </c>
      <c r="B54" s="53">
        <v>2006</v>
      </c>
      <c r="C54" s="36" t="s">
        <v>44</v>
      </c>
      <c r="D54" s="37"/>
      <c r="E54" s="37">
        <v>1</v>
      </c>
      <c r="F54" s="39"/>
      <c r="G54" s="40">
        <f>'Monthly Volumes'!P10</f>
        <v>0</v>
      </c>
      <c r="H54" s="12">
        <v>0</v>
      </c>
      <c r="I54" s="6">
        <v>0</v>
      </c>
      <c r="J54" s="13">
        <f t="shared" si="15"/>
        <v>0</v>
      </c>
      <c r="K54" s="12">
        <v>0</v>
      </c>
      <c r="L54" s="6">
        <v>0</v>
      </c>
      <c r="M54" s="13">
        <f t="shared" si="16"/>
        <v>0</v>
      </c>
      <c r="N54" s="19"/>
      <c r="O54" s="13">
        <f t="shared" si="17"/>
        <v>0</v>
      </c>
      <c r="P54" s="3">
        <v>0.1666</v>
      </c>
      <c r="Q54" s="13">
        <f t="shared" si="18"/>
        <v>0</v>
      </c>
      <c r="R54" s="13">
        <f t="shared" si="19"/>
        <v>0</v>
      </c>
    </row>
    <row r="55" spans="1:18" ht="15" hidden="1">
      <c r="A55" s="26" t="s">
        <v>2</v>
      </c>
      <c r="B55" s="53">
        <v>2006</v>
      </c>
      <c r="C55" s="36" t="s">
        <v>45</v>
      </c>
      <c r="D55" s="37"/>
      <c r="E55" s="37">
        <v>1</v>
      </c>
      <c r="F55" s="39"/>
      <c r="G55" s="40">
        <f>'Monthly Volumes'!P11</f>
        <v>0</v>
      </c>
      <c r="H55" s="12">
        <v>0</v>
      </c>
      <c r="I55" s="6">
        <v>0</v>
      </c>
      <c r="J55" s="13">
        <f t="shared" si="15"/>
        <v>0</v>
      </c>
      <c r="K55" s="12">
        <v>0</v>
      </c>
      <c r="L55" s="6">
        <v>0</v>
      </c>
      <c r="M55" s="13">
        <f t="shared" si="16"/>
        <v>0</v>
      </c>
      <c r="N55" s="19"/>
      <c r="O55" s="13">
        <f t="shared" si="17"/>
        <v>0</v>
      </c>
      <c r="P55" s="3">
        <v>0.1666</v>
      </c>
      <c r="Q55" s="13">
        <f t="shared" si="18"/>
        <v>0</v>
      </c>
      <c r="R55" s="13">
        <f t="shared" si="19"/>
        <v>0</v>
      </c>
    </row>
    <row r="56" spans="1:18" ht="15" hidden="1">
      <c r="A56" s="26" t="s">
        <v>2</v>
      </c>
      <c r="B56" s="53">
        <v>2006</v>
      </c>
      <c r="C56" s="36" t="s">
        <v>46</v>
      </c>
      <c r="D56" s="37"/>
      <c r="E56" s="37">
        <v>1</v>
      </c>
      <c r="F56" s="39"/>
      <c r="G56" s="40">
        <f>'Monthly Volumes'!P12</f>
        <v>0</v>
      </c>
      <c r="H56" s="12">
        <v>0</v>
      </c>
      <c r="I56" s="6">
        <v>0</v>
      </c>
      <c r="J56" s="13">
        <f t="shared" si="15"/>
        <v>0</v>
      </c>
      <c r="K56" s="12">
        <v>0</v>
      </c>
      <c r="L56" s="6">
        <v>0</v>
      </c>
      <c r="M56" s="13">
        <f t="shared" si="16"/>
        <v>0</v>
      </c>
      <c r="N56" s="19"/>
      <c r="O56" s="13">
        <f t="shared" si="17"/>
        <v>0</v>
      </c>
      <c r="P56" s="3">
        <v>0.1666</v>
      </c>
      <c r="Q56" s="13">
        <f t="shared" si="18"/>
        <v>0</v>
      </c>
      <c r="R56" s="13">
        <f t="shared" si="19"/>
        <v>0</v>
      </c>
    </row>
    <row r="57" spans="1:18" ht="15" hidden="1">
      <c r="A57" s="26" t="s">
        <v>2</v>
      </c>
      <c r="B57" s="53">
        <v>2006</v>
      </c>
      <c r="C57" s="36" t="s">
        <v>47</v>
      </c>
      <c r="D57" s="37"/>
      <c r="E57" s="37">
        <v>1</v>
      </c>
      <c r="F57" s="39"/>
      <c r="G57" s="40">
        <f>'Monthly Volumes'!P13</f>
        <v>0</v>
      </c>
      <c r="H57" s="12">
        <v>0</v>
      </c>
      <c r="I57" s="6">
        <v>0</v>
      </c>
      <c r="J57" s="13">
        <f t="shared" si="15"/>
        <v>0</v>
      </c>
      <c r="K57" s="12">
        <v>0</v>
      </c>
      <c r="L57" s="6">
        <v>0</v>
      </c>
      <c r="M57" s="13">
        <f t="shared" si="16"/>
        <v>0</v>
      </c>
      <c r="N57" s="19"/>
      <c r="O57" s="13">
        <f t="shared" si="17"/>
        <v>0</v>
      </c>
      <c r="P57" s="3">
        <v>0.1666</v>
      </c>
      <c r="Q57" s="13">
        <f t="shared" si="18"/>
        <v>0</v>
      </c>
      <c r="R57" s="13">
        <f t="shared" si="19"/>
        <v>0</v>
      </c>
    </row>
    <row r="58" spans="1:18" ht="15" hidden="1">
      <c r="A58" s="26" t="s">
        <v>2</v>
      </c>
      <c r="B58" s="53">
        <v>2006</v>
      </c>
      <c r="C58" s="36" t="s">
        <v>48</v>
      </c>
      <c r="D58" s="37"/>
      <c r="E58" s="37">
        <v>1</v>
      </c>
      <c r="F58" s="39"/>
      <c r="G58" s="40">
        <f>'Monthly Volumes'!P14</f>
        <v>0</v>
      </c>
      <c r="H58" s="12">
        <v>0</v>
      </c>
      <c r="I58" s="6">
        <v>0</v>
      </c>
      <c r="J58" s="13">
        <f t="shared" si="15"/>
        <v>0</v>
      </c>
      <c r="K58" s="12">
        <v>0</v>
      </c>
      <c r="L58" s="6">
        <v>0</v>
      </c>
      <c r="M58" s="13">
        <f t="shared" si="16"/>
        <v>0</v>
      </c>
      <c r="N58" s="19"/>
      <c r="O58" s="13">
        <f t="shared" si="17"/>
        <v>0</v>
      </c>
      <c r="P58" s="3">
        <v>0.1666</v>
      </c>
      <c r="Q58" s="13">
        <f t="shared" si="18"/>
        <v>0</v>
      </c>
      <c r="R58" s="13">
        <f t="shared" si="19"/>
        <v>0</v>
      </c>
    </row>
    <row r="59" spans="1:18" ht="1.5" customHeight="1">
      <c r="A59" s="26" t="s">
        <v>2</v>
      </c>
      <c r="B59" s="53">
        <v>2006</v>
      </c>
      <c r="C59" s="36" t="s">
        <v>49</v>
      </c>
      <c r="D59" s="37"/>
      <c r="E59" s="37">
        <v>1</v>
      </c>
      <c r="F59" s="39"/>
      <c r="G59" s="40">
        <f>'Monthly Volumes'!P15</f>
        <v>0</v>
      </c>
      <c r="H59" s="12">
        <v>0</v>
      </c>
      <c r="I59" s="6">
        <v>0</v>
      </c>
      <c r="J59" s="13">
        <f t="shared" si="15"/>
        <v>0</v>
      </c>
      <c r="K59" s="12">
        <v>0</v>
      </c>
      <c r="L59" s="6">
        <v>0</v>
      </c>
      <c r="M59" s="13">
        <f t="shared" si="16"/>
        <v>0</v>
      </c>
      <c r="N59" s="19"/>
      <c r="O59" s="13">
        <f t="shared" si="17"/>
        <v>0</v>
      </c>
      <c r="P59" s="3">
        <v>0.1666</v>
      </c>
      <c r="Q59" s="13">
        <f t="shared" si="18"/>
        <v>0</v>
      </c>
      <c r="R59" s="13">
        <f t="shared" si="19"/>
        <v>0</v>
      </c>
    </row>
    <row r="60" spans="1:18" ht="16.5" customHeight="1" thickBot="1">
      <c r="A60" s="26"/>
      <c r="B60" s="53"/>
      <c r="C60" s="36"/>
      <c r="D60" s="37"/>
      <c r="E60" s="37"/>
      <c r="F60" s="39"/>
      <c r="G60" s="40"/>
      <c r="H60" s="12"/>
      <c r="I60" s="6"/>
      <c r="J60" s="13"/>
      <c r="K60" s="12"/>
      <c r="L60" s="6"/>
      <c r="M60" s="13"/>
      <c r="N60" s="19"/>
      <c r="O60" s="13"/>
      <c r="P60" s="3"/>
      <c r="Q60" s="13"/>
      <c r="R60" s="13"/>
    </row>
    <row r="61" spans="1:18" ht="15.75" thickBot="1">
      <c r="A61" s="55" t="s">
        <v>61</v>
      </c>
      <c r="B61" s="56"/>
      <c r="C61" s="57"/>
      <c r="D61" s="58">
        <f>SUM(D48:D60)</f>
        <v>0</v>
      </c>
      <c r="E61" s="58"/>
      <c r="F61" s="58">
        <f>SUM(F48:F60)</f>
        <v>0</v>
      </c>
      <c r="G61" s="59">
        <f>SUM(G48:G60)</f>
        <v>6272.3</v>
      </c>
      <c r="H61" s="60"/>
      <c r="I61" s="61"/>
      <c r="J61" s="62">
        <f>SUM(J48:J60)</f>
        <v>0</v>
      </c>
      <c r="K61" s="60"/>
      <c r="L61" s="61"/>
      <c r="M61" s="62">
        <f>SUM(M48:M60)</f>
        <v>0</v>
      </c>
      <c r="N61" s="63"/>
      <c r="O61" s="62">
        <f>SUM(O48:O60)</f>
        <v>0</v>
      </c>
      <c r="P61" s="63"/>
      <c r="Q61" s="62">
        <f>SUM(Q48:Q60)</f>
        <v>587.6490544058082</v>
      </c>
      <c r="R61" s="62">
        <f>SUM(R48:R60)</f>
        <v>587.6490544058082</v>
      </c>
    </row>
    <row r="62" spans="1:18" ht="15">
      <c r="A62" s="26"/>
      <c r="B62" s="53"/>
      <c r="C62" s="36"/>
      <c r="D62" s="37"/>
      <c r="E62" s="37"/>
      <c r="F62" s="39"/>
      <c r="G62" s="40"/>
      <c r="H62" s="12"/>
      <c r="I62" s="6"/>
      <c r="J62" s="13"/>
      <c r="K62" s="12"/>
      <c r="L62" s="6"/>
      <c r="M62" s="13"/>
      <c r="N62" s="19"/>
      <c r="O62" s="13"/>
      <c r="P62" s="19"/>
      <c r="Q62" s="13"/>
      <c r="R62" s="13"/>
    </row>
    <row r="63" spans="1:18" ht="15">
      <c r="A63" s="26" t="str">
        <f>'2005 PILS Recoveries'!A63</f>
        <v>Intermediate</v>
      </c>
      <c r="B63" s="53">
        <v>2006</v>
      </c>
      <c r="C63" s="36" t="s">
        <v>39</v>
      </c>
      <c r="D63" s="37"/>
      <c r="E63" s="37">
        <v>1</v>
      </c>
      <c r="F63" s="39"/>
      <c r="G63" s="40">
        <f>'Monthly Volumes'!P22</f>
        <v>2833.1083333333336</v>
      </c>
      <c r="H63" s="12">
        <v>0</v>
      </c>
      <c r="I63" s="6">
        <v>0</v>
      </c>
      <c r="J63" s="13">
        <f aca="true" t="shared" si="20" ref="J63:J68">D63*E63*H63+(F63+G63)*I63</f>
        <v>0</v>
      </c>
      <c r="K63" s="12">
        <v>0</v>
      </c>
      <c r="L63" s="6">
        <v>0</v>
      </c>
      <c r="M63" s="13">
        <f aca="true" t="shared" si="21" ref="M63:M68">D63*E63*K63+(F63+G63)*L63</f>
        <v>0</v>
      </c>
      <c r="N63" s="19"/>
      <c r="O63" s="13">
        <f aca="true" t="shared" si="22" ref="O63:O68">(F63+G63)*N63</f>
        <v>0</v>
      </c>
      <c r="P63" s="5">
        <f>'2005 PILS Recoveries'!P66</f>
        <v>0.0468565519128949</v>
      </c>
      <c r="Q63" s="13">
        <f aca="true" t="shared" si="23" ref="Q63:Q68">(F63+G63)*P63</f>
        <v>132.7496876956885</v>
      </c>
      <c r="R63" s="13">
        <f aca="true" t="shared" si="24" ref="R63:R68">J63+M63+O63+Q63</f>
        <v>132.7496876956885</v>
      </c>
    </row>
    <row r="64" spans="1:18" ht="15">
      <c r="A64" s="26" t="str">
        <f>'2005 PILS Recoveries'!A64</f>
        <v>Intermediate</v>
      </c>
      <c r="B64" s="53">
        <v>2006</v>
      </c>
      <c r="C64" s="36" t="s">
        <v>40</v>
      </c>
      <c r="D64" s="37"/>
      <c r="E64" s="37">
        <v>1</v>
      </c>
      <c r="F64" s="39"/>
      <c r="G64" s="40">
        <f>'Monthly Volumes'!P23</f>
        <v>2833.1083333333336</v>
      </c>
      <c r="H64" s="12">
        <v>0</v>
      </c>
      <c r="I64" s="6">
        <v>0</v>
      </c>
      <c r="J64" s="13">
        <f t="shared" si="20"/>
        <v>0</v>
      </c>
      <c r="K64" s="12">
        <v>0</v>
      </c>
      <c r="L64" s="6">
        <v>0</v>
      </c>
      <c r="M64" s="13">
        <f t="shared" si="21"/>
        <v>0</v>
      </c>
      <c r="N64" s="19"/>
      <c r="O64" s="13">
        <f t="shared" si="22"/>
        <v>0</v>
      </c>
      <c r="P64" s="5">
        <f>'2005 PILS Recoveries'!P67</f>
        <v>0.0468565519128949</v>
      </c>
      <c r="Q64" s="13">
        <f t="shared" si="23"/>
        <v>132.7496876956885</v>
      </c>
      <c r="R64" s="13">
        <f t="shared" si="24"/>
        <v>132.7496876956885</v>
      </c>
    </row>
    <row r="65" spans="1:18" ht="15">
      <c r="A65" s="26" t="str">
        <f>'2005 PILS Recoveries'!A65</f>
        <v>Intermediate</v>
      </c>
      <c r="B65" s="53">
        <v>2006</v>
      </c>
      <c r="C65" s="36" t="s">
        <v>41</v>
      </c>
      <c r="D65" s="37"/>
      <c r="E65" s="37">
        <v>1</v>
      </c>
      <c r="F65" s="39"/>
      <c r="G65" s="40">
        <f>'Monthly Volumes'!P24</f>
        <v>2833.1083333333336</v>
      </c>
      <c r="H65" s="12">
        <v>0</v>
      </c>
      <c r="I65" s="6">
        <v>0</v>
      </c>
      <c r="J65" s="13">
        <f t="shared" si="20"/>
        <v>0</v>
      </c>
      <c r="K65" s="12">
        <v>0</v>
      </c>
      <c r="L65" s="6">
        <v>0</v>
      </c>
      <c r="M65" s="13">
        <f t="shared" si="21"/>
        <v>0</v>
      </c>
      <c r="N65" s="19"/>
      <c r="O65" s="13">
        <f t="shared" si="22"/>
        <v>0</v>
      </c>
      <c r="P65" s="5">
        <f>'2005 PILS Recoveries'!P68</f>
        <v>0.0468565519128949</v>
      </c>
      <c r="Q65" s="13">
        <f t="shared" si="23"/>
        <v>132.7496876956885</v>
      </c>
      <c r="R65" s="13">
        <f t="shared" si="24"/>
        <v>132.7496876956885</v>
      </c>
    </row>
    <row r="66" spans="1:18" ht="15">
      <c r="A66" s="26" t="str">
        <f>'2005 PILS Recoveries'!A66</f>
        <v>Intermediate</v>
      </c>
      <c r="B66" s="53">
        <v>2006</v>
      </c>
      <c r="C66" s="36" t="s">
        <v>42</v>
      </c>
      <c r="D66" s="37"/>
      <c r="E66" s="37">
        <v>1</v>
      </c>
      <c r="F66" s="39"/>
      <c r="G66" s="40">
        <f>'Monthly Volumes'!P25</f>
        <v>2833.1083333333336</v>
      </c>
      <c r="H66" s="12">
        <v>0</v>
      </c>
      <c r="I66" s="6">
        <v>0</v>
      </c>
      <c r="J66" s="13">
        <f t="shared" si="20"/>
        <v>0</v>
      </c>
      <c r="K66" s="12">
        <v>0</v>
      </c>
      <c r="L66" s="6">
        <v>0</v>
      </c>
      <c r="M66" s="13">
        <f t="shared" si="21"/>
        <v>0</v>
      </c>
      <c r="N66" s="19"/>
      <c r="O66" s="13">
        <f t="shared" si="22"/>
        <v>0</v>
      </c>
      <c r="P66" s="5">
        <f>'2005 PILS Recoveries'!P69</f>
        <v>0.0468565519128949</v>
      </c>
      <c r="Q66" s="13">
        <f t="shared" si="23"/>
        <v>132.7496876956885</v>
      </c>
      <c r="R66" s="13">
        <f t="shared" si="24"/>
        <v>132.7496876956885</v>
      </c>
    </row>
    <row r="67" spans="1:18" ht="15" hidden="1">
      <c r="A67" s="26" t="s">
        <v>3</v>
      </c>
      <c r="B67" s="53">
        <v>2006</v>
      </c>
      <c r="C67" s="36" t="s">
        <v>35</v>
      </c>
      <c r="D67" s="37"/>
      <c r="E67" s="37">
        <v>1</v>
      </c>
      <c r="F67" s="39"/>
      <c r="G67" s="40">
        <f>'Monthly Volumes'!P26</f>
        <v>0</v>
      </c>
      <c r="H67" s="12">
        <v>0</v>
      </c>
      <c r="I67" s="6">
        <v>0</v>
      </c>
      <c r="J67" s="13">
        <f t="shared" si="20"/>
        <v>0</v>
      </c>
      <c r="K67" s="12">
        <v>0</v>
      </c>
      <c r="L67" s="6">
        <v>0</v>
      </c>
      <c r="M67" s="13">
        <f t="shared" si="21"/>
        <v>0</v>
      </c>
      <c r="N67" s="19"/>
      <c r="O67" s="13">
        <f t="shared" si="22"/>
        <v>0</v>
      </c>
      <c r="P67" s="5">
        <v>0.2698</v>
      </c>
      <c r="Q67" s="13">
        <f t="shared" si="23"/>
        <v>0</v>
      </c>
      <c r="R67" s="13">
        <f t="shared" si="24"/>
        <v>0</v>
      </c>
    </row>
    <row r="68" spans="1:18" ht="15" hidden="1">
      <c r="A68" s="26" t="s">
        <v>3</v>
      </c>
      <c r="B68" s="53">
        <v>2006</v>
      </c>
      <c r="C68" s="36" t="s">
        <v>43</v>
      </c>
      <c r="D68" s="37"/>
      <c r="E68" s="37">
        <v>1</v>
      </c>
      <c r="F68" s="39"/>
      <c r="G68" s="40">
        <f>'Monthly Volumes'!P27</f>
        <v>0</v>
      </c>
      <c r="H68" s="12">
        <v>0</v>
      </c>
      <c r="I68" s="6">
        <v>0</v>
      </c>
      <c r="J68" s="13">
        <f t="shared" si="20"/>
        <v>0</v>
      </c>
      <c r="K68" s="12">
        <v>0</v>
      </c>
      <c r="L68" s="6">
        <v>0</v>
      </c>
      <c r="M68" s="13">
        <f t="shared" si="21"/>
        <v>0</v>
      </c>
      <c r="N68" s="19"/>
      <c r="O68" s="13">
        <f t="shared" si="22"/>
        <v>0</v>
      </c>
      <c r="P68" s="5">
        <v>0.2698</v>
      </c>
      <c r="Q68" s="13">
        <f t="shared" si="23"/>
        <v>0</v>
      </c>
      <c r="R68" s="13">
        <f t="shared" si="24"/>
        <v>0</v>
      </c>
    </row>
    <row r="69" spans="1:18" ht="15" hidden="1">
      <c r="A69" s="26" t="s">
        <v>3</v>
      </c>
      <c r="B69" s="53">
        <v>2006</v>
      </c>
      <c r="C69" s="36" t="s">
        <v>44</v>
      </c>
      <c r="D69" s="37"/>
      <c r="E69" s="37">
        <v>1</v>
      </c>
      <c r="F69" s="39"/>
      <c r="G69" s="40">
        <f>'Monthly Volumes'!P28</f>
        <v>0</v>
      </c>
      <c r="H69" s="12">
        <v>0</v>
      </c>
      <c r="I69" s="6">
        <v>0</v>
      </c>
      <c r="J69" s="13">
        <f aca="true" t="shared" si="25" ref="J69:J74">D69*E69*H69+(F69+G69)*I69</f>
        <v>0</v>
      </c>
      <c r="K69" s="12">
        <v>0</v>
      </c>
      <c r="L69" s="6">
        <v>0</v>
      </c>
      <c r="M69" s="13">
        <f aca="true" t="shared" si="26" ref="M69:M74">D69*E69*K69+(F69+G69)*L69</f>
        <v>0</v>
      </c>
      <c r="N69" s="19"/>
      <c r="O69" s="13">
        <f aca="true" t="shared" si="27" ref="O69:O74">(F69+G69)*N69</f>
        <v>0</v>
      </c>
      <c r="P69" s="5">
        <v>0.2698</v>
      </c>
      <c r="Q69" s="13">
        <f aca="true" t="shared" si="28" ref="Q69:Q74">(F69+G69)*P69</f>
        <v>0</v>
      </c>
      <c r="R69" s="13">
        <f aca="true" t="shared" si="29" ref="R69:R74">J69+M69+O69+Q69</f>
        <v>0</v>
      </c>
    </row>
    <row r="70" spans="1:18" ht="15" hidden="1">
      <c r="A70" s="26" t="s">
        <v>3</v>
      </c>
      <c r="B70" s="53">
        <v>2006</v>
      </c>
      <c r="C70" s="36" t="s">
        <v>45</v>
      </c>
      <c r="D70" s="37"/>
      <c r="E70" s="37">
        <v>1</v>
      </c>
      <c r="F70" s="39"/>
      <c r="G70" s="40">
        <f>'Monthly Volumes'!P29</f>
        <v>0</v>
      </c>
      <c r="H70" s="12">
        <v>0</v>
      </c>
      <c r="I70" s="6">
        <v>0</v>
      </c>
      <c r="J70" s="13">
        <f t="shared" si="25"/>
        <v>0</v>
      </c>
      <c r="K70" s="12">
        <v>0</v>
      </c>
      <c r="L70" s="6">
        <v>0</v>
      </c>
      <c r="M70" s="13">
        <f t="shared" si="26"/>
        <v>0</v>
      </c>
      <c r="N70" s="19"/>
      <c r="O70" s="13">
        <f t="shared" si="27"/>
        <v>0</v>
      </c>
      <c r="P70" s="5">
        <v>0.2698</v>
      </c>
      <c r="Q70" s="13">
        <f t="shared" si="28"/>
        <v>0</v>
      </c>
      <c r="R70" s="13">
        <f t="shared" si="29"/>
        <v>0</v>
      </c>
    </row>
    <row r="71" spans="1:18" ht="15" hidden="1">
      <c r="A71" s="26" t="s">
        <v>3</v>
      </c>
      <c r="B71" s="53">
        <v>2006</v>
      </c>
      <c r="C71" s="36" t="s">
        <v>46</v>
      </c>
      <c r="D71" s="37"/>
      <c r="E71" s="37">
        <v>1</v>
      </c>
      <c r="F71" s="39"/>
      <c r="G71" s="40">
        <f>'Monthly Volumes'!P30</f>
        <v>0</v>
      </c>
      <c r="H71" s="12">
        <v>0</v>
      </c>
      <c r="I71" s="6">
        <v>0</v>
      </c>
      <c r="J71" s="13">
        <f t="shared" si="25"/>
        <v>0</v>
      </c>
      <c r="K71" s="12">
        <v>0</v>
      </c>
      <c r="L71" s="6">
        <v>0</v>
      </c>
      <c r="M71" s="13">
        <f t="shared" si="26"/>
        <v>0</v>
      </c>
      <c r="N71" s="19"/>
      <c r="O71" s="13">
        <f t="shared" si="27"/>
        <v>0</v>
      </c>
      <c r="P71" s="5">
        <v>0.2698</v>
      </c>
      <c r="Q71" s="13">
        <f t="shared" si="28"/>
        <v>0</v>
      </c>
      <c r="R71" s="13">
        <f t="shared" si="29"/>
        <v>0</v>
      </c>
    </row>
    <row r="72" spans="1:18" ht="15" hidden="1">
      <c r="A72" s="26" t="s">
        <v>3</v>
      </c>
      <c r="B72" s="53">
        <v>2006</v>
      </c>
      <c r="C72" s="36" t="s">
        <v>47</v>
      </c>
      <c r="D72" s="37"/>
      <c r="E72" s="37">
        <v>1</v>
      </c>
      <c r="F72" s="39"/>
      <c r="G72" s="40">
        <f>'Monthly Volumes'!P31</f>
        <v>0</v>
      </c>
      <c r="H72" s="12">
        <v>0</v>
      </c>
      <c r="I72" s="6">
        <v>0</v>
      </c>
      <c r="J72" s="13">
        <f t="shared" si="25"/>
        <v>0</v>
      </c>
      <c r="K72" s="12">
        <v>0</v>
      </c>
      <c r="L72" s="6">
        <v>0</v>
      </c>
      <c r="M72" s="13">
        <f t="shared" si="26"/>
        <v>0</v>
      </c>
      <c r="N72" s="19"/>
      <c r="O72" s="13">
        <f t="shared" si="27"/>
        <v>0</v>
      </c>
      <c r="P72" s="5">
        <v>0.2698</v>
      </c>
      <c r="Q72" s="13">
        <f t="shared" si="28"/>
        <v>0</v>
      </c>
      <c r="R72" s="13">
        <f t="shared" si="29"/>
        <v>0</v>
      </c>
    </row>
    <row r="73" spans="1:18" ht="15" hidden="1">
      <c r="A73" s="26" t="s">
        <v>3</v>
      </c>
      <c r="B73" s="53">
        <v>2006</v>
      </c>
      <c r="C73" s="36" t="s">
        <v>48</v>
      </c>
      <c r="D73" s="37"/>
      <c r="E73" s="37">
        <v>1</v>
      </c>
      <c r="F73" s="39"/>
      <c r="G73" s="40">
        <f>'Monthly Volumes'!P32</f>
        <v>0</v>
      </c>
      <c r="H73" s="12">
        <v>0</v>
      </c>
      <c r="I73" s="6">
        <v>0</v>
      </c>
      <c r="J73" s="13">
        <f t="shared" si="25"/>
        <v>0</v>
      </c>
      <c r="K73" s="12">
        <v>0</v>
      </c>
      <c r="L73" s="6">
        <v>0</v>
      </c>
      <c r="M73" s="13">
        <f t="shared" si="26"/>
        <v>0</v>
      </c>
      <c r="N73" s="19"/>
      <c r="O73" s="13">
        <f t="shared" si="27"/>
        <v>0</v>
      </c>
      <c r="P73" s="5">
        <v>0.2698</v>
      </c>
      <c r="Q73" s="13">
        <f t="shared" si="28"/>
        <v>0</v>
      </c>
      <c r="R73" s="13">
        <f t="shared" si="29"/>
        <v>0</v>
      </c>
    </row>
    <row r="74" spans="1:18" ht="15" hidden="1">
      <c r="A74" s="26" t="s">
        <v>3</v>
      </c>
      <c r="B74" s="53">
        <v>2006</v>
      </c>
      <c r="C74" s="36" t="s">
        <v>49</v>
      </c>
      <c r="D74" s="37"/>
      <c r="E74" s="37">
        <v>1</v>
      </c>
      <c r="F74" s="39"/>
      <c r="G74" s="40">
        <f>'Monthly Volumes'!P33</f>
        <v>0</v>
      </c>
      <c r="H74" s="12">
        <v>0</v>
      </c>
      <c r="I74" s="6">
        <v>0</v>
      </c>
      <c r="J74" s="13">
        <f t="shared" si="25"/>
        <v>0</v>
      </c>
      <c r="K74" s="12">
        <v>0</v>
      </c>
      <c r="L74" s="6">
        <v>0</v>
      </c>
      <c r="M74" s="13">
        <f t="shared" si="26"/>
        <v>0</v>
      </c>
      <c r="N74" s="19"/>
      <c r="O74" s="13">
        <f t="shared" si="27"/>
        <v>0</v>
      </c>
      <c r="P74" s="5">
        <v>0.2698</v>
      </c>
      <c r="Q74" s="13">
        <f t="shared" si="28"/>
        <v>0</v>
      </c>
      <c r="R74" s="13">
        <f t="shared" si="29"/>
        <v>0</v>
      </c>
    </row>
    <row r="75" spans="1:18" ht="15.75" thickBot="1">
      <c r="A75" s="26"/>
      <c r="B75" s="53"/>
      <c r="C75" s="36"/>
      <c r="D75" s="37"/>
      <c r="E75" s="37"/>
      <c r="F75" s="39"/>
      <c r="G75" s="40"/>
      <c r="H75" s="12"/>
      <c r="I75" s="6"/>
      <c r="J75" s="13"/>
      <c r="K75" s="12"/>
      <c r="L75" s="6"/>
      <c r="M75" s="13"/>
      <c r="N75" s="19"/>
      <c r="O75" s="13"/>
      <c r="P75" s="5"/>
      <c r="Q75" s="13"/>
      <c r="R75" s="13"/>
    </row>
    <row r="76" spans="1:18" ht="15.75" thickBot="1">
      <c r="A76" s="55" t="s">
        <v>62</v>
      </c>
      <c r="B76" s="56"/>
      <c r="C76" s="57"/>
      <c r="D76" s="58">
        <f>SUM(D63:D75)</f>
        <v>0</v>
      </c>
      <c r="E76" s="58"/>
      <c r="F76" s="58">
        <f>SUM(F63:F75)</f>
        <v>0</v>
      </c>
      <c r="G76" s="59">
        <f>SUM(G63:G75)</f>
        <v>11332.433333333334</v>
      </c>
      <c r="H76" s="60"/>
      <c r="I76" s="61"/>
      <c r="J76" s="62">
        <f>SUM(J63:J75)</f>
        <v>0</v>
      </c>
      <c r="K76" s="60"/>
      <c r="L76" s="61"/>
      <c r="M76" s="62">
        <f>SUM(M63:M75)</f>
        <v>0</v>
      </c>
      <c r="N76" s="63"/>
      <c r="O76" s="62">
        <f>SUM(O63:O75)</f>
        <v>0</v>
      </c>
      <c r="P76" s="63"/>
      <c r="Q76" s="62">
        <f>SUM(Q63:Q75)</f>
        <v>530.998750782754</v>
      </c>
      <c r="R76" s="62">
        <f>SUM(R63:R75)</f>
        <v>530.998750782754</v>
      </c>
    </row>
    <row r="77" spans="1:18" ht="15">
      <c r="A77" s="26"/>
      <c r="B77" s="53"/>
      <c r="C77" s="36"/>
      <c r="D77" s="37"/>
      <c r="E77" s="37"/>
      <c r="F77" s="39"/>
      <c r="G77" s="40"/>
      <c r="H77" s="14"/>
      <c r="I77" s="6"/>
      <c r="J77" s="13"/>
      <c r="K77" s="14"/>
      <c r="L77" s="6"/>
      <c r="M77" s="13"/>
      <c r="N77" s="19"/>
      <c r="O77" s="13"/>
      <c r="P77" s="19"/>
      <c r="Q77" s="13"/>
      <c r="R77" s="13"/>
    </row>
    <row r="78" spans="1:18" ht="15">
      <c r="A78" s="26" t="s">
        <v>4</v>
      </c>
      <c r="B78" s="53">
        <v>2006</v>
      </c>
      <c r="C78" s="36" t="s">
        <v>39</v>
      </c>
      <c r="D78" s="37"/>
      <c r="E78" s="37">
        <v>1</v>
      </c>
      <c r="F78" s="39"/>
      <c r="G78" s="40">
        <f>'Monthly Volumes'!P58</f>
        <v>0.25</v>
      </c>
      <c r="H78" s="12">
        <v>0</v>
      </c>
      <c r="I78" s="6">
        <v>0</v>
      </c>
      <c r="J78" s="13">
        <f aca="true" t="shared" si="30" ref="J78:J89">D78*E78*H78+(F78+G78)*I78</f>
        <v>0</v>
      </c>
      <c r="K78" s="12">
        <v>0</v>
      </c>
      <c r="L78" s="6">
        <v>0</v>
      </c>
      <c r="M78" s="13">
        <f aca="true" t="shared" si="31" ref="M78:M89">D78*E78*K78+(F78+G78)*L78</f>
        <v>0</v>
      </c>
      <c r="N78" s="19"/>
      <c r="O78" s="13">
        <f aca="true" t="shared" si="32" ref="O78:O89">(F78+G78)*N78</f>
        <v>0</v>
      </c>
      <c r="P78" s="5">
        <f>'2005 PILS Recoveries'!P81</f>
        <v>0</v>
      </c>
      <c r="Q78" s="13">
        <f aca="true" t="shared" si="33" ref="Q78:Q89">(F78+G78)*P78</f>
        <v>0</v>
      </c>
      <c r="R78" s="13">
        <f aca="true" t="shared" si="34" ref="R78:R89">J78+M78+O78+Q78</f>
        <v>0</v>
      </c>
    </row>
    <row r="79" spans="1:18" ht="15">
      <c r="A79" s="26" t="s">
        <v>4</v>
      </c>
      <c r="B79" s="53">
        <v>2006</v>
      </c>
      <c r="C79" s="36" t="s">
        <v>40</v>
      </c>
      <c r="D79" s="37"/>
      <c r="E79" s="37">
        <v>1</v>
      </c>
      <c r="F79" s="39"/>
      <c r="G79" s="40">
        <f>'Monthly Volumes'!P59</f>
        <v>0.25</v>
      </c>
      <c r="H79" s="12">
        <v>0</v>
      </c>
      <c r="I79" s="6">
        <v>0</v>
      </c>
      <c r="J79" s="13">
        <f t="shared" si="30"/>
        <v>0</v>
      </c>
      <c r="K79" s="12">
        <v>0</v>
      </c>
      <c r="L79" s="6">
        <v>0</v>
      </c>
      <c r="M79" s="13">
        <f t="shared" si="31"/>
        <v>0</v>
      </c>
      <c r="N79" s="19"/>
      <c r="O79" s="13">
        <f t="shared" si="32"/>
        <v>0</v>
      </c>
      <c r="P79" s="5">
        <f>'2005 PILS Recoveries'!P82</f>
        <v>0</v>
      </c>
      <c r="Q79" s="13">
        <f t="shared" si="33"/>
        <v>0</v>
      </c>
      <c r="R79" s="13">
        <f t="shared" si="34"/>
        <v>0</v>
      </c>
    </row>
    <row r="80" spans="1:18" ht="15">
      <c r="A80" s="26" t="s">
        <v>4</v>
      </c>
      <c r="B80" s="53">
        <v>2006</v>
      </c>
      <c r="C80" s="36" t="s">
        <v>41</v>
      </c>
      <c r="D80" s="37"/>
      <c r="E80" s="37">
        <v>1</v>
      </c>
      <c r="F80" s="39"/>
      <c r="G80" s="40">
        <f>'Monthly Volumes'!P60</f>
        <v>0.25</v>
      </c>
      <c r="H80" s="12">
        <v>0</v>
      </c>
      <c r="I80" s="6">
        <v>0</v>
      </c>
      <c r="J80" s="13">
        <f t="shared" si="30"/>
        <v>0</v>
      </c>
      <c r="K80" s="12">
        <v>0</v>
      </c>
      <c r="L80" s="6">
        <v>0</v>
      </c>
      <c r="M80" s="13">
        <f t="shared" si="31"/>
        <v>0</v>
      </c>
      <c r="N80" s="19"/>
      <c r="O80" s="13">
        <f t="shared" si="32"/>
        <v>0</v>
      </c>
      <c r="P80" s="5">
        <f>'2005 PILS Recoveries'!P83</f>
        <v>0</v>
      </c>
      <c r="Q80" s="13">
        <f t="shared" si="33"/>
        <v>0</v>
      </c>
      <c r="R80" s="13">
        <f t="shared" si="34"/>
        <v>0</v>
      </c>
    </row>
    <row r="81" spans="1:18" ht="15">
      <c r="A81" s="26" t="s">
        <v>4</v>
      </c>
      <c r="B81" s="53">
        <v>2006</v>
      </c>
      <c r="C81" s="36" t="s">
        <v>42</v>
      </c>
      <c r="D81" s="37"/>
      <c r="E81" s="37">
        <v>1</v>
      </c>
      <c r="F81" s="39"/>
      <c r="G81" s="40">
        <f>'Monthly Volumes'!P61</f>
        <v>0.25</v>
      </c>
      <c r="H81" s="12">
        <v>0</v>
      </c>
      <c r="I81" s="6">
        <v>0</v>
      </c>
      <c r="J81" s="13">
        <f t="shared" si="30"/>
        <v>0</v>
      </c>
      <c r="K81" s="12">
        <v>0</v>
      </c>
      <c r="L81" s="6">
        <v>0</v>
      </c>
      <c r="M81" s="13">
        <f t="shared" si="31"/>
        <v>0</v>
      </c>
      <c r="N81" s="19"/>
      <c r="O81" s="13">
        <f t="shared" si="32"/>
        <v>0</v>
      </c>
      <c r="P81" s="5">
        <f>'2005 PILS Recoveries'!P84</f>
        <v>0</v>
      </c>
      <c r="Q81" s="13">
        <f t="shared" si="33"/>
        <v>0</v>
      </c>
      <c r="R81" s="13">
        <f t="shared" si="34"/>
        <v>0</v>
      </c>
    </row>
    <row r="82" spans="1:18" ht="15" hidden="1">
      <c r="A82" s="26" t="s">
        <v>4</v>
      </c>
      <c r="B82" s="53">
        <v>2006</v>
      </c>
      <c r="C82" s="36" t="s">
        <v>35</v>
      </c>
      <c r="D82" s="37"/>
      <c r="E82" s="37">
        <v>1</v>
      </c>
      <c r="F82" s="39"/>
      <c r="G82" s="40">
        <f>'Monthly Volumes'!P62</f>
        <v>0</v>
      </c>
      <c r="H82" s="12">
        <v>0</v>
      </c>
      <c r="I82" s="6">
        <v>0</v>
      </c>
      <c r="J82" s="13">
        <f t="shared" si="30"/>
        <v>0</v>
      </c>
      <c r="K82" s="12">
        <v>0</v>
      </c>
      <c r="L82" s="6">
        <v>0</v>
      </c>
      <c r="M82" s="13">
        <f t="shared" si="31"/>
        <v>0</v>
      </c>
      <c r="N82" s="19"/>
      <c r="O82" s="13">
        <f t="shared" si="32"/>
        <v>0</v>
      </c>
      <c r="P82" s="5">
        <v>0.8867</v>
      </c>
      <c r="Q82" s="13">
        <f t="shared" si="33"/>
        <v>0</v>
      </c>
      <c r="R82" s="13">
        <f t="shared" si="34"/>
        <v>0</v>
      </c>
    </row>
    <row r="83" spans="1:18" ht="15" hidden="1">
      <c r="A83" s="26" t="s">
        <v>4</v>
      </c>
      <c r="B83" s="53">
        <v>2006</v>
      </c>
      <c r="C83" s="36" t="s">
        <v>43</v>
      </c>
      <c r="D83" s="37"/>
      <c r="E83" s="37">
        <v>1</v>
      </c>
      <c r="F83" s="39"/>
      <c r="G83" s="40">
        <f>'Monthly Volumes'!P63</f>
        <v>0</v>
      </c>
      <c r="H83" s="12">
        <v>0</v>
      </c>
      <c r="I83" s="6">
        <v>0</v>
      </c>
      <c r="J83" s="13">
        <f t="shared" si="30"/>
        <v>0</v>
      </c>
      <c r="K83" s="12">
        <v>0</v>
      </c>
      <c r="L83" s="6">
        <v>0</v>
      </c>
      <c r="M83" s="13">
        <f t="shared" si="31"/>
        <v>0</v>
      </c>
      <c r="N83" s="19"/>
      <c r="O83" s="13">
        <f t="shared" si="32"/>
        <v>0</v>
      </c>
      <c r="P83" s="5">
        <v>0.8867</v>
      </c>
      <c r="Q83" s="13">
        <f t="shared" si="33"/>
        <v>0</v>
      </c>
      <c r="R83" s="13">
        <f t="shared" si="34"/>
        <v>0</v>
      </c>
    </row>
    <row r="84" spans="1:18" ht="15" hidden="1">
      <c r="A84" s="26" t="s">
        <v>4</v>
      </c>
      <c r="B84" s="53">
        <v>2006</v>
      </c>
      <c r="C84" s="36" t="s">
        <v>44</v>
      </c>
      <c r="D84" s="37"/>
      <c r="E84" s="37">
        <v>1</v>
      </c>
      <c r="F84" s="39"/>
      <c r="G84" s="40">
        <f>'Monthly Volumes'!P64</f>
        <v>0</v>
      </c>
      <c r="H84" s="12">
        <v>0</v>
      </c>
      <c r="I84" s="6">
        <v>0</v>
      </c>
      <c r="J84" s="13">
        <f t="shared" si="30"/>
        <v>0</v>
      </c>
      <c r="K84" s="12">
        <v>0</v>
      </c>
      <c r="L84" s="6">
        <v>0</v>
      </c>
      <c r="M84" s="13">
        <f t="shared" si="31"/>
        <v>0</v>
      </c>
      <c r="N84" s="19"/>
      <c r="O84" s="13">
        <f t="shared" si="32"/>
        <v>0</v>
      </c>
      <c r="P84" s="5">
        <v>0.8867</v>
      </c>
      <c r="Q84" s="13">
        <f t="shared" si="33"/>
        <v>0</v>
      </c>
      <c r="R84" s="13">
        <f t="shared" si="34"/>
        <v>0</v>
      </c>
    </row>
    <row r="85" spans="1:18" ht="15" hidden="1">
      <c r="A85" s="26" t="s">
        <v>4</v>
      </c>
      <c r="B85" s="53">
        <v>2006</v>
      </c>
      <c r="C85" s="36" t="s">
        <v>45</v>
      </c>
      <c r="D85" s="37"/>
      <c r="E85" s="37">
        <v>1</v>
      </c>
      <c r="F85" s="39"/>
      <c r="G85" s="40">
        <f>'Monthly Volumes'!P65</f>
        <v>0</v>
      </c>
      <c r="H85" s="12">
        <v>0</v>
      </c>
      <c r="I85" s="6">
        <v>0</v>
      </c>
      <c r="J85" s="13">
        <f t="shared" si="30"/>
        <v>0</v>
      </c>
      <c r="K85" s="12">
        <v>0</v>
      </c>
      <c r="L85" s="6">
        <v>0</v>
      </c>
      <c r="M85" s="13">
        <f t="shared" si="31"/>
        <v>0</v>
      </c>
      <c r="N85" s="19"/>
      <c r="O85" s="13">
        <f t="shared" si="32"/>
        <v>0</v>
      </c>
      <c r="P85" s="5">
        <v>0.8867</v>
      </c>
      <c r="Q85" s="13">
        <f t="shared" si="33"/>
        <v>0</v>
      </c>
      <c r="R85" s="13">
        <f t="shared" si="34"/>
        <v>0</v>
      </c>
    </row>
    <row r="86" spans="1:18" ht="15" hidden="1">
      <c r="A86" s="26" t="s">
        <v>4</v>
      </c>
      <c r="B86" s="53">
        <v>2006</v>
      </c>
      <c r="C86" s="36" t="s">
        <v>46</v>
      </c>
      <c r="D86" s="37"/>
      <c r="E86" s="37">
        <v>1</v>
      </c>
      <c r="F86" s="39"/>
      <c r="G86" s="40">
        <f>'Monthly Volumes'!P66</f>
        <v>0</v>
      </c>
      <c r="H86" s="12">
        <v>0</v>
      </c>
      <c r="I86" s="6">
        <v>0</v>
      </c>
      <c r="J86" s="13">
        <f t="shared" si="30"/>
        <v>0</v>
      </c>
      <c r="K86" s="12">
        <v>0</v>
      </c>
      <c r="L86" s="6">
        <v>0</v>
      </c>
      <c r="M86" s="13">
        <f t="shared" si="31"/>
        <v>0</v>
      </c>
      <c r="N86" s="19"/>
      <c r="O86" s="13">
        <f t="shared" si="32"/>
        <v>0</v>
      </c>
      <c r="P86" s="5">
        <v>0.8867</v>
      </c>
      <c r="Q86" s="13">
        <f t="shared" si="33"/>
        <v>0</v>
      </c>
      <c r="R86" s="13">
        <f t="shared" si="34"/>
        <v>0</v>
      </c>
    </row>
    <row r="87" spans="1:18" ht="15" hidden="1">
      <c r="A87" s="26" t="s">
        <v>4</v>
      </c>
      <c r="B87" s="53">
        <v>2006</v>
      </c>
      <c r="C87" s="36" t="s">
        <v>47</v>
      </c>
      <c r="D87" s="37"/>
      <c r="E87" s="37">
        <v>1</v>
      </c>
      <c r="F87" s="39"/>
      <c r="G87" s="40">
        <f>'Monthly Volumes'!P67</f>
        <v>0</v>
      </c>
      <c r="H87" s="12">
        <v>0</v>
      </c>
      <c r="I87" s="6">
        <v>0</v>
      </c>
      <c r="J87" s="13">
        <f t="shared" si="30"/>
        <v>0</v>
      </c>
      <c r="K87" s="12">
        <v>0</v>
      </c>
      <c r="L87" s="6">
        <v>0</v>
      </c>
      <c r="M87" s="13">
        <f t="shared" si="31"/>
        <v>0</v>
      </c>
      <c r="N87" s="19"/>
      <c r="O87" s="13">
        <f t="shared" si="32"/>
        <v>0</v>
      </c>
      <c r="P87" s="5">
        <v>0.8867</v>
      </c>
      <c r="Q87" s="13">
        <f t="shared" si="33"/>
        <v>0</v>
      </c>
      <c r="R87" s="13">
        <f t="shared" si="34"/>
        <v>0</v>
      </c>
    </row>
    <row r="88" spans="1:18" ht="15" hidden="1">
      <c r="A88" s="26" t="s">
        <v>4</v>
      </c>
      <c r="B88" s="53">
        <v>2006</v>
      </c>
      <c r="C88" s="36" t="s">
        <v>48</v>
      </c>
      <c r="D88" s="37"/>
      <c r="E88" s="37">
        <v>1</v>
      </c>
      <c r="F88" s="39"/>
      <c r="G88" s="40">
        <f>'Monthly Volumes'!P68</f>
        <v>0</v>
      </c>
      <c r="H88" s="12">
        <v>0</v>
      </c>
      <c r="I88" s="6">
        <v>0</v>
      </c>
      <c r="J88" s="13">
        <f t="shared" si="30"/>
        <v>0</v>
      </c>
      <c r="K88" s="12">
        <v>0</v>
      </c>
      <c r="L88" s="6">
        <v>0</v>
      </c>
      <c r="M88" s="13">
        <f t="shared" si="31"/>
        <v>0</v>
      </c>
      <c r="N88" s="19"/>
      <c r="O88" s="13">
        <f t="shared" si="32"/>
        <v>0</v>
      </c>
      <c r="P88" s="5">
        <v>0.8867</v>
      </c>
      <c r="Q88" s="13">
        <f t="shared" si="33"/>
        <v>0</v>
      </c>
      <c r="R88" s="13">
        <f t="shared" si="34"/>
        <v>0</v>
      </c>
    </row>
    <row r="89" spans="1:18" ht="15" hidden="1">
      <c r="A89" s="26" t="s">
        <v>4</v>
      </c>
      <c r="B89" s="53">
        <v>2006</v>
      </c>
      <c r="C89" s="36" t="s">
        <v>49</v>
      </c>
      <c r="D89" s="37"/>
      <c r="E89" s="37">
        <v>1</v>
      </c>
      <c r="F89" s="39"/>
      <c r="G89" s="40">
        <f>'Monthly Volumes'!P69</f>
        <v>0</v>
      </c>
      <c r="H89" s="12">
        <v>0</v>
      </c>
      <c r="I89" s="6">
        <v>0</v>
      </c>
      <c r="J89" s="13">
        <f t="shared" si="30"/>
        <v>0</v>
      </c>
      <c r="K89" s="12">
        <v>0</v>
      </c>
      <c r="L89" s="6">
        <v>0</v>
      </c>
      <c r="M89" s="13">
        <f t="shared" si="31"/>
        <v>0</v>
      </c>
      <c r="N89" s="19"/>
      <c r="O89" s="13">
        <f t="shared" si="32"/>
        <v>0</v>
      </c>
      <c r="P89" s="5">
        <v>0.8867</v>
      </c>
      <c r="Q89" s="13">
        <f t="shared" si="33"/>
        <v>0</v>
      </c>
      <c r="R89" s="13">
        <f t="shared" si="34"/>
        <v>0</v>
      </c>
    </row>
    <row r="90" spans="1:18" ht="15.75" thickBot="1">
      <c r="A90" s="26"/>
      <c r="B90" s="53"/>
      <c r="C90" s="36"/>
      <c r="D90" s="37"/>
      <c r="E90" s="37"/>
      <c r="F90" s="39"/>
      <c r="G90" s="40"/>
      <c r="H90" s="12"/>
      <c r="I90" s="6"/>
      <c r="J90" s="13"/>
      <c r="K90" s="12"/>
      <c r="L90" s="6"/>
      <c r="M90" s="13"/>
      <c r="N90" s="19"/>
      <c r="O90" s="13"/>
      <c r="P90" s="5"/>
      <c r="Q90" s="13"/>
      <c r="R90" s="13"/>
    </row>
    <row r="91" spans="1:18" ht="15.75" thickBot="1">
      <c r="A91" s="55" t="s">
        <v>63</v>
      </c>
      <c r="B91" s="56"/>
      <c r="C91" s="57"/>
      <c r="D91" s="58">
        <f>SUM(D78:D90)</f>
        <v>0</v>
      </c>
      <c r="E91" s="58"/>
      <c r="F91" s="58">
        <f>SUM(F78:F90)</f>
        <v>0</v>
      </c>
      <c r="G91" s="59">
        <f>SUM(G78:G90)</f>
        <v>1</v>
      </c>
      <c r="H91" s="60"/>
      <c r="I91" s="61"/>
      <c r="J91" s="62">
        <f>SUM(J78:J90)</f>
        <v>0</v>
      </c>
      <c r="K91" s="60"/>
      <c r="L91" s="61"/>
      <c r="M91" s="62">
        <f>SUM(M78:M90)</f>
        <v>0</v>
      </c>
      <c r="N91" s="63"/>
      <c r="O91" s="62">
        <f>SUM(O78:O90)</f>
        <v>0</v>
      </c>
      <c r="P91" s="63"/>
      <c r="Q91" s="62">
        <f>SUM(Q78:Q90)</f>
        <v>0</v>
      </c>
      <c r="R91" s="62">
        <f>SUM(R78:R90)</f>
        <v>0</v>
      </c>
    </row>
    <row r="92" spans="1:18" ht="15">
      <c r="A92" s="26"/>
      <c r="B92" s="53"/>
      <c r="C92" s="36"/>
      <c r="D92" s="37"/>
      <c r="E92" s="37"/>
      <c r="F92" s="39"/>
      <c r="G92" s="40"/>
      <c r="H92" s="14"/>
      <c r="I92" s="6"/>
      <c r="J92" s="13"/>
      <c r="K92" s="14"/>
      <c r="L92" s="6"/>
      <c r="M92" s="13"/>
      <c r="N92" s="19"/>
      <c r="O92" s="13"/>
      <c r="P92" s="19"/>
      <c r="Q92" s="13"/>
      <c r="R92" s="13"/>
    </row>
    <row r="93" spans="1:18" ht="15">
      <c r="A93" s="26" t="s">
        <v>5</v>
      </c>
      <c r="B93" s="53">
        <v>2006</v>
      </c>
      <c r="C93" s="36" t="s">
        <v>39</v>
      </c>
      <c r="D93" s="37"/>
      <c r="E93" s="37">
        <v>1</v>
      </c>
      <c r="F93" s="39"/>
      <c r="G93" s="40">
        <f>'Monthly Volumes'!P40</f>
        <v>121.86666666666667</v>
      </c>
      <c r="H93" s="12">
        <v>0</v>
      </c>
      <c r="I93" s="6">
        <v>0</v>
      </c>
      <c r="J93" s="13">
        <f>D93*E93*H93+(F93+G93)*I93</f>
        <v>0</v>
      </c>
      <c r="K93" s="12">
        <v>0</v>
      </c>
      <c r="L93" s="6">
        <v>0</v>
      </c>
      <c r="M93" s="13">
        <f>D93*E93*K93+(F93+G93)*L93</f>
        <v>0</v>
      </c>
      <c r="N93" s="19"/>
      <c r="O93" s="13">
        <f>(F93+G93)*N93</f>
        <v>0</v>
      </c>
      <c r="P93" s="5">
        <f>'2005 PILS Recoveries'!P96</f>
        <v>0.618238873859083</v>
      </c>
      <c r="Q93" s="13">
        <f>(F93+G93)*P93</f>
        <v>75.34271076096026</v>
      </c>
      <c r="R93" s="13">
        <f>J93+M93+O93+Q93</f>
        <v>75.34271076096026</v>
      </c>
    </row>
    <row r="94" spans="1:18" ht="15">
      <c r="A94" s="26" t="s">
        <v>5</v>
      </c>
      <c r="B94" s="53">
        <v>2006</v>
      </c>
      <c r="C94" s="36" t="s">
        <v>40</v>
      </c>
      <c r="D94" s="37"/>
      <c r="E94" s="37">
        <v>1</v>
      </c>
      <c r="F94" s="39"/>
      <c r="G94" s="40">
        <f>'Monthly Volumes'!P41</f>
        <v>121.86666666666667</v>
      </c>
      <c r="H94" s="12">
        <v>0</v>
      </c>
      <c r="I94" s="6">
        <v>0</v>
      </c>
      <c r="J94" s="13">
        <f>D94*E94*H94+(F94+G94)*I94</f>
        <v>0</v>
      </c>
      <c r="K94" s="12">
        <v>0</v>
      </c>
      <c r="L94" s="6">
        <v>0</v>
      </c>
      <c r="M94" s="13">
        <f>D94*E94*K94+(F94+G94)*L94</f>
        <v>0</v>
      </c>
      <c r="N94" s="19"/>
      <c r="O94" s="13">
        <f>(F94+G94)*N94</f>
        <v>0</v>
      </c>
      <c r="P94" s="5">
        <f>'2005 PILS Recoveries'!P97</f>
        <v>0.618238873859083</v>
      </c>
      <c r="Q94" s="13">
        <f>(F94+G94)*P94</f>
        <v>75.34271076096026</v>
      </c>
      <c r="R94" s="13">
        <f>J94+M94+O94+Q94</f>
        <v>75.34271076096026</v>
      </c>
    </row>
    <row r="95" spans="1:18" ht="15">
      <c r="A95" s="26" t="s">
        <v>5</v>
      </c>
      <c r="B95" s="53">
        <v>2006</v>
      </c>
      <c r="C95" s="36" t="s">
        <v>41</v>
      </c>
      <c r="D95" s="37"/>
      <c r="E95" s="37">
        <v>1</v>
      </c>
      <c r="F95" s="39"/>
      <c r="G95" s="40">
        <f>'Monthly Volumes'!P42</f>
        <v>121.86666666666667</v>
      </c>
      <c r="H95" s="12">
        <v>0</v>
      </c>
      <c r="I95" s="6">
        <v>0</v>
      </c>
      <c r="J95" s="13">
        <f>D95*E95*H95+(F95+G95)*I95</f>
        <v>0</v>
      </c>
      <c r="K95" s="12">
        <v>0</v>
      </c>
      <c r="L95" s="6">
        <v>0</v>
      </c>
      <c r="M95" s="13">
        <f>D95*E95*K95+(F95+G95)*L95</f>
        <v>0</v>
      </c>
      <c r="N95" s="19"/>
      <c r="O95" s="13">
        <f>(F95+G95)*N95</f>
        <v>0</v>
      </c>
      <c r="P95" s="5">
        <f>'2005 PILS Recoveries'!P98</f>
        <v>0.618238873859083</v>
      </c>
      <c r="Q95" s="13">
        <f>(F95+G95)*P95</f>
        <v>75.34271076096026</v>
      </c>
      <c r="R95" s="13">
        <f>J95+M95+O95+Q95</f>
        <v>75.34271076096026</v>
      </c>
    </row>
    <row r="96" spans="1:18" ht="15">
      <c r="A96" s="26" t="s">
        <v>5</v>
      </c>
      <c r="B96" s="53">
        <v>2006</v>
      </c>
      <c r="C96" s="36" t="s">
        <v>42</v>
      </c>
      <c r="D96" s="37"/>
      <c r="E96" s="37">
        <v>1</v>
      </c>
      <c r="F96" s="39"/>
      <c r="G96" s="40">
        <f>'Monthly Volumes'!P43</f>
        <v>121.86666666666667</v>
      </c>
      <c r="H96" s="12">
        <v>0</v>
      </c>
      <c r="I96" s="6">
        <v>0</v>
      </c>
      <c r="J96" s="13">
        <f aca="true" t="shared" si="35" ref="J96:J104">D96*E96*H96+(F96+G96)*I96</f>
        <v>0</v>
      </c>
      <c r="K96" s="12">
        <v>0</v>
      </c>
      <c r="L96" s="6">
        <v>0</v>
      </c>
      <c r="M96" s="13">
        <f aca="true" t="shared" si="36" ref="M96:M104">D96*E96*K96+(F96+G96)*L96</f>
        <v>0</v>
      </c>
      <c r="N96" s="19"/>
      <c r="O96" s="13">
        <f aca="true" t="shared" si="37" ref="O96:O104">(F96+G96)*N96</f>
        <v>0</v>
      </c>
      <c r="P96" s="5">
        <f>'2005 PILS Recoveries'!P99</f>
        <v>0.618238873859083</v>
      </c>
      <c r="Q96" s="13">
        <f aca="true" t="shared" si="38" ref="Q96:Q104">(F96+G96)*P96</f>
        <v>75.34271076096026</v>
      </c>
      <c r="R96" s="13">
        <f aca="true" t="shared" si="39" ref="R96:R104">J96+M96+O96+Q96</f>
        <v>75.34271076096026</v>
      </c>
    </row>
    <row r="97" spans="1:18" ht="15" hidden="1">
      <c r="A97" s="26" t="s">
        <v>5</v>
      </c>
      <c r="B97" s="53">
        <v>2006</v>
      </c>
      <c r="C97" s="36" t="s">
        <v>35</v>
      </c>
      <c r="D97" s="37"/>
      <c r="E97" s="37">
        <v>1</v>
      </c>
      <c r="F97" s="39"/>
      <c r="G97" s="40">
        <f>'Monthly Volumes'!P44</f>
        <v>0</v>
      </c>
      <c r="H97" s="12">
        <v>0</v>
      </c>
      <c r="I97" s="6">
        <v>0</v>
      </c>
      <c r="J97" s="13">
        <f>D97*E97*H97+(F97+G97)*I97</f>
        <v>0</v>
      </c>
      <c r="K97" s="12">
        <v>0</v>
      </c>
      <c r="L97" s="6">
        <v>0</v>
      </c>
      <c r="M97" s="13">
        <f>D97*E97*K97+(F97+G97)*L97</f>
        <v>0</v>
      </c>
      <c r="N97" s="19"/>
      <c r="O97" s="13">
        <f>(F97+G97)*N97</f>
        <v>0</v>
      </c>
      <c r="P97" s="5">
        <v>0.6247</v>
      </c>
      <c r="Q97" s="13">
        <f>(F97+G97)*P97</f>
        <v>0</v>
      </c>
      <c r="R97" s="13">
        <f>J97+M97+O97+Q97</f>
        <v>0</v>
      </c>
    </row>
    <row r="98" spans="1:18" ht="15" hidden="1">
      <c r="A98" s="26" t="s">
        <v>5</v>
      </c>
      <c r="B98" s="53">
        <v>2006</v>
      </c>
      <c r="C98" s="36" t="s">
        <v>43</v>
      </c>
      <c r="D98" s="37"/>
      <c r="E98" s="37">
        <v>1</v>
      </c>
      <c r="F98" s="39"/>
      <c r="G98" s="40">
        <f>'Monthly Volumes'!P45</f>
        <v>0</v>
      </c>
      <c r="H98" s="12">
        <v>0</v>
      </c>
      <c r="I98" s="6">
        <v>0</v>
      </c>
      <c r="J98" s="13">
        <f>D98*E98*H98+(F98+G98)*I98</f>
        <v>0</v>
      </c>
      <c r="K98" s="12">
        <v>0</v>
      </c>
      <c r="L98" s="6">
        <v>0</v>
      </c>
      <c r="M98" s="13">
        <f>D98*E98*K98+(F98+G98)*L98</f>
        <v>0</v>
      </c>
      <c r="N98" s="19"/>
      <c r="O98" s="13">
        <f>(F98+G98)*N98</f>
        <v>0</v>
      </c>
      <c r="P98" s="5">
        <v>0.6247</v>
      </c>
      <c r="Q98" s="13">
        <f>(F98+G98)*P98</f>
        <v>0</v>
      </c>
      <c r="R98" s="13">
        <f>J98+M98+O98+Q98</f>
        <v>0</v>
      </c>
    </row>
    <row r="99" spans="1:18" ht="15" hidden="1">
      <c r="A99" s="26" t="s">
        <v>5</v>
      </c>
      <c r="B99" s="53">
        <v>2006</v>
      </c>
      <c r="C99" s="36" t="s">
        <v>44</v>
      </c>
      <c r="D99" s="37"/>
      <c r="E99" s="37">
        <v>1</v>
      </c>
      <c r="F99" s="39"/>
      <c r="G99" s="40">
        <f>'Monthly Volumes'!P46</f>
        <v>0</v>
      </c>
      <c r="H99" s="12">
        <v>0</v>
      </c>
      <c r="I99" s="6">
        <v>0</v>
      </c>
      <c r="J99" s="13">
        <f t="shared" si="35"/>
        <v>0</v>
      </c>
      <c r="K99" s="12">
        <v>0</v>
      </c>
      <c r="L99" s="6">
        <v>0</v>
      </c>
      <c r="M99" s="13">
        <f t="shared" si="36"/>
        <v>0</v>
      </c>
      <c r="N99" s="19"/>
      <c r="O99" s="13">
        <f t="shared" si="37"/>
        <v>0</v>
      </c>
      <c r="P99" s="5">
        <v>0.6247</v>
      </c>
      <c r="Q99" s="13">
        <f t="shared" si="38"/>
        <v>0</v>
      </c>
      <c r="R99" s="13">
        <f t="shared" si="39"/>
        <v>0</v>
      </c>
    </row>
    <row r="100" spans="1:18" ht="15" hidden="1">
      <c r="A100" s="26" t="s">
        <v>5</v>
      </c>
      <c r="B100" s="53">
        <v>2006</v>
      </c>
      <c r="C100" s="36" t="s">
        <v>45</v>
      </c>
      <c r="D100" s="37"/>
      <c r="E100" s="37">
        <v>1</v>
      </c>
      <c r="F100" s="39"/>
      <c r="G100" s="40">
        <f>'Monthly Volumes'!P47</f>
        <v>0</v>
      </c>
      <c r="H100" s="12">
        <v>0</v>
      </c>
      <c r="I100" s="6">
        <v>0</v>
      </c>
      <c r="J100" s="13">
        <f t="shared" si="35"/>
        <v>0</v>
      </c>
      <c r="K100" s="12">
        <v>0</v>
      </c>
      <c r="L100" s="6">
        <v>0</v>
      </c>
      <c r="M100" s="13">
        <f t="shared" si="36"/>
        <v>0</v>
      </c>
      <c r="N100" s="19"/>
      <c r="O100" s="13">
        <f t="shared" si="37"/>
        <v>0</v>
      </c>
      <c r="P100" s="5">
        <v>0.6247</v>
      </c>
      <c r="Q100" s="13">
        <f t="shared" si="38"/>
        <v>0</v>
      </c>
      <c r="R100" s="13">
        <f t="shared" si="39"/>
        <v>0</v>
      </c>
    </row>
    <row r="101" spans="1:18" ht="15" hidden="1">
      <c r="A101" s="26" t="s">
        <v>5</v>
      </c>
      <c r="B101" s="53">
        <v>2006</v>
      </c>
      <c r="C101" s="36" t="s">
        <v>46</v>
      </c>
      <c r="D101" s="37"/>
      <c r="E101" s="37">
        <v>1</v>
      </c>
      <c r="F101" s="39"/>
      <c r="G101" s="40">
        <f>'Monthly Volumes'!P48</f>
        <v>0</v>
      </c>
      <c r="H101" s="12">
        <v>0</v>
      </c>
      <c r="I101" s="6">
        <v>0</v>
      </c>
      <c r="J101" s="13">
        <f t="shared" si="35"/>
        <v>0</v>
      </c>
      <c r="K101" s="12">
        <v>0</v>
      </c>
      <c r="L101" s="6">
        <v>0</v>
      </c>
      <c r="M101" s="13">
        <f t="shared" si="36"/>
        <v>0</v>
      </c>
      <c r="N101" s="19"/>
      <c r="O101" s="13">
        <f t="shared" si="37"/>
        <v>0</v>
      </c>
      <c r="P101" s="5">
        <v>0.6247</v>
      </c>
      <c r="Q101" s="13">
        <f t="shared" si="38"/>
        <v>0</v>
      </c>
      <c r="R101" s="13">
        <f t="shared" si="39"/>
        <v>0</v>
      </c>
    </row>
    <row r="102" spans="1:18" ht="15" hidden="1">
      <c r="A102" s="26" t="s">
        <v>5</v>
      </c>
      <c r="B102" s="53">
        <v>2006</v>
      </c>
      <c r="C102" s="36" t="s">
        <v>47</v>
      </c>
      <c r="D102" s="37"/>
      <c r="E102" s="37">
        <v>1</v>
      </c>
      <c r="F102" s="39"/>
      <c r="G102" s="40">
        <f>'Monthly Volumes'!P49</f>
        <v>0</v>
      </c>
      <c r="H102" s="12">
        <v>0</v>
      </c>
      <c r="I102" s="6">
        <v>0</v>
      </c>
      <c r="J102" s="13">
        <f t="shared" si="35"/>
        <v>0</v>
      </c>
      <c r="K102" s="12">
        <v>0</v>
      </c>
      <c r="L102" s="6">
        <v>0</v>
      </c>
      <c r="M102" s="13">
        <f t="shared" si="36"/>
        <v>0</v>
      </c>
      <c r="N102" s="19"/>
      <c r="O102" s="13">
        <f t="shared" si="37"/>
        <v>0</v>
      </c>
      <c r="P102" s="5">
        <v>0.6247</v>
      </c>
      <c r="Q102" s="13">
        <f t="shared" si="38"/>
        <v>0</v>
      </c>
      <c r="R102" s="13">
        <f t="shared" si="39"/>
        <v>0</v>
      </c>
    </row>
    <row r="103" spans="1:18" ht="15" hidden="1">
      <c r="A103" s="26" t="s">
        <v>5</v>
      </c>
      <c r="B103" s="53">
        <v>2006</v>
      </c>
      <c r="C103" s="36" t="s">
        <v>48</v>
      </c>
      <c r="D103" s="37"/>
      <c r="E103" s="37">
        <v>1</v>
      </c>
      <c r="F103" s="39"/>
      <c r="G103" s="40">
        <f>'Monthly Volumes'!P50</f>
        <v>0</v>
      </c>
      <c r="H103" s="12">
        <v>0</v>
      </c>
      <c r="I103" s="6">
        <v>0</v>
      </c>
      <c r="J103" s="13">
        <f t="shared" si="35"/>
        <v>0</v>
      </c>
      <c r="K103" s="12">
        <v>0</v>
      </c>
      <c r="L103" s="6">
        <v>0</v>
      </c>
      <c r="M103" s="13">
        <f t="shared" si="36"/>
        <v>0</v>
      </c>
      <c r="N103" s="19"/>
      <c r="O103" s="13">
        <f t="shared" si="37"/>
        <v>0</v>
      </c>
      <c r="P103" s="5">
        <v>0.6247</v>
      </c>
      <c r="Q103" s="13">
        <f t="shared" si="38"/>
        <v>0</v>
      </c>
      <c r="R103" s="13">
        <f t="shared" si="39"/>
        <v>0</v>
      </c>
    </row>
    <row r="104" spans="1:18" ht="15" hidden="1">
      <c r="A104" s="26" t="s">
        <v>5</v>
      </c>
      <c r="B104" s="53">
        <v>2006</v>
      </c>
      <c r="C104" s="36" t="s">
        <v>49</v>
      </c>
      <c r="D104" s="37"/>
      <c r="E104" s="37">
        <v>1</v>
      </c>
      <c r="F104" s="39"/>
      <c r="G104" s="40">
        <f>'Monthly Volumes'!P51</f>
        <v>0</v>
      </c>
      <c r="H104" s="12">
        <v>0</v>
      </c>
      <c r="I104" s="6">
        <v>0</v>
      </c>
      <c r="J104" s="13">
        <f t="shared" si="35"/>
        <v>0</v>
      </c>
      <c r="K104" s="12">
        <v>0</v>
      </c>
      <c r="L104" s="6">
        <v>0</v>
      </c>
      <c r="M104" s="13">
        <f t="shared" si="36"/>
        <v>0</v>
      </c>
      <c r="N104" s="19"/>
      <c r="O104" s="13">
        <f t="shared" si="37"/>
        <v>0</v>
      </c>
      <c r="P104" s="5">
        <v>0.6247</v>
      </c>
      <c r="Q104" s="13">
        <f t="shared" si="38"/>
        <v>0</v>
      </c>
      <c r="R104" s="13">
        <f t="shared" si="39"/>
        <v>0</v>
      </c>
    </row>
    <row r="105" spans="1:18" ht="15.75" thickBot="1">
      <c r="A105" s="26"/>
      <c r="B105" s="53"/>
      <c r="C105" s="36"/>
      <c r="D105" s="37"/>
      <c r="E105" s="37"/>
      <c r="F105" s="39"/>
      <c r="G105" s="40"/>
      <c r="H105" s="12"/>
      <c r="I105" s="6"/>
      <c r="J105" s="13"/>
      <c r="K105" s="12"/>
      <c r="L105" s="6"/>
      <c r="M105" s="13"/>
      <c r="N105" s="19"/>
      <c r="O105" s="13"/>
      <c r="P105" s="5"/>
      <c r="Q105" s="13"/>
      <c r="R105" s="13"/>
    </row>
    <row r="106" spans="1:18" ht="15.75" thickBot="1">
      <c r="A106" s="55" t="s">
        <v>64</v>
      </c>
      <c r="B106" s="56"/>
      <c r="C106" s="57"/>
      <c r="D106" s="58">
        <f>SUM(D93:D105)</f>
        <v>0</v>
      </c>
      <c r="E106" s="58"/>
      <c r="F106" s="58">
        <f>SUM(F93:F105)</f>
        <v>0</v>
      </c>
      <c r="G106" s="59">
        <f>SUM(G93:G105)</f>
        <v>487.4666666666667</v>
      </c>
      <c r="H106" s="60"/>
      <c r="I106" s="61"/>
      <c r="J106" s="62">
        <f>SUM(J93:J105)</f>
        <v>0</v>
      </c>
      <c r="K106" s="60"/>
      <c r="L106" s="61"/>
      <c r="M106" s="62">
        <f>SUM(M93:M105)</f>
        <v>0</v>
      </c>
      <c r="N106" s="63"/>
      <c r="O106" s="62">
        <f>SUM(O93:O105)</f>
        <v>0</v>
      </c>
      <c r="P106" s="63"/>
      <c r="Q106" s="62">
        <f>SUM(Q93:Q105)</f>
        <v>301.37084304384103</v>
      </c>
      <c r="R106" s="62">
        <f>SUM(R93:R105)</f>
        <v>301.37084304384103</v>
      </c>
    </row>
    <row r="107" spans="1:18" ht="15">
      <c r="A107" s="16"/>
      <c r="B107" s="3"/>
      <c r="C107" s="3"/>
      <c r="D107" s="64"/>
      <c r="E107" s="64"/>
      <c r="F107" s="64"/>
      <c r="G107" s="65"/>
      <c r="H107" s="14"/>
      <c r="I107" s="6"/>
      <c r="J107" s="13"/>
      <c r="K107" s="14"/>
      <c r="L107" s="6"/>
      <c r="M107" s="13"/>
      <c r="N107" s="19"/>
      <c r="O107" s="13"/>
      <c r="P107" s="19"/>
      <c r="Q107" s="13"/>
      <c r="R107" s="13"/>
    </row>
    <row r="108" spans="1:18" s="18" customFormat="1" ht="15.75" thickBot="1">
      <c r="A108" s="114" t="s">
        <v>28</v>
      </c>
      <c r="B108" s="115"/>
      <c r="C108" s="115"/>
      <c r="D108" s="116"/>
      <c r="E108" s="116"/>
      <c r="F108" s="116">
        <f>F16+F31+F46+F61+F76+F91+F106</f>
        <v>5419826.666666667</v>
      </c>
      <c r="G108" s="116">
        <f>G16+G31+G46+G61+G76+G91+G106</f>
        <v>18093.2</v>
      </c>
      <c r="H108" s="114"/>
      <c r="I108" s="115"/>
      <c r="J108" s="117">
        <f>J16+J31+J46+J61+J76+J91+J106</f>
        <v>0</v>
      </c>
      <c r="K108" s="114"/>
      <c r="L108" s="115"/>
      <c r="M108" s="117">
        <f>M16+M31+M46+M61+M76+M91+M106</f>
        <v>0</v>
      </c>
      <c r="N108" s="114"/>
      <c r="O108" s="117">
        <f>O16+O31+O46+O61+O76+O91+O106</f>
        <v>0</v>
      </c>
      <c r="P108" s="114"/>
      <c r="Q108" s="117">
        <f>Q16+Q31+Q46+Q61+Q76+Q91+Q106</f>
        <v>12447.848449570847</v>
      </c>
      <c r="R108" s="117">
        <f>R16+R31+R46+R61+R76+R91+R106</f>
        <v>12447.848449570847</v>
      </c>
    </row>
    <row r="109" spans="1:18" ht="15">
      <c r="A109" s="3"/>
      <c r="B109" s="3"/>
      <c r="C109" s="3"/>
      <c r="D109" s="9"/>
      <c r="E109" s="9"/>
      <c r="F109" s="9"/>
      <c r="G109" s="9"/>
      <c r="H109" s="3"/>
      <c r="I109" s="3"/>
      <c r="J109" s="4"/>
      <c r="K109" s="3"/>
      <c r="L109" s="3"/>
      <c r="M109" s="4"/>
      <c r="N109" s="4"/>
      <c r="O109" s="4"/>
      <c r="P109" s="4"/>
      <c r="Q109" s="4"/>
      <c r="R109" s="4"/>
    </row>
    <row r="111" spans="10:11" ht="15">
      <c r="J111" s="8"/>
      <c r="K111" s="2"/>
    </row>
    <row r="112" spans="10:11" ht="15">
      <c r="J112" s="8"/>
      <c r="K112" s="2"/>
    </row>
    <row r="113" spans="10:11" ht="15">
      <c r="J113" s="8"/>
      <c r="K113" s="2"/>
    </row>
    <row r="114" spans="10:11" ht="15">
      <c r="J114" s="8"/>
      <c r="K114" s="2"/>
    </row>
  </sheetData>
  <sheetProtection/>
  <printOptions/>
  <pageMargins left="0.45" right="0.45" top="0.75" bottom="0.75" header="0.3" footer="0.3"/>
  <pageSetup fitToHeight="2" fitToWidth="1" horizontalDpi="600" verticalDpi="600" orientation="portrait" r:id="rId1"/>
  <headerFooter alignWithMargins="0">
    <oddHeader>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showGridLines="0" tabSelected="1" zoomScalePageLayoutView="0" workbookViewId="0" topLeftCell="A28">
      <selection activeCell="G28" sqref="G28"/>
    </sheetView>
  </sheetViews>
  <sheetFormatPr defaultColWidth="9.140625" defaultRowHeight="15"/>
  <cols>
    <col min="1" max="1" width="5.00390625" style="125" bestFit="1" customWidth="1"/>
    <col min="2" max="2" width="14.7109375" style="125" hidden="1" customWidth="1"/>
    <col min="3" max="3" width="21.8515625" style="125" bestFit="1" customWidth="1"/>
    <col min="4" max="4" width="1.421875" style="124" customWidth="1"/>
    <col min="5" max="5" width="13.57421875" style="126" bestFit="1" customWidth="1"/>
    <col min="6" max="6" width="14.28125" style="126" bestFit="1" customWidth="1"/>
    <col min="7" max="7" width="12.28125" style="125" bestFit="1" customWidth="1"/>
    <col min="8" max="8" width="17.421875" style="125" bestFit="1" customWidth="1"/>
    <col min="9" max="9" width="15.28125" style="125" customWidth="1"/>
    <col min="10" max="16384" width="9.140625" style="125" customWidth="1"/>
  </cols>
  <sheetData>
    <row r="1" spans="5:9" ht="15">
      <c r="E1" s="216" t="s">
        <v>112</v>
      </c>
      <c r="F1" s="217"/>
      <c r="G1" s="217"/>
      <c r="H1" s="217"/>
      <c r="I1" s="218"/>
    </row>
    <row r="2" spans="1:10" s="148" customFormat="1" ht="45">
      <c r="A2" s="154" t="s">
        <v>30</v>
      </c>
      <c r="B2" s="155" t="s">
        <v>65</v>
      </c>
      <c r="C2" s="156" t="s">
        <v>31</v>
      </c>
      <c r="D2" s="147"/>
      <c r="E2" s="186" t="s">
        <v>66</v>
      </c>
      <c r="F2" s="186" t="s">
        <v>71</v>
      </c>
      <c r="G2" s="186" t="s">
        <v>70</v>
      </c>
      <c r="H2" s="186" t="s">
        <v>69</v>
      </c>
      <c r="I2" s="186" t="s">
        <v>67</v>
      </c>
      <c r="J2" s="1"/>
    </row>
    <row r="3" spans="1:9" ht="15">
      <c r="A3" s="149">
        <v>2002</v>
      </c>
      <c r="B3" s="150">
        <v>3</v>
      </c>
      <c r="C3" s="151" t="s">
        <v>41</v>
      </c>
      <c r="E3" s="187">
        <f>('[6]G37 PILs 1562 Calculation '!$C$12+'[6]G37 PILs 1562 Calculation '!$E$12)/10</f>
        <v>4042.2</v>
      </c>
      <c r="F3" s="187">
        <f>-Summary!B17</f>
        <v>-3347.670166394845</v>
      </c>
      <c r="G3" s="191"/>
      <c r="H3" s="187">
        <f>SUM(E3:G3)</f>
        <v>694.5298336051546</v>
      </c>
      <c r="I3" s="187">
        <f>H3</f>
        <v>694.5298336051546</v>
      </c>
    </row>
    <row r="4" spans="1:9" ht="15">
      <c r="A4" s="149">
        <v>2002</v>
      </c>
      <c r="B4" s="150">
        <v>4</v>
      </c>
      <c r="C4" s="151" t="s">
        <v>42</v>
      </c>
      <c r="E4" s="187">
        <f>('[6]G37 PILs 1562 Calculation '!$C$12+'[6]G37 PILs 1562 Calculation '!$E$12)/10</f>
        <v>4042.2</v>
      </c>
      <c r="F4" s="187">
        <f>-Summary!B18</f>
        <v>-3347.670166394845</v>
      </c>
      <c r="G4" s="191"/>
      <c r="H4" s="187">
        <f aca="true" t="shared" si="0" ref="H4:H12">SUM(E4:G4)</f>
        <v>694.5298336051546</v>
      </c>
      <c r="I4" s="187">
        <f>I3+H4</f>
        <v>1389.0596672103093</v>
      </c>
    </row>
    <row r="5" spans="1:9" ht="15">
      <c r="A5" s="149">
        <v>2002</v>
      </c>
      <c r="B5" s="150">
        <v>5</v>
      </c>
      <c r="C5" s="151" t="s">
        <v>35</v>
      </c>
      <c r="E5" s="187">
        <f>('[6]G37 PILs 1562 Calculation '!$C$12+'[6]G37 PILs 1562 Calculation '!$E$12)/10</f>
        <v>4042.2</v>
      </c>
      <c r="F5" s="187">
        <f>-Summary!B19</f>
        <v>-3347.670166394845</v>
      </c>
      <c r="G5" s="191"/>
      <c r="H5" s="187">
        <f t="shared" si="0"/>
        <v>694.5298336051546</v>
      </c>
      <c r="I5" s="187">
        <f aca="true" t="shared" si="1" ref="I5:I11">I4+H5</f>
        <v>2083.589500815464</v>
      </c>
    </row>
    <row r="6" spans="1:9" ht="15">
      <c r="A6" s="149">
        <v>2002</v>
      </c>
      <c r="B6" s="150">
        <v>6</v>
      </c>
      <c r="C6" s="151" t="s">
        <v>36</v>
      </c>
      <c r="E6" s="187">
        <f>('[6]G37 PILs 1562 Calculation '!$C$12+'[6]G37 PILs 1562 Calculation '!$E$12)/10</f>
        <v>4042.2</v>
      </c>
      <c r="F6" s="187">
        <f>-Summary!B20</f>
        <v>-3347.670166394845</v>
      </c>
      <c r="G6" s="189"/>
      <c r="H6" s="187">
        <f t="shared" si="0"/>
        <v>694.5298336051546</v>
      </c>
      <c r="I6" s="187">
        <f t="shared" si="1"/>
        <v>2778.1193344206185</v>
      </c>
    </row>
    <row r="7" spans="1:9" ht="15">
      <c r="A7" s="149">
        <v>2002</v>
      </c>
      <c r="B7" s="150">
        <v>7</v>
      </c>
      <c r="C7" s="151" t="s">
        <v>44</v>
      </c>
      <c r="E7" s="187">
        <f>('[6]G37 PILs 1562 Calculation '!$C$12+'[6]G37 PILs 1562 Calculation '!$E$12)/10</f>
        <v>4042.2</v>
      </c>
      <c r="F7" s="187">
        <f>-Summary!B21</f>
        <v>-3347.670166394845</v>
      </c>
      <c r="G7" s="213">
        <f>'[6]G37 PILs 1562 Calculation '!$E$13</f>
        <v>79.97756097560976</v>
      </c>
      <c r="H7" s="187">
        <f t="shared" si="0"/>
        <v>774.5073945807644</v>
      </c>
      <c r="I7" s="187">
        <f t="shared" si="1"/>
        <v>3552.626729001383</v>
      </c>
    </row>
    <row r="8" spans="1:9" ht="15">
      <c r="A8" s="149">
        <v>2002</v>
      </c>
      <c r="B8" s="150">
        <v>8</v>
      </c>
      <c r="C8" s="151" t="s">
        <v>45</v>
      </c>
      <c r="E8" s="187">
        <f>('[6]G37 PILs 1562 Calculation '!$C$12+'[6]G37 PILs 1562 Calculation '!$E$12)/10</f>
        <v>4042.2</v>
      </c>
      <c r="F8" s="187">
        <f>-Summary!B22</f>
        <v>-3347.670166394845</v>
      </c>
      <c r="G8" s="191"/>
      <c r="H8" s="187">
        <f t="shared" si="0"/>
        <v>694.5298336051546</v>
      </c>
      <c r="I8" s="187">
        <f t="shared" si="1"/>
        <v>4247.156562606538</v>
      </c>
    </row>
    <row r="9" spans="1:9" ht="15">
      <c r="A9" s="149">
        <v>2002</v>
      </c>
      <c r="B9" s="150">
        <v>9</v>
      </c>
      <c r="C9" s="151" t="s">
        <v>68</v>
      </c>
      <c r="E9" s="187">
        <f>('[6]G37 PILs 1562 Calculation '!$C$12+'[6]G37 PILs 1562 Calculation '!$E$12)/10</f>
        <v>4042.2</v>
      </c>
      <c r="F9" s="187">
        <f>-Summary!B23</f>
        <v>-3347.670166394845</v>
      </c>
      <c r="G9" s="191"/>
      <c r="H9" s="187">
        <f t="shared" si="0"/>
        <v>694.5298336051546</v>
      </c>
      <c r="I9" s="187">
        <f t="shared" si="1"/>
        <v>4941.686396211692</v>
      </c>
    </row>
    <row r="10" spans="1:9" ht="15">
      <c r="A10" s="149">
        <v>2002</v>
      </c>
      <c r="B10" s="150">
        <v>10</v>
      </c>
      <c r="C10" s="151" t="s">
        <v>47</v>
      </c>
      <c r="E10" s="187">
        <f>('[6]G37 PILs 1562 Calculation '!$C$12+'[6]G37 PILs 1562 Calculation '!$E$12)/10</f>
        <v>4042.2</v>
      </c>
      <c r="F10" s="187">
        <f>-Summary!B24</f>
        <v>-3347.670166394845</v>
      </c>
      <c r="G10" s="191"/>
      <c r="H10" s="187">
        <f t="shared" si="0"/>
        <v>694.5298336051546</v>
      </c>
      <c r="I10" s="187">
        <f t="shared" si="1"/>
        <v>5636.216229816847</v>
      </c>
    </row>
    <row r="11" spans="1:9" ht="15">
      <c r="A11" s="149">
        <v>2002</v>
      </c>
      <c r="B11" s="150">
        <v>11</v>
      </c>
      <c r="C11" s="151" t="s">
        <v>48</v>
      </c>
      <c r="E11" s="187">
        <f>('[6]G37 PILs 1562 Calculation '!$C$12+'[6]G37 PILs 1562 Calculation '!$E$12)/10</f>
        <v>4042.2</v>
      </c>
      <c r="F11" s="187">
        <f>-Summary!B25</f>
        <v>-3347.670166394845</v>
      </c>
      <c r="G11" s="191"/>
      <c r="H11" s="187">
        <f t="shared" si="0"/>
        <v>694.5298336051546</v>
      </c>
      <c r="I11" s="187">
        <f t="shared" si="1"/>
        <v>6330.7460634220015</v>
      </c>
    </row>
    <row r="12" spans="1:9" ht="15">
      <c r="A12" s="149">
        <v>2002</v>
      </c>
      <c r="B12" s="150">
        <v>12</v>
      </c>
      <c r="C12" s="53" t="s">
        <v>113</v>
      </c>
      <c r="E12" s="187">
        <f>('[6]G37 PILs 1562 Calculation '!$C$12+'[6]G37 PILs 1562 Calculation '!$E$12)/10</f>
        <v>4042.2</v>
      </c>
      <c r="F12" s="187">
        <f>-(Summary!B26+Summary!B27)</f>
        <v>-3347.670166394845</v>
      </c>
      <c r="G12" s="191"/>
      <c r="H12" s="187">
        <f t="shared" si="0"/>
        <v>694.5298336051546</v>
      </c>
      <c r="I12" s="187">
        <f>I11+H12</f>
        <v>7025.275897027156</v>
      </c>
    </row>
    <row r="13" spans="1:9" s="18" customFormat="1" ht="15">
      <c r="A13" s="123" t="s">
        <v>83</v>
      </c>
      <c r="B13" s="127"/>
      <c r="C13" s="128"/>
      <c r="D13" s="129"/>
      <c r="E13" s="188">
        <f>SUM(E3:E12)</f>
        <v>40422</v>
      </c>
      <c r="F13" s="188">
        <f>SUM(F3:F12)</f>
        <v>-33476.70166394845</v>
      </c>
      <c r="G13" s="188">
        <f>SUM(G3:G12)</f>
        <v>79.97756097560976</v>
      </c>
      <c r="H13" s="188">
        <f>SUM(H3:H12)</f>
        <v>7025.275897027156</v>
      </c>
      <c r="I13" s="188"/>
    </row>
    <row r="14" spans="1:9" ht="15">
      <c r="A14" s="149"/>
      <c r="B14" s="150"/>
      <c r="C14" s="151"/>
      <c r="E14" s="187"/>
      <c r="F14" s="187"/>
      <c r="G14" s="191"/>
      <c r="H14" s="187"/>
      <c r="I14" s="187"/>
    </row>
    <row r="15" spans="1:9" ht="15">
      <c r="A15" s="149">
        <v>2003</v>
      </c>
      <c r="B15" s="152">
        <v>1</v>
      </c>
      <c r="C15" s="151" t="s">
        <v>39</v>
      </c>
      <c r="E15" s="189">
        <f>'[6]G37 PILs 1562 Calculation '!$G$12/12</f>
        <v>3368.5</v>
      </c>
      <c r="F15" s="187">
        <f>-Summary!C15</f>
        <v>-3250.1045535494895</v>
      </c>
      <c r="G15" s="191"/>
      <c r="H15" s="187">
        <f aca="true" t="shared" si="2" ref="H15:H26">SUM(E15:G15)</f>
        <v>118.39544645051046</v>
      </c>
      <c r="I15" s="187">
        <f>I12+H15</f>
        <v>7143.671343477667</v>
      </c>
    </row>
    <row r="16" spans="1:9" ht="15">
      <c r="A16" s="149">
        <v>2003</v>
      </c>
      <c r="B16" s="152">
        <v>2</v>
      </c>
      <c r="C16" s="151" t="s">
        <v>40</v>
      </c>
      <c r="E16" s="189">
        <f>'[6]G37 PILs 1562 Calculation '!$G$12/12</f>
        <v>3368.5</v>
      </c>
      <c r="F16" s="187">
        <f>-Summary!C16</f>
        <v>-3250.1045535494895</v>
      </c>
      <c r="G16" s="191"/>
      <c r="H16" s="187">
        <f t="shared" si="2"/>
        <v>118.39544645051046</v>
      </c>
      <c r="I16" s="187">
        <f>I15+H16</f>
        <v>7262.066789928177</v>
      </c>
    </row>
    <row r="17" spans="1:9" ht="15">
      <c r="A17" s="149">
        <v>2003</v>
      </c>
      <c r="B17" s="152">
        <v>3</v>
      </c>
      <c r="C17" s="151" t="s">
        <v>41</v>
      </c>
      <c r="E17" s="189">
        <f>'[6]G37 PILs 1562 Calculation '!$G$12/12</f>
        <v>3368.5</v>
      </c>
      <c r="F17" s="187">
        <f>-Summary!C17</f>
        <v>-3250.1045535494895</v>
      </c>
      <c r="G17" s="191"/>
      <c r="H17" s="187">
        <f t="shared" si="2"/>
        <v>118.39544645051046</v>
      </c>
      <c r="I17" s="187">
        <f aca="true" t="shared" si="3" ref="I17:I25">I16+H17</f>
        <v>7380.4622363786875</v>
      </c>
    </row>
    <row r="18" spans="1:9" ht="15">
      <c r="A18" s="149">
        <v>2003</v>
      </c>
      <c r="B18" s="152">
        <v>4</v>
      </c>
      <c r="C18" s="151" t="s">
        <v>42</v>
      </c>
      <c r="E18" s="189">
        <f>'[6]G37 PILs 1562 Calculation '!$G$12/12</f>
        <v>3368.5</v>
      </c>
      <c r="F18" s="187">
        <f>-Summary!C18</f>
        <v>-3250.1045535494895</v>
      </c>
      <c r="G18" s="191"/>
      <c r="H18" s="187">
        <f t="shared" si="2"/>
        <v>118.39544645051046</v>
      </c>
      <c r="I18" s="187">
        <f t="shared" si="3"/>
        <v>7498.857682829198</v>
      </c>
    </row>
    <row r="19" spans="1:9" ht="15">
      <c r="A19" s="149">
        <v>2003</v>
      </c>
      <c r="B19" s="152">
        <v>5</v>
      </c>
      <c r="C19" s="151" t="s">
        <v>35</v>
      </c>
      <c r="E19" s="189">
        <f>'[6]G37 PILs 1562 Calculation '!$G$12/12</f>
        <v>3368.5</v>
      </c>
      <c r="F19" s="187">
        <f>-Summary!C19</f>
        <v>-3250.1045535494895</v>
      </c>
      <c r="G19" s="191"/>
      <c r="H19" s="187">
        <f t="shared" si="2"/>
        <v>118.39544645051046</v>
      </c>
      <c r="I19" s="187">
        <f t="shared" si="3"/>
        <v>7617.253129279708</v>
      </c>
    </row>
    <row r="20" spans="1:9" ht="15">
      <c r="A20" s="149">
        <v>2003</v>
      </c>
      <c r="B20" s="152">
        <v>6</v>
      </c>
      <c r="C20" s="151" t="s">
        <v>36</v>
      </c>
      <c r="E20" s="189">
        <f>'[6]G37 PILs 1562 Calculation '!$G$12/12</f>
        <v>3368.5</v>
      </c>
      <c r="F20" s="187">
        <f>-Summary!C20</f>
        <v>-3250.1045535494895</v>
      </c>
      <c r="G20" s="191"/>
      <c r="H20" s="187">
        <f t="shared" si="2"/>
        <v>118.39544645051046</v>
      </c>
      <c r="I20" s="187">
        <f t="shared" si="3"/>
        <v>7735.648575730219</v>
      </c>
    </row>
    <row r="21" spans="1:9" ht="15">
      <c r="A21" s="149">
        <v>2003</v>
      </c>
      <c r="B21" s="152">
        <v>7</v>
      </c>
      <c r="C21" s="151" t="s">
        <v>44</v>
      </c>
      <c r="E21" s="189">
        <f>'[6]G37 PILs 1562 Calculation '!$G$12/12</f>
        <v>3368.5</v>
      </c>
      <c r="F21" s="187">
        <f>-Summary!C21</f>
        <v>-3250.1045535494895</v>
      </c>
      <c r="G21" s="192">
        <f>'[6]G37 PILs 1562 Calculation '!$G$13</f>
        <v>282.369756097561</v>
      </c>
      <c r="H21" s="187">
        <f t="shared" si="2"/>
        <v>400.76520254807144</v>
      </c>
      <c r="I21" s="187">
        <f t="shared" si="3"/>
        <v>8136.41377827829</v>
      </c>
    </row>
    <row r="22" spans="1:9" ht="15">
      <c r="A22" s="149">
        <v>2003</v>
      </c>
      <c r="B22" s="152">
        <v>8</v>
      </c>
      <c r="C22" s="151" t="s">
        <v>45</v>
      </c>
      <c r="E22" s="189">
        <f>'[6]G37 PILs 1562 Calculation '!$G$12/12</f>
        <v>3368.5</v>
      </c>
      <c r="F22" s="187">
        <f>-Summary!C22</f>
        <v>-3250.1045535494895</v>
      </c>
      <c r="G22" s="191"/>
      <c r="H22" s="187">
        <f t="shared" si="2"/>
        <v>118.39544645051046</v>
      </c>
      <c r="I22" s="187">
        <f t="shared" si="3"/>
        <v>8254.8092247288</v>
      </c>
    </row>
    <row r="23" spans="1:9" ht="15">
      <c r="A23" s="149">
        <v>2003</v>
      </c>
      <c r="B23" s="152">
        <v>9</v>
      </c>
      <c r="C23" s="151" t="s">
        <v>68</v>
      </c>
      <c r="E23" s="189">
        <f>'[6]G37 PILs 1562 Calculation '!$G$12/12</f>
        <v>3368.5</v>
      </c>
      <c r="F23" s="187">
        <f>-Summary!C23</f>
        <v>-3250.1045535494895</v>
      </c>
      <c r="G23" s="191"/>
      <c r="H23" s="187">
        <f t="shared" si="2"/>
        <v>118.39544645051046</v>
      </c>
      <c r="I23" s="187">
        <f t="shared" si="3"/>
        <v>8373.204671179312</v>
      </c>
    </row>
    <row r="24" spans="1:9" ht="15">
      <c r="A24" s="149">
        <v>2003</v>
      </c>
      <c r="B24" s="152">
        <v>10</v>
      </c>
      <c r="C24" s="151" t="s">
        <v>47</v>
      </c>
      <c r="E24" s="189">
        <f>'[6]G37 PILs 1562 Calculation '!$G$12/12</f>
        <v>3368.5</v>
      </c>
      <c r="F24" s="187">
        <f>-Summary!C24</f>
        <v>-3250.1045535494895</v>
      </c>
      <c r="G24" s="191"/>
      <c r="H24" s="187">
        <f t="shared" si="2"/>
        <v>118.39544645051046</v>
      </c>
      <c r="I24" s="187">
        <f t="shared" si="3"/>
        <v>8491.600117629823</v>
      </c>
    </row>
    <row r="25" spans="1:9" ht="15">
      <c r="A25" s="149">
        <v>2003</v>
      </c>
      <c r="B25" s="152">
        <v>11</v>
      </c>
      <c r="C25" s="151" t="s">
        <v>48</v>
      </c>
      <c r="E25" s="189">
        <f>'[6]G37 PILs 1562 Calculation '!$G$12/12</f>
        <v>3368.5</v>
      </c>
      <c r="F25" s="187">
        <f>-Summary!C25</f>
        <v>-3250.1045535494895</v>
      </c>
      <c r="G25" s="191"/>
      <c r="H25" s="187">
        <f t="shared" si="2"/>
        <v>118.39544645051046</v>
      </c>
      <c r="I25" s="187">
        <f t="shared" si="3"/>
        <v>8609.995564080335</v>
      </c>
    </row>
    <row r="26" spans="1:9" ht="15">
      <c r="A26" s="149">
        <v>2003</v>
      </c>
      <c r="B26" s="152">
        <v>12</v>
      </c>
      <c r="C26" s="53" t="s">
        <v>113</v>
      </c>
      <c r="E26" s="189">
        <f>'[6]G37 PILs 1562 Calculation '!$G$12/12</f>
        <v>3368.5</v>
      </c>
      <c r="F26" s="187">
        <f>-(Summary!C26+Summary!C27)</f>
        <v>-3250.1045535494895</v>
      </c>
      <c r="G26" s="191"/>
      <c r="H26" s="187">
        <f t="shared" si="2"/>
        <v>118.39544645051046</v>
      </c>
      <c r="I26" s="187">
        <f>I25+H26</f>
        <v>8728.391010530846</v>
      </c>
    </row>
    <row r="27" spans="1:9" s="18" customFormat="1" ht="15">
      <c r="A27" s="123" t="s">
        <v>84</v>
      </c>
      <c r="B27" s="127"/>
      <c r="C27" s="128"/>
      <c r="D27" s="129"/>
      <c r="E27" s="188">
        <f>SUM(E15:E26)</f>
        <v>40422</v>
      </c>
      <c r="F27" s="188">
        <f>SUM(F15:F26)</f>
        <v>-39001.25464259387</v>
      </c>
      <c r="G27" s="188">
        <f>G21</f>
        <v>282.369756097561</v>
      </c>
      <c r="H27" s="188">
        <f>SUM(H15:H26)</f>
        <v>1703.1151135036866</v>
      </c>
      <c r="I27" s="188"/>
    </row>
    <row r="28" spans="1:9" ht="15">
      <c r="A28" s="149"/>
      <c r="B28" s="152"/>
      <c r="C28" s="151"/>
      <c r="E28" s="187"/>
      <c r="F28" s="187"/>
      <c r="G28" s="191"/>
      <c r="H28" s="191"/>
      <c r="I28" s="191"/>
    </row>
    <row r="29" spans="1:9" ht="15">
      <c r="A29" s="149">
        <v>2004</v>
      </c>
      <c r="B29" s="152">
        <v>1</v>
      </c>
      <c r="C29" s="151" t="s">
        <v>39</v>
      </c>
      <c r="E29" s="189">
        <f>E23</f>
        <v>3368.5</v>
      </c>
      <c r="F29" s="187">
        <f>-Summary!D15</f>
        <v>-3154.541753850684</v>
      </c>
      <c r="G29" s="191"/>
      <c r="H29" s="187">
        <f aca="true" t="shared" si="4" ref="H29:H40">SUM(E29:G29)</f>
        <v>213.95824614931598</v>
      </c>
      <c r="I29" s="187">
        <f>H29+I26</f>
        <v>8942.349256680161</v>
      </c>
    </row>
    <row r="30" spans="1:9" ht="15">
      <c r="A30" s="149">
        <v>2004</v>
      </c>
      <c r="B30" s="152">
        <v>2</v>
      </c>
      <c r="C30" s="151" t="s">
        <v>40</v>
      </c>
      <c r="E30" s="189">
        <f>E24</f>
        <v>3368.5</v>
      </c>
      <c r="F30" s="187">
        <f>-Summary!D16</f>
        <v>-3154.541753850684</v>
      </c>
      <c r="G30" s="191"/>
      <c r="H30" s="187">
        <f t="shared" si="4"/>
        <v>213.95824614931598</v>
      </c>
      <c r="I30" s="187">
        <f>I29+H30</f>
        <v>9156.307502829477</v>
      </c>
    </row>
    <row r="31" spans="1:9" ht="15">
      <c r="A31" s="149">
        <v>2004</v>
      </c>
      <c r="B31" s="152">
        <v>3</v>
      </c>
      <c r="C31" s="151" t="s">
        <v>41</v>
      </c>
      <c r="E31" s="189">
        <f>E25</f>
        <v>3368.5</v>
      </c>
      <c r="F31" s="187">
        <f>-Summary!D17</f>
        <v>-3154.541753850684</v>
      </c>
      <c r="G31" s="191"/>
      <c r="H31" s="187">
        <f t="shared" si="4"/>
        <v>213.95824614931598</v>
      </c>
      <c r="I31" s="187">
        <f>I30+H31</f>
        <v>9370.265748978793</v>
      </c>
    </row>
    <row r="32" spans="1:9" ht="15">
      <c r="A32" s="149">
        <v>2004</v>
      </c>
      <c r="B32" s="152">
        <v>4</v>
      </c>
      <c r="C32" s="151" t="s">
        <v>42</v>
      </c>
      <c r="E32" s="187">
        <f>'[6]G37 PILs 1562 Calculation '!$E$12/12</f>
        <v>2729.5</v>
      </c>
      <c r="F32" s="187">
        <f>-Summary!D18</f>
        <v>-2379.770773522283</v>
      </c>
      <c r="G32" s="191"/>
      <c r="H32" s="187">
        <f t="shared" si="4"/>
        <v>349.729226477717</v>
      </c>
      <c r="I32" s="187">
        <f>I31+H32</f>
        <v>9719.99497545651</v>
      </c>
    </row>
    <row r="33" spans="1:9" ht="15">
      <c r="A33" s="149">
        <v>2004</v>
      </c>
      <c r="B33" s="152">
        <v>5</v>
      </c>
      <c r="C33" s="151" t="s">
        <v>35</v>
      </c>
      <c r="E33" s="187">
        <f>'[6]G37 PILs 1562 Calculation '!$E$12/12</f>
        <v>2729.5</v>
      </c>
      <c r="F33" s="187">
        <f>-Summary!D19</f>
        <v>-2379.770773522283</v>
      </c>
      <c r="G33" s="191"/>
      <c r="H33" s="187">
        <f t="shared" si="4"/>
        <v>349.729226477717</v>
      </c>
      <c r="I33" s="187">
        <f aca="true" t="shared" si="5" ref="I33:I40">I32+H33</f>
        <v>10069.724201934227</v>
      </c>
    </row>
    <row r="34" spans="1:9" ht="15">
      <c r="A34" s="149">
        <v>2004</v>
      </c>
      <c r="B34" s="152">
        <v>6</v>
      </c>
      <c r="C34" s="151" t="s">
        <v>36</v>
      </c>
      <c r="E34" s="187">
        <f>'[6]G37 PILs 1562 Calculation '!$E$12/12</f>
        <v>2729.5</v>
      </c>
      <c r="F34" s="187">
        <f>-Summary!D20</f>
        <v>-2379.770773522283</v>
      </c>
      <c r="G34" s="214"/>
      <c r="H34" s="187">
        <f t="shared" si="4"/>
        <v>349.729226477717</v>
      </c>
      <c r="I34" s="187">
        <f t="shared" si="5"/>
        <v>10419.453428411944</v>
      </c>
    </row>
    <row r="35" spans="1:9" ht="15">
      <c r="A35" s="149">
        <v>2004</v>
      </c>
      <c r="B35" s="152">
        <v>7</v>
      </c>
      <c r="C35" s="151" t="s">
        <v>44</v>
      </c>
      <c r="E35" s="187">
        <f>'[6]G37 PILs 1562 Calculation '!$E$12/12</f>
        <v>2729.5</v>
      </c>
      <c r="F35" s="187">
        <f>-Summary!D21</f>
        <v>-2379.770773522283</v>
      </c>
      <c r="G35" s="215">
        <f>'[6]G37 PILs 1562 Calculation '!$I$13+'[6]G37 PILs 1562 Calculation '!$I$14</f>
        <v>-199.78860890660246</v>
      </c>
      <c r="H35" s="187">
        <f t="shared" si="4"/>
        <v>149.94061757111456</v>
      </c>
      <c r="I35" s="187">
        <f t="shared" si="5"/>
        <v>10569.394045983057</v>
      </c>
    </row>
    <row r="36" spans="1:9" ht="15">
      <c r="A36" s="149">
        <v>2004</v>
      </c>
      <c r="B36" s="152">
        <v>8</v>
      </c>
      <c r="C36" s="151" t="s">
        <v>45</v>
      </c>
      <c r="E36" s="187">
        <f>'[6]G37 PILs 1562 Calculation '!$E$12/12</f>
        <v>2729.5</v>
      </c>
      <c r="F36" s="187">
        <f>-Summary!D22</f>
        <v>-2379.770773522283</v>
      </c>
      <c r="G36" s="191"/>
      <c r="H36" s="187">
        <f t="shared" si="4"/>
        <v>349.729226477717</v>
      </c>
      <c r="I36" s="187">
        <f t="shared" si="5"/>
        <v>10919.123272460774</v>
      </c>
    </row>
    <row r="37" spans="1:9" ht="15">
      <c r="A37" s="149">
        <v>2004</v>
      </c>
      <c r="B37" s="152">
        <v>9</v>
      </c>
      <c r="C37" s="151" t="s">
        <v>68</v>
      </c>
      <c r="E37" s="187">
        <f>'[6]G37 PILs 1562 Calculation '!$E$12/12</f>
        <v>2729.5</v>
      </c>
      <c r="F37" s="187">
        <f>-Summary!D23</f>
        <v>-2379.770773522283</v>
      </c>
      <c r="G37" s="191"/>
      <c r="H37" s="187">
        <f t="shared" si="4"/>
        <v>349.729226477717</v>
      </c>
      <c r="I37" s="187">
        <f t="shared" si="5"/>
        <v>11268.852498938491</v>
      </c>
    </row>
    <row r="38" spans="1:9" ht="15">
      <c r="A38" s="149">
        <v>2004</v>
      </c>
      <c r="B38" s="152">
        <v>10</v>
      </c>
      <c r="C38" s="151" t="s">
        <v>47</v>
      </c>
      <c r="E38" s="187">
        <f>'[6]G37 PILs 1562 Calculation '!$E$12/12</f>
        <v>2729.5</v>
      </c>
      <c r="F38" s="187">
        <f>-Summary!D24</f>
        <v>-2379.770773522283</v>
      </c>
      <c r="G38" s="191"/>
      <c r="H38" s="187">
        <f t="shared" si="4"/>
        <v>349.729226477717</v>
      </c>
      <c r="I38" s="187">
        <f t="shared" si="5"/>
        <v>11618.581725416208</v>
      </c>
    </row>
    <row r="39" spans="1:9" ht="15">
      <c r="A39" s="149">
        <v>2004</v>
      </c>
      <c r="B39" s="152">
        <v>11</v>
      </c>
      <c r="C39" s="151" t="s">
        <v>48</v>
      </c>
      <c r="E39" s="187">
        <f>'[6]G37 PILs 1562 Calculation '!$E$12/12</f>
        <v>2729.5</v>
      </c>
      <c r="F39" s="187">
        <f>-Summary!D25</f>
        <v>-2379.770773522283</v>
      </c>
      <c r="G39" s="191"/>
      <c r="H39" s="187">
        <f t="shared" si="4"/>
        <v>349.729226477717</v>
      </c>
      <c r="I39" s="187">
        <f t="shared" si="5"/>
        <v>11968.310951893925</v>
      </c>
    </row>
    <row r="40" spans="1:9" ht="15">
      <c r="A40" s="149">
        <v>2004</v>
      </c>
      <c r="B40" s="152">
        <v>12</v>
      </c>
      <c r="C40" s="53" t="s">
        <v>113</v>
      </c>
      <c r="E40" s="187">
        <f>'[6]G37 PILs 1562 Calculation '!$E$12/12</f>
        <v>2729.5</v>
      </c>
      <c r="F40" s="187">
        <f>-(Summary!D26+Summary!D27)</f>
        <v>-2379.770773522283</v>
      </c>
      <c r="G40" s="191"/>
      <c r="H40" s="187">
        <f t="shared" si="4"/>
        <v>349.729226477717</v>
      </c>
      <c r="I40" s="187">
        <f t="shared" si="5"/>
        <v>12318.040178371642</v>
      </c>
    </row>
    <row r="41" spans="1:9" s="18" customFormat="1" ht="15">
      <c r="A41" s="123" t="s">
        <v>85</v>
      </c>
      <c r="B41" s="127"/>
      <c r="C41" s="128"/>
      <c r="D41" s="129"/>
      <c r="E41" s="188">
        <f>SUM(E29:E40)</f>
        <v>34671</v>
      </c>
      <c r="F41" s="188">
        <f>SUM(F29:F40)</f>
        <v>-30881.5622232526</v>
      </c>
      <c r="G41" s="188">
        <f>SUM(G29:G40)</f>
        <v>-199.78860890660246</v>
      </c>
      <c r="H41" s="188">
        <f>SUM(H29:H40)</f>
        <v>3589.649167840799</v>
      </c>
      <c r="I41" s="188"/>
    </row>
    <row r="42" spans="1:9" ht="15">
      <c r="A42" s="149"/>
      <c r="B42" s="152"/>
      <c r="C42" s="151"/>
      <c r="E42" s="187"/>
      <c r="F42" s="187"/>
      <c r="G42" s="191"/>
      <c r="H42" s="191"/>
      <c r="I42" s="191"/>
    </row>
    <row r="43" spans="1:9" ht="15">
      <c r="A43" s="149"/>
      <c r="B43" s="152"/>
      <c r="C43" s="151"/>
      <c r="E43" s="187"/>
      <c r="F43" s="187"/>
      <c r="G43" s="191"/>
      <c r="H43" s="191"/>
      <c r="I43" s="191"/>
    </row>
    <row r="44" spans="1:9" ht="15">
      <c r="A44" s="149">
        <v>2005</v>
      </c>
      <c r="B44" s="152">
        <v>1</v>
      </c>
      <c r="C44" s="151" t="s">
        <v>39</v>
      </c>
      <c r="E44" s="189">
        <f>E37</f>
        <v>2729.5</v>
      </c>
      <c r="F44" s="187">
        <f>-Summary!E15</f>
        <v>-2469.841044742693</v>
      </c>
      <c r="G44" s="191"/>
      <c r="H44" s="187">
        <f aca="true" t="shared" si="6" ref="H44:H55">SUM(E44:G44)</f>
        <v>259.65895525730684</v>
      </c>
      <c r="I44" s="187">
        <f>I40+H44</f>
        <v>12577.69913362895</v>
      </c>
    </row>
    <row r="45" spans="1:9" ht="15">
      <c r="A45" s="149">
        <v>2005</v>
      </c>
      <c r="B45" s="152">
        <v>2</v>
      </c>
      <c r="C45" s="151" t="s">
        <v>40</v>
      </c>
      <c r="E45" s="189">
        <f>E38</f>
        <v>2729.5</v>
      </c>
      <c r="F45" s="187">
        <f>-Summary!E16</f>
        <v>-2469.841044742693</v>
      </c>
      <c r="G45" s="191"/>
      <c r="H45" s="187">
        <f t="shared" si="6"/>
        <v>259.65895525730684</v>
      </c>
      <c r="I45" s="187">
        <f>I44+H45</f>
        <v>12837.358088886256</v>
      </c>
    </row>
    <row r="46" spans="1:9" ht="15">
      <c r="A46" s="149">
        <v>2005</v>
      </c>
      <c r="B46" s="152">
        <v>3</v>
      </c>
      <c r="C46" s="151" t="s">
        <v>41</v>
      </c>
      <c r="E46" s="189">
        <f>E39</f>
        <v>2729.5</v>
      </c>
      <c r="F46" s="187">
        <f>-Summary!E17</f>
        <v>-2469.841044742693</v>
      </c>
      <c r="G46" s="191"/>
      <c r="H46" s="187">
        <f t="shared" si="6"/>
        <v>259.65895525730684</v>
      </c>
      <c r="I46" s="187">
        <f aca="true" t="shared" si="7" ref="I46:I55">I45+H46</f>
        <v>13097.017044143562</v>
      </c>
    </row>
    <row r="47" spans="1:9" ht="15">
      <c r="A47" s="149">
        <v>2005</v>
      </c>
      <c r="B47" s="152">
        <v>4</v>
      </c>
      <c r="C47" s="151" t="s">
        <v>42</v>
      </c>
      <c r="E47" s="187">
        <f>'[6]G37 PILs 1562 Calculation '!$M$12/4</f>
        <v>3363.8333333333335</v>
      </c>
      <c r="F47" s="187">
        <f>-Summary!E18</f>
        <v>-3218.156636228752</v>
      </c>
      <c r="G47" s="191"/>
      <c r="H47" s="187">
        <f t="shared" si="6"/>
        <v>145.6766971045813</v>
      </c>
      <c r="I47" s="187">
        <f t="shared" si="7"/>
        <v>13242.693741248144</v>
      </c>
    </row>
    <row r="48" spans="1:9" ht="15">
      <c r="A48" s="149">
        <v>2005</v>
      </c>
      <c r="B48" s="152">
        <v>5</v>
      </c>
      <c r="C48" s="151" t="s">
        <v>35</v>
      </c>
      <c r="E48" s="187">
        <f>E47</f>
        <v>3363.8333333333335</v>
      </c>
      <c r="F48" s="187">
        <f>-Summary!E19</f>
        <v>-3218.156636228752</v>
      </c>
      <c r="G48" s="191"/>
      <c r="H48" s="187">
        <f t="shared" si="6"/>
        <v>145.6766971045813</v>
      </c>
      <c r="I48" s="187">
        <f t="shared" si="7"/>
        <v>13388.370438352726</v>
      </c>
    </row>
    <row r="49" spans="1:9" ht="15">
      <c r="A49" s="149">
        <v>2005</v>
      </c>
      <c r="B49" s="152">
        <v>6</v>
      </c>
      <c r="C49" s="151" t="s">
        <v>36</v>
      </c>
      <c r="E49" s="187">
        <f aca="true" t="shared" si="8" ref="E49:E55">E48</f>
        <v>3363.8333333333335</v>
      </c>
      <c r="F49" s="187">
        <f>-Summary!E20</f>
        <v>-3218.156636228752</v>
      </c>
      <c r="G49" s="189"/>
      <c r="H49" s="187">
        <f t="shared" si="6"/>
        <v>145.6766971045813</v>
      </c>
      <c r="I49" s="187">
        <f t="shared" si="7"/>
        <v>13534.047135457307</v>
      </c>
    </row>
    <row r="50" spans="1:9" ht="15">
      <c r="A50" s="149">
        <v>2005</v>
      </c>
      <c r="B50" s="152">
        <v>7</v>
      </c>
      <c r="C50" s="151" t="s">
        <v>44</v>
      </c>
      <c r="E50" s="187">
        <f t="shared" si="8"/>
        <v>3363.8333333333335</v>
      </c>
      <c r="F50" s="187">
        <f>-Summary!E21</f>
        <v>-3218.156636228752</v>
      </c>
      <c r="G50" s="215">
        <f>'[6]G37 PILs 1562 Calculation '!$K$13+'[6]G37 PILs 1562 Calculation '!$K$14</f>
        <v>-461.6679389169024</v>
      </c>
      <c r="H50" s="187">
        <f t="shared" si="6"/>
        <v>-315.9912418123211</v>
      </c>
      <c r="I50" s="187">
        <f t="shared" si="7"/>
        <v>13218.055893644987</v>
      </c>
    </row>
    <row r="51" spans="1:9" ht="15">
      <c r="A51" s="149">
        <v>2005</v>
      </c>
      <c r="B51" s="152">
        <v>8</v>
      </c>
      <c r="C51" s="151" t="s">
        <v>45</v>
      </c>
      <c r="E51" s="187">
        <f t="shared" si="8"/>
        <v>3363.8333333333335</v>
      </c>
      <c r="F51" s="187">
        <f>-Summary!E22</f>
        <v>-3218.156636228752</v>
      </c>
      <c r="G51" s="191"/>
      <c r="H51" s="187">
        <f t="shared" si="6"/>
        <v>145.6766971045813</v>
      </c>
      <c r="I51" s="187">
        <f t="shared" si="7"/>
        <v>13363.732590749569</v>
      </c>
    </row>
    <row r="52" spans="1:9" ht="15">
      <c r="A52" s="149">
        <v>2005</v>
      </c>
      <c r="B52" s="152">
        <v>9</v>
      </c>
      <c r="C52" s="151" t="s">
        <v>68</v>
      </c>
      <c r="E52" s="187">
        <f t="shared" si="8"/>
        <v>3363.8333333333335</v>
      </c>
      <c r="F52" s="187">
        <f>-Summary!E23</f>
        <v>-3218.156636228752</v>
      </c>
      <c r="G52" s="191"/>
      <c r="H52" s="187">
        <f t="shared" si="6"/>
        <v>145.6766971045813</v>
      </c>
      <c r="I52" s="187">
        <f t="shared" si="7"/>
        <v>13509.40928785415</v>
      </c>
    </row>
    <row r="53" spans="1:9" ht="15">
      <c r="A53" s="149">
        <v>2005</v>
      </c>
      <c r="B53" s="152">
        <v>10</v>
      </c>
      <c r="C53" s="151" t="s">
        <v>47</v>
      </c>
      <c r="E53" s="187">
        <f t="shared" si="8"/>
        <v>3363.8333333333335</v>
      </c>
      <c r="F53" s="187">
        <f>-Summary!E24</f>
        <v>-3218.156636228752</v>
      </c>
      <c r="G53" s="191"/>
      <c r="H53" s="187">
        <f t="shared" si="6"/>
        <v>145.6766971045813</v>
      </c>
      <c r="I53" s="187">
        <f t="shared" si="7"/>
        <v>13655.085984958732</v>
      </c>
    </row>
    <row r="54" spans="1:9" ht="15">
      <c r="A54" s="149">
        <v>2005</v>
      </c>
      <c r="B54" s="152">
        <v>11</v>
      </c>
      <c r="C54" s="151" t="s">
        <v>48</v>
      </c>
      <c r="E54" s="187">
        <f t="shared" si="8"/>
        <v>3363.8333333333335</v>
      </c>
      <c r="F54" s="187">
        <f>-Summary!E25</f>
        <v>-3218.156636228752</v>
      </c>
      <c r="G54" s="191"/>
      <c r="H54" s="187">
        <f t="shared" si="6"/>
        <v>145.6766971045813</v>
      </c>
      <c r="I54" s="187">
        <f t="shared" si="7"/>
        <v>13800.762682063314</v>
      </c>
    </row>
    <row r="55" spans="1:9" ht="15">
      <c r="A55" s="149">
        <v>2005</v>
      </c>
      <c r="B55" s="152">
        <v>12</v>
      </c>
      <c r="C55" s="53" t="s">
        <v>113</v>
      </c>
      <c r="E55" s="187">
        <f t="shared" si="8"/>
        <v>3363.8333333333335</v>
      </c>
      <c r="F55" s="187">
        <f>-(Summary!E26+Summary!E27)</f>
        <v>-3218.156636228752</v>
      </c>
      <c r="G55" s="191"/>
      <c r="H55" s="187">
        <f t="shared" si="6"/>
        <v>145.6766971045813</v>
      </c>
      <c r="I55" s="187">
        <f t="shared" si="7"/>
        <v>13946.439379167896</v>
      </c>
    </row>
    <row r="56" spans="1:9" s="18" customFormat="1" ht="15">
      <c r="A56" s="123" t="s">
        <v>86</v>
      </c>
      <c r="B56" s="127"/>
      <c r="C56" s="128"/>
      <c r="D56" s="129"/>
      <c r="E56" s="188">
        <f>SUM(E44:E55)</f>
        <v>38463</v>
      </c>
      <c r="F56" s="188">
        <f>SUM(F44:F55)</f>
        <v>-36372.93286028685</v>
      </c>
      <c r="G56" s="188">
        <f>SUM(G44:G55)</f>
        <v>-461.6679389169024</v>
      </c>
      <c r="H56" s="188">
        <f>SUM(H44:H55)</f>
        <v>1628.39920079625</v>
      </c>
      <c r="I56" s="188"/>
    </row>
    <row r="57" spans="1:9" ht="15">
      <c r="A57" s="149"/>
      <c r="B57" s="152"/>
      <c r="C57" s="151"/>
      <c r="E57" s="187"/>
      <c r="F57" s="187"/>
      <c r="G57" s="191"/>
      <c r="H57" s="191"/>
      <c r="I57" s="191"/>
    </row>
    <row r="58" spans="1:9" ht="15" hidden="1">
      <c r="A58" s="153" t="s">
        <v>72</v>
      </c>
      <c r="B58" s="150"/>
      <c r="C58" s="151"/>
      <c r="E58" s="187"/>
      <c r="F58" s="187"/>
      <c r="G58" s="191"/>
      <c r="H58" s="191"/>
      <c r="I58" s="191"/>
    </row>
    <row r="59" spans="1:9" ht="15" hidden="1">
      <c r="A59" s="153"/>
      <c r="B59" s="150"/>
      <c r="C59" s="151"/>
      <c r="E59" s="187"/>
      <c r="F59" s="187"/>
      <c r="G59" s="191"/>
      <c r="H59" s="191"/>
      <c r="I59" s="191"/>
    </row>
    <row r="60" spans="1:9" ht="15" hidden="1">
      <c r="A60" s="153"/>
      <c r="B60" s="150"/>
      <c r="C60" s="151"/>
      <c r="E60" s="187"/>
      <c r="F60" s="187"/>
      <c r="G60" s="191"/>
      <c r="H60" s="191"/>
      <c r="I60" s="191"/>
    </row>
    <row r="61" spans="1:9" ht="15" hidden="1">
      <c r="A61" s="153"/>
      <c r="B61" s="150"/>
      <c r="C61" s="151"/>
      <c r="E61" s="187"/>
      <c r="F61" s="187"/>
      <c r="G61" s="191"/>
      <c r="H61" s="191"/>
      <c r="I61" s="191"/>
    </row>
    <row r="62" spans="1:9" ht="15" hidden="1">
      <c r="A62" s="149"/>
      <c r="B62" s="152"/>
      <c r="C62" s="151"/>
      <c r="E62" s="187"/>
      <c r="F62" s="187"/>
      <c r="G62" s="191"/>
      <c r="H62" s="191"/>
      <c r="I62" s="191"/>
    </row>
    <row r="63" spans="1:9" ht="15">
      <c r="A63" s="149"/>
      <c r="B63" s="152"/>
      <c r="C63" s="151"/>
      <c r="E63" s="187"/>
      <c r="F63" s="187"/>
      <c r="G63" s="191"/>
      <c r="H63" s="191"/>
      <c r="I63" s="191"/>
    </row>
    <row r="64" spans="1:9" ht="15">
      <c r="A64" s="149">
        <v>2006</v>
      </c>
      <c r="B64" s="152">
        <v>1</v>
      </c>
      <c r="C64" s="151" t="s">
        <v>39</v>
      </c>
      <c r="E64" s="187">
        <f>E53</f>
        <v>3363.8333333333335</v>
      </c>
      <c r="F64" s="187">
        <f>-Summary!F15</f>
        <v>-3111.962112392712</v>
      </c>
      <c r="G64" s="191"/>
      <c r="H64" s="187">
        <f>SUM(E64:G64)</f>
        <v>251.8712209406217</v>
      </c>
      <c r="I64" s="187">
        <f>I55+H64</f>
        <v>14198.310600108518</v>
      </c>
    </row>
    <row r="65" spans="1:9" ht="15">
      <c r="A65" s="149">
        <v>2006</v>
      </c>
      <c r="B65" s="152">
        <v>2</v>
      </c>
      <c r="C65" s="151" t="s">
        <v>40</v>
      </c>
      <c r="E65" s="187">
        <f>E54</f>
        <v>3363.8333333333335</v>
      </c>
      <c r="F65" s="187">
        <f>-Summary!F16</f>
        <v>-3111.962112392712</v>
      </c>
      <c r="G65" s="191"/>
      <c r="H65" s="187">
        <f>SUM(E65:G65)</f>
        <v>251.8712209406217</v>
      </c>
      <c r="I65" s="187">
        <f>I64+H65</f>
        <v>14450.18182104914</v>
      </c>
    </row>
    <row r="66" spans="1:9" ht="15">
      <c r="A66" s="149">
        <v>2006</v>
      </c>
      <c r="B66" s="152">
        <v>3</v>
      </c>
      <c r="C66" s="151" t="s">
        <v>41</v>
      </c>
      <c r="E66" s="187">
        <f>E55</f>
        <v>3363.8333333333335</v>
      </c>
      <c r="F66" s="187">
        <f>-Summary!F17</f>
        <v>-3111.962112392712</v>
      </c>
      <c r="G66" s="191"/>
      <c r="H66" s="187">
        <f>SUM(E66:G66)</f>
        <v>251.8712209406217</v>
      </c>
      <c r="I66" s="187">
        <f>I65+H66</f>
        <v>14702.053041989762</v>
      </c>
    </row>
    <row r="67" spans="1:9" ht="15.75" customHeight="1">
      <c r="A67" s="149">
        <v>2006</v>
      </c>
      <c r="B67" s="152">
        <v>4</v>
      </c>
      <c r="C67" s="53" t="s">
        <v>42</v>
      </c>
      <c r="E67" s="187">
        <f>E66</f>
        <v>3363.8333333333335</v>
      </c>
      <c r="F67" s="187">
        <f>-(Summary!F18+Summary!F27)</f>
        <v>-3111.962112392712</v>
      </c>
      <c r="G67" s="215">
        <f>'[6]G37 PILs 1562 Calculation '!$M$13+'[6]G37 PILs 1562 Calculation '!$M$14</f>
        <v>46.71927272727273</v>
      </c>
      <c r="H67" s="187">
        <f>SUM(E67:G67)</f>
        <v>298.5904936678944</v>
      </c>
      <c r="I67" s="187">
        <f>I66+H67</f>
        <v>15000.643535657657</v>
      </c>
    </row>
    <row r="68" spans="1:9" s="18" customFormat="1" ht="15">
      <c r="A68" s="194" t="s">
        <v>87</v>
      </c>
      <c r="B68" s="195"/>
      <c r="C68" s="196"/>
      <c r="D68" s="129"/>
      <c r="E68" s="197">
        <f>SUM(E64:E67)</f>
        <v>13455.333333333334</v>
      </c>
      <c r="F68" s="197">
        <f>SUM(F64:F67)</f>
        <v>-12447.848449570847</v>
      </c>
      <c r="G68" s="197">
        <f>SUM(G64:G67)</f>
        <v>46.71927272727273</v>
      </c>
      <c r="H68" s="197">
        <f>SUM(H64:H67)</f>
        <v>1054.2041564897595</v>
      </c>
      <c r="I68" s="197"/>
    </row>
    <row r="69" spans="1:9" ht="15">
      <c r="A69" s="174"/>
      <c r="B69" s="198"/>
      <c r="C69" s="127"/>
      <c r="E69" s="190"/>
      <c r="F69" s="173"/>
      <c r="G69" s="176"/>
      <c r="H69" s="176"/>
      <c r="I69" s="175"/>
    </row>
    <row r="70" spans="1:9" s="18" customFormat="1" ht="15" hidden="1">
      <c r="A70" s="89"/>
      <c r="B70" s="90"/>
      <c r="C70" s="87"/>
      <c r="D70" s="124"/>
      <c r="E70" s="187"/>
      <c r="F70" s="187"/>
      <c r="G70" s="193"/>
      <c r="H70" s="193"/>
      <c r="I70" s="193"/>
    </row>
    <row r="71" spans="1:9" ht="15" hidden="1">
      <c r="A71" s="149"/>
      <c r="B71" s="91"/>
      <c r="C71" s="92"/>
      <c r="E71" s="187"/>
      <c r="F71" s="187"/>
      <c r="G71" s="191"/>
      <c r="H71" s="191"/>
      <c r="I71" s="191"/>
    </row>
    <row r="72" spans="1:9" ht="15" hidden="1">
      <c r="A72" s="153" t="s">
        <v>73</v>
      </c>
      <c r="B72" s="150"/>
      <c r="C72" s="151"/>
      <c r="E72" s="187"/>
      <c r="F72" s="187"/>
      <c r="G72" s="191"/>
      <c r="H72" s="191"/>
      <c r="I72" s="191"/>
    </row>
    <row r="73" spans="1:9" ht="15" hidden="1">
      <c r="A73" s="149"/>
      <c r="B73" s="150"/>
      <c r="C73" s="151"/>
      <c r="E73" s="187"/>
      <c r="F73" s="187"/>
      <c r="G73" s="191"/>
      <c r="H73" s="191"/>
      <c r="I73" s="191"/>
    </row>
    <row r="74" spans="1:9" s="86" customFormat="1" ht="15">
      <c r="A74" s="203" t="s">
        <v>11</v>
      </c>
      <c r="B74" s="204"/>
      <c r="C74" s="204"/>
      <c r="D74" s="206"/>
      <c r="E74" s="205">
        <f>E68+E56+E41+E27+E13</f>
        <v>167433.33333333334</v>
      </c>
      <c r="F74" s="205">
        <f>F68+F56+F41+F27+F13</f>
        <v>-152180.2998396526</v>
      </c>
      <c r="G74" s="205">
        <f>G68+G56+G41+G27+G13</f>
        <v>-252.38995802306147</v>
      </c>
      <c r="H74" s="205">
        <f>H68+H56+H41+H27+H13</f>
        <v>15000.643535657651</v>
      </c>
      <c r="I74" s="205">
        <f>H74-I67</f>
        <v>0</v>
      </c>
    </row>
    <row r="75" spans="4:6" s="150" customFormat="1" ht="15" hidden="1">
      <c r="D75" s="124"/>
      <c r="E75" s="124">
        <f>Summary!G53</f>
        <v>0</v>
      </c>
      <c r="F75" s="124">
        <f>Summary!G54</f>
        <v>0</v>
      </c>
    </row>
    <row r="76" spans="4:6" s="150" customFormat="1" ht="15" hidden="1">
      <c r="D76" s="124"/>
      <c r="E76" s="124">
        <f>E74-E75</f>
        <v>167433.33333333334</v>
      </c>
      <c r="F76" s="82" t="s">
        <v>103</v>
      </c>
    </row>
    <row r="77" spans="4:6" s="150" customFormat="1" ht="15">
      <c r="D77" s="124"/>
      <c r="E77" s="124"/>
      <c r="F77" s="124"/>
    </row>
    <row r="78" spans="3:8" s="150" customFormat="1" ht="15">
      <c r="C78" s="3"/>
      <c r="D78" s="124"/>
      <c r="E78" s="124"/>
      <c r="F78" s="124"/>
      <c r="H78" s="4">
        <f>'Interest Trueup'!H164</f>
        <v>5140.187155844919</v>
      </c>
    </row>
    <row r="79" spans="4:6" s="150" customFormat="1" ht="15">
      <c r="D79" s="124"/>
      <c r="E79" s="124"/>
      <c r="F79" s="124"/>
    </row>
    <row r="80" ht="15">
      <c r="H80" s="2">
        <f>H74+H78</f>
        <v>20140.83069150257</v>
      </c>
    </row>
  </sheetData>
  <sheetProtection/>
  <mergeCells count="1">
    <mergeCell ref="E1:I1"/>
  </mergeCells>
  <printOptions/>
  <pageMargins left="0.2" right="0.2" top="0.75" bottom="0.75" header="0.3" footer="0.3"/>
  <pageSetup fitToHeight="2" fitToWidth="1" horizontalDpi="600" verticalDpi="600" orientation="landscape" scale="73" r:id="rId1"/>
  <headerFooter alignWithMargins="0">
    <oddHeader>&amp;C&amp;F&amp;A&amp;RWoodstock Hydro 
EB-2011-0207
September 2011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4"/>
  <sheetViews>
    <sheetView zoomScalePageLayoutView="0" workbookViewId="0" topLeftCell="C132">
      <selection activeCell="U91" sqref="U91:X93"/>
    </sheetView>
  </sheetViews>
  <sheetFormatPr defaultColWidth="9.140625" defaultRowHeight="15"/>
  <cols>
    <col min="1" max="1" width="5.421875" style="0" bestFit="1" customWidth="1"/>
    <col min="2" max="2" width="14.7109375" style="0" hidden="1" customWidth="1"/>
    <col min="3" max="3" width="9.00390625" style="0" customWidth="1"/>
    <col min="4" max="4" width="12.57421875" style="78" bestFit="1" customWidth="1"/>
    <col min="5" max="5" width="13.57421875" style="78" bestFit="1" customWidth="1"/>
    <col min="6" max="6" width="11.57421875" style="0" bestFit="1" customWidth="1"/>
    <col min="7" max="7" width="11.8515625" style="0" customWidth="1"/>
    <col min="8" max="8" width="14.00390625" style="0" customWidth="1"/>
    <col min="9" max="9" width="2.140625" style="0" customWidth="1"/>
  </cols>
  <sheetData>
    <row r="1" spans="1:8" ht="15">
      <c r="A1" s="88"/>
      <c r="B1" s="88"/>
      <c r="C1" s="202"/>
      <c r="D1" s="157" t="s">
        <v>91</v>
      </c>
      <c r="E1" s="182"/>
      <c r="F1" s="183"/>
      <c r="G1" s="183"/>
      <c r="H1" s="184"/>
    </row>
    <row r="2" spans="1:8" s="1" customFormat="1" ht="45">
      <c r="A2" s="177" t="s">
        <v>30</v>
      </c>
      <c r="B2" s="178" t="s">
        <v>65</v>
      </c>
      <c r="C2" s="178" t="s">
        <v>31</v>
      </c>
      <c r="D2" s="180" t="s">
        <v>74</v>
      </c>
      <c r="E2" s="179" t="s">
        <v>75</v>
      </c>
      <c r="F2" s="179" t="s">
        <v>76</v>
      </c>
      <c r="G2" s="179" t="s">
        <v>77</v>
      </c>
      <c r="H2" s="181" t="s">
        <v>78</v>
      </c>
    </row>
    <row r="3" spans="1:8" s="1" customFormat="1" ht="15">
      <c r="A3" s="93"/>
      <c r="B3" s="21"/>
      <c r="C3" s="21" t="s">
        <v>40</v>
      </c>
      <c r="D3" s="94"/>
      <c r="E3" s="95"/>
      <c r="F3" s="95"/>
      <c r="G3" s="95"/>
      <c r="H3" s="96"/>
    </row>
    <row r="4" spans="1:8" ht="15">
      <c r="A4" s="66">
        <v>2002</v>
      </c>
      <c r="B4" s="3">
        <v>3</v>
      </c>
      <c r="C4" s="3" t="s">
        <v>41</v>
      </c>
      <c r="D4" s="81">
        <f>E3</f>
        <v>0</v>
      </c>
      <c r="E4" s="82">
        <f>'Principal trueup'!I3</f>
        <v>694.5298336051546</v>
      </c>
      <c r="F4" s="97">
        <v>0.0725</v>
      </c>
      <c r="G4" s="82">
        <f>D4*F4/12</f>
        <v>0</v>
      </c>
      <c r="H4" s="83">
        <f>G4</f>
        <v>0</v>
      </c>
    </row>
    <row r="5" spans="1:8" ht="15">
      <c r="A5" s="66">
        <v>2002</v>
      </c>
      <c r="B5" s="3">
        <v>4</v>
      </c>
      <c r="C5" s="3" t="s">
        <v>42</v>
      </c>
      <c r="D5" s="81">
        <f>E4</f>
        <v>694.5298336051546</v>
      </c>
      <c r="E5" s="82">
        <f>'Principal trueup'!I4</f>
        <v>1389.0596672103093</v>
      </c>
      <c r="F5" s="97">
        <v>0.0725</v>
      </c>
      <c r="G5" s="82">
        <f aca="true" t="shared" si="0" ref="G5:G13">D5*F5/12</f>
        <v>4.196117744697809</v>
      </c>
      <c r="H5" s="83">
        <f>H4+G5</f>
        <v>4.196117744697809</v>
      </c>
    </row>
    <row r="6" spans="1:8" ht="15">
      <c r="A6" s="66">
        <v>2002</v>
      </c>
      <c r="B6" s="3">
        <v>5</v>
      </c>
      <c r="C6" s="3" t="s">
        <v>35</v>
      </c>
      <c r="D6" s="81">
        <f aca="true" t="shared" si="1" ref="D6:D13">E5</f>
        <v>1389.0596672103093</v>
      </c>
      <c r="E6" s="82">
        <f>'Principal trueup'!I5</f>
        <v>2083.589500815464</v>
      </c>
      <c r="F6" s="97">
        <v>0.0725</v>
      </c>
      <c r="G6" s="82">
        <f t="shared" si="0"/>
        <v>8.392235489395619</v>
      </c>
      <c r="H6" s="83">
        <f>H5+G6</f>
        <v>12.588353234093429</v>
      </c>
    </row>
    <row r="7" spans="1:8" ht="15">
      <c r="A7" s="66">
        <v>2002</v>
      </c>
      <c r="B7" s="3">
        <v>6</v>
      </c>
      <c r="C7" s="3" t="s">
        <v>36</v>
      </c>
      <c r="D7" s="81">
        <f t="shared" si="1"/>
        <v>2083.589500815464</v>
      </c>
      <c r="E7" s="82">
        <f>'Principal trueup'!I6</f>
        <v>2778.1193344206185</v>
      </c>
      <c r="F7" s="97">
        <v>0.0725</v>
      </c>
      <c r="G7" s="82">
        <f t="shared" si="0"/>
        <v>12.588353234093427</v>
      </c>
      <c r="H7" s="83">
        <f aca="true" t="shared" si="2" ref="H7:H13">H6+G7</f>
        <v>25.176706468186858</v>
      </c>
    </row>
    <row r="8" spans="1:8" ht="15">
      <c r="A8" s="66">
        <v>2002</v>
      </c>
      <c r="B8" s="3">
        <v>7</v>
      </c>
      <c r="C8" s="3" t="s">
        <v>44</v>
      </c>
      <c r="D8" s="81">
        <f t="shared" si="1"/>
        <v>2778.1193344206185</v>
      </c>
      <c r="E8" s="82">
        <f>'Principal trueup'!I7</f>
        <v>3552.626729001383</v>
      </c>
      <c r="F8" s="97">
        <v>0.0725</v>
      </c>
      <c r="G8" s="82">
        <f t="shared" si="0"/>
        <v>16.784470978791237</v>
      </c>
      <c r="H8" s="83">
        <f t="shared" si="2"/>
        <v>41.9611774469781</v>
      </c>
    </row>
    <row r="9" spans="1:8" ht="15">
      <c r="A9" s="66">
        <v>2002</v>
      </c>
      <c r="B9" s="3">
        <v>8</v>
      </c>
      <c r="C9" s="3" t="s">
        <v>45</v>
      </c>
      <c r="D9" s="81">
        <f t="shared" si="1"/>
        <v>3552.626729001383</v>
      </c>
      <c r="E9" s="82">
        <f>'Principal trueup'!I8</f>
        <v>4247.156562606538</v>
      </c>
      <c r="F9" s="97">
        <v>0.0725</v>
      </c>
      <c r="G9" s="82">
        <f t="shared" si="0"/>
        <v>21.46378648771669</v>
      </c>
      <c r="H9" s="83">
        <f t="shared" si="2"/>
        <v>63.42496393469479</v>
      </c>
    </row>
    <row r="10" spans="1:8" ht="15">
      <c r="A10" s="66">
        <v>2002</v>
      </c>
      <c r="B10" s="3">
        <v>9</v>
      </c>
      <c r="C10" s="3" t="s">
        <v>68</v>
      </c>
      <c r="D10" s="81">
        <f t="shared" si="1"/>
        <v>4247.156562606538</v>
      </c>
      <c r="E10" s="82">
        <f>'Principal trueup'!I9</f>
        <v>4941.686396211692</v>
      </c>
      <c r="F10" s="97">
        <v>0.0725</v>
      </c>
      <c r="G10" s="82">
        <f t="shared" si="0"/>
        <v>25.659904232414494</v>
      </c>
      <c r="H10" s="83">
        <f t="shared" si="2"/>
        <v>89.08486816710928</v>
      </c>
    </row>
    <row r="11" spans="1:8" ht="15">
      <c r="A11" s="66">
        <v>2002</v>
      </c>
      <c r="B11" s="3">
        <v>10</v>
      </c>
      <c r="C11" s="3" t="s">
        <v>47</v>
      </c>
      <c r="D11" s="81">
        <f t="shared" si="1"/>
        <v>4941.686396211692</v>
      </c>
      <c r="E11" s="82">
        <f>'Principal trueup'!I10</f>
        <v>5636.216229816847</v>
      </c>
      <c r="F11" s="97">
        <v>0.0725</v>
      </c>
      <c r="G11" s="82">
        <f t="shared" si="0"/>
        <v>29.856021977112306</v>
      </c>
      <c r="H11" s="83">
        <f t="shared" si="2"/>
        <v>118.94089014422158</v>
      </c>
    </row>
    <row r="12" spans="1:8" ht="15">
      <c r="A12" s="66">
        <v>2002</v>
      </c>
      <c r="B12" s="3">
        <v>11</v>
      </c>
      <c r="C12" s="3" t="s">
        <v>48</v>
      </c>
      <c r="D12" s="81">
        <f t="shared" si="1"/>
        <v>5636.216229816847</v>
      </c>
      <c r="E12" s="82">
        <f>'Principal trueup'!I11</f>
        <v>6330.7460634220015</v>
      </c>
      <c r="F12" s="97">
        <v>0.0725</v>
      </c>
      <c r="G12" s="82">
        <f t="shared" si="0"/>
        <v>34.052139721810114</v>
      </c>
      <c r="H12" s="83">
        <f t="shared" si="2"/>
        <v>152.9930298660317</v>
      </c>
    </row>
    <row r="13" spans="1:8" ht="15">
      <c r="A13" s="66">
        <v>2002</v>
      </c>
      <c r="B13" s="3">
        <v>12</v>
      </c>
      <c r="C13" s="3" t="s">
        <v>49</v>
      </c>
      <c r="D13" s="81">
        <f t="shared" si="1"/>
        <v>6330.7460634220015</v>
      </c>
      <c r="E13" s="82">
        <f>'Principal trueup'!I12</f>
        <v>7025.275897027156</v>
      </c>
      <c r="F13" s="97">
        <v>0.0725</v>
      </c>
      <c r="G13" s="82">
        <f t="shared" si="0"/>
        <v>38.24825746650792</v>
      </c>
      <c r="H13" s="83">
        <f t="shared" si="2"/>
        <v>191.24128733253963</v>
      </c>
    </row>
    <row r="14" spans="1:8" ht="15">
      <c r="A14" s="51"/>
      <c r="B14" s="79"/>
      <c r="C14" s="79"/>
      <c r="D14" s="84"/>
      <c r="E14" s="80"/>
      <c r="F14" s="80"/>
      <c r="G14" s="80">
        <f>SUM(G4:G13)</f>
        <v>191.24128733253963</v>
      </c>
      <c r="H14" s="85"/>
    </row>
    <row r="15" spans="1:8" ht="15">
      <c r="A15" s="66"/>
      <c r="B15" s="3"/>
      <c r="C15" s="3"/>
      <c r="D15" s="81"/>
      <c r="E15" s="82"/>
      <c r="F15" s="82"/>
      <c r="G15" s="82"/>
      <c r="H15" s="83"/>
    </row>
    <row r="16" spans="1:8" ht="15">
      <c r="A16" s="66"/>
      <c r="B16" s="3"/>
      <c r="C16" s="3"/>
      <c r="D16" s="81"/>
      <c r="E16" s="82"/>
      <c r="F16" s="3"/>
      <c r="G16" s="82"/>
      <c r="H16" s="83"/>
    </row>
    <row r="17" spans="1:8" ht="15">
      <c r="A17" s="66">
        <v>2003</v>
      </c>
      <c r="B17" s="71">
        <v>1</v>
      </c>
      <c r="C17" s="3" t="s">
        <v>39</v>
      </c>
      <c r="D17" s="81">
        <f>E13</f>
        <v>7025.275897027156</v>
      </c>
      <c r="E17" s="82">
        <f>'Principal trueup'!I15</f>
        <v>7143.671343477667</v>
      </c>
      <c r="F17" s="97">
        <v>0.0725</v>
      </c>
      <c r="G17" s="82">
        <f aca="true" t="shared" si="3" ref="G17:G28">D17*F17/12</f>
        <v>42.44437521120573</v>
      </c>
      <c r="H17" s="83">
        <f>H13+G17</f>
        <v>233.68566254374537</v>
      </c>
    </row>
    <row r="18" spans="1:8" ht="15">
      <c r="A18" s="66">
        <v>2003</v>
      </c>
      <c r="B18" s="71">
        <v>2</v>
      </c>
      <c r="C18" s="3" t="s">
        <v>40</v>
      </c>
      <c r="D18" s="81">
        <f>E17</f>
        <v>7143.671343477667</v>
      </c>
      <c r="E18" s="82">
        <f>'Principal trueup'!I16</f>
        <v>7262.066789928177</v>
      </c>
      <c r="F18" s="97">
        <v>0.0725</v>
      </c>
      <c r="G18" s="82">
        <f t="shared" si="3"/>
        <v>43.1596810335109</v>
      </c>
      <c r="H18" s="83">
        <f>H17+G18</f>
        <v>276.84534357725624</v>
      </c>
    </row>
    <row r="19" spans="1:8" ht="15">
      <c r="A19" s="66">
        <v>2003</v>
      </c>
      <c r="B19" s="71">
        <v>3</v>
      </c>
      <c r="C19" s="3" t="s">
        <v>41</v>
      </c>
      <c r="D19" s="81">
        <f aca="true" t="shared" si="4" ref="D19:D28">E18</f>
        <v>7262.066789928177</v>
      </c>
      <c r="E19" s="82">
        <f>'Principal trueup'!I17</f>
        <v>7380.4622363786875</v>
      </c>
      <c r="F19" s="97">
        <v>0.0725</v>
      </c>
      <c r="G19" s="82">
        <f t="shared" si="3"/>
        <v>43.87498685581607</v>
      </c>
      <c r="H19" s="83">
        <f aca="true" t="shared" si="5" ref="H19:H27">H18+G19</f>
        <v>320.7203304330723</v>
      </c>
    </row>
    <row r="20" spans="1:8" ht="15">
      <c r="A20" s="66">
        <v>2003</v>
      </c>
      <c r="B20" s="71">
        <v>4</v>
      </c>
      <c r="C20" s="3" t="s">
        <v>42</v>
      </c>
      <c r="D20" s="81">
        <f t="shared" si="4"/>
        <v>7380.4622363786875</v>
      </c>
      <c r="E20" s="82">
        <f>'Principal trueup'!I18</f>
        <v>7498.857682829198</v>
      </c>
      <c r="F20" s="97">
        <v>0.0725</v>
      </c>
      <c r="G20" s="82">
        <f t="shared" si="3"/>
        <v>44.59029267812124</v>
      </c>
      <c r="H20" s="83">
        <f t="shared" si="5"/>
        <v>365.31062311119354</v>
      </c>
    </row>
    <row r="21" spans="1:8" ht="15">
      <c r="A21" s="66">
        <v>2003</v>
      </c>
      <c r="B21" s="71">
        <v>5</v>
      </c>
      <c r="C21" s="3" t="s">
        <v>35</v>
      </c>
      <c r="D21" s="81">
        <f t="shared" si="4"/>
        <v>7498.857682829198</v>
      </c>
      <c r="E21" s="82">
        <f>'Principal trueup'!I19</f>
        <v>7617.253129279708</v>
      </c>
      <c r="F21" s="97">
        <v>0.0725</v>
      </c>
      <c r="G21" s="82">
        <f t="shared" si="3"/>
        <v>45.305598500426406</v>
      </c>
      <c r="H21" s="83">
        <f t="shared" si="5"/>
        <v>410.61622161161995</v>
      </c>
    </row>
    <row r="22" spans="1:8" ht="15">
      <c r="A22" s="66">
        <v>2003</v>
      </c>
      <c r="B22" s="71">
        <v>6</v>
      </c>
      <c r="C22" s="3" t="s">
        <v>36</v>
      </c>
      <c r="D22" s="81">
        <f t="shared" si="4"/>
        <v>7617.253129279708</v>
      </c>
      <c r="E22" s="82">
        <f>'Principal trueup'!I20</f>
        <v>7735.648575730219</v>
      </c>
      <c r="F22" s="97">
        <v>0.0725</v>
      </c>
      <c r="G22" s="82">
        <f t="shared" si="3"/>
        <v>46.020904322731575</v>
      </c>
      <c r="H22" s="83">
        <f t="shared" si="5"/>
        <v>456.6371259343515</v>
      </c>
    </row>
    <row r="23" spans="1:8" ht="15">
      <c r="A23" s="66">
        <v>2003</v>
      </c>
      <c r="B23" s="71">
        <v>7</v>
      </c>
      <c r="C23" s="3" t="s">
        <v>44</v>
      </c>
      <c r="D23" s="81">
        <f t="shared" si="4"/>
        <v>7735.648575730219</v>
      </c>
      <c r="E23" s="82">
        <f>'Principal trueup'!I21</f>
        <v>8136.41377827829</v>
      </c>
      <c r="F23" s="97">
        <v>0.0725</v>
      </c>
      <c r="G23" s="82">
        <f t="shared" si="3"/>
        <v>46.73621014503673</v>
      </c>
      <c r="H23" s="83">
        <f t="shared" si="5"/>
        <v>503.37333607938825</v>
      </c>
    </row>
    <row r="24" spans="1:8" ht="15">
      <c r="A24" s="66">
        <v>2003</v>
      </c>
      <c r="B24" s="71">
        <v>8</v>
      </c>
      <c r="C24" s="3" t="s">
        <v>45</v>
      </c>
      <c r="D24" s="81">
        <f t="shared" si="4"/>
        <v>8136.41377827829</v>
      </c>
      <c r="E24" s="82">
        <f>'Principal trueup'!I22</f>
        <v>8254.8092247288</v>
      </c>
      <c r="F24" s="97">
        <v>0.0725</v>
      </c>
      <c r="G24" s="82">
        <f t="shared" si="3"/>
        <v>49.15749991043133</v>
      </c>
      <c r="H24" s="83">
        <f t="shared" si="5"/>
        <v>552.5308359898196</v>
      </c>
    </row>
    <row r="25" spans="1:8" ht="15">
      <c r="A25" s="66">
        <v>2003</v>
      </c>
      <c r="B25" s="71">
        <v>9</v>
      </c>
      <c r="C25" s="3" t="s">
        <v>68</v>
      </c>
      <c r="D25" s="81">
        <f t="shared" si="4"/>
        <v>8254.8092247288</v>
      </c>
      <c r="E25" s="82">
        <f>'Principal trueup'!I23</f>
        <v>8373.204671179312</v>
      </c>
      <c r="F25" s="97">
        <v>0.0725</v>
      </c>
      <c r="G25" s="82">
        <f t="shared" si="3"/>
        <v>49.8728057327365</v>
      </c>
      <c r="H25" s="83">
        <f t="shared" si="5"/>
        <v>602.4036417225561</v>
      </c>
    </row>
    <row r="26" spans="1:8" ht="15">
      <c r="A26" s="66">
        <v>2003</v>
      </c>
      <c r="B26" s="71">
        <v>10</v>
      </c>
      <c r="C26" s="3" t="s">
        <v>47</v>
      </c>
      <c r="D26" s="81">
        <f t="shared" si="4"/>
        <v>8373.204671179312</v>
      </c>
      <c r="E26" s="82">
        <f>'Principal trueup'!I24</f>
        <v>8491.600117629823</v>
      </c>
      <c r="F26" s="97">
        <v>0.0725</v>
      </c>
      <c r="G26" s="82">
        <f t="shared" si="3"/>
        <v>50.58811155504167</v>
      </c>
      <c r="H26" s="83">
        <f t="shared" si="5"/>
        <v>652.9917532775978</v>
      </c>
    </row>
    <row r="27" spans="1:8" ht="15">
      <c r="A27" s="66">
        <v>2003</v>
      </c>
      <c r="B27" s="71">
        <v>11</v>
      </c>
      <c r="C27" s="3" t="s">
        <v>48</v>
      </c>
      <c r="D27" s="81">
        <f t="shared" si="4"/>
        <v>8491.600117629823</v>
      </c>
      <c r="E27" s="82">
        <f>'Principal trueup'!I25</f>
        <v>8609.995564080335</v>
      </c>
      <c r="F27" s="97">
        <v>0.0725</v>
      </c>
      <c r="G27" s="82">
        <f t="shared" si="3"/>
        <v>51.30341737734685</v>
      </c>
      <c r="H27" s="83">
        <f t="shared" si="5"/>
        <v>704.2951706549446</v>
      </c>
    </row>
    <row r="28" spans="1:8" ht="15">
      <c r="A28" s="66">
        <v>2003</v>
      </c>
      <c r="B28" s="71">
        <v>12</v>
      </c>
      <c r="C28" s="3" t="s">
        <v>49</v>
      </c>
      <c r="D28" s="81">
        <f t="shared" si="4"/>
        <v>8609.995564080335</v>
      </c>
      <c r="E28" s="82">
        <f>'Principal trueup'!I26</f>
        <v>8728.391010530846</v>
      </c>
      <c r="F28" s="97">
        <v>0.0725</v>
      </c>
      <c r="G28" s="82">
        <f t="shared" si="3"/>
        <v>52.018723199652015</v>
      </c>
      <c r="H28" s="83">
        <f>H27+G28</f>
        <v>756.3138938545967</v>
      </c>
    </row>
    <row r="29" spans="1:8" ht="15">
      <c r="A29" s="51"/>
      <c r="B29" s="79"/>
      <c r="C29" s="79"/>
      <c r="D29" s="84"/>
      <c r="E29" s="80"/>
      <c r="F29" s="79"/>
      <c r="G29" s="80">
        <f>SUM(G17:G28)</f>
        <v>565.072606522057</v>
      </c>
      <c r="H29" s="85"/>
    </row>
    <row r="30" spans="1:8" ht="15">
      <c r="A30" s="66"/>
      <c r="B30" s="71"/>
      <c r="C30" s="3"/>
      <c r="D30" s="81"/>
      <c r="E30" s="82"/>
      <c r="F30" s="3"/>
      <c r="G30" s="3"/>
      <c r="H30" s="53"/>
    </row>
    <row r="31" spans="1:8" ht="15">
      <c r="A31" s="66"/>
      <c r="B31" s="71"/>
      <c r="C31" s="3"/>
      <c r="D31" s="81"/>
      <c r="E31" s="82"/>
      <c r="F31" s="3"/>
      <c r="G31" s="3"/>
      <c r="H31" s="53"/>
    </row>
    <row r="32" spans="1:8" ht="15">
      <c r="A32" s="66">
        <v>2004</v>
      </c>
      <c r="B32" s="71">
        <v>1</v>
      </c>
      <c r="C32" s="3" t="s">
        <v>39</v>
      </c>
      <c r="D32" s="81">
        <f>E28</f>
        <v>8728.391010530846</v>
      </c>
      <c r="E32" s="82">
        <f>'Principal trueup'!I29</f>
        <v>8942.349256680161</v>
      </c>
      <c r="F32" s="97">
        <v>0.0725</v>
      </c>
      <c r="G32" s="82">
        <f>D32*F32/12</f>
        <v>52.73402902195719</v>
      </c>
      <c r="H32" s="83">
        <f>H28+G32</f>
        <v>809.0479228765539</v>
      </c>
    </row>
    <row r="33" spans="1:8" ht="15">
      <c r="A33" s="66">
        <v>2004</v>
      </c>
      <c r="B33" s="71">
        <v>2</v>
      </c>
      <c r="C33" s="3" t="s">
        <v>40</v>
      </c>
      <c r="D33" s="81">
        <f>E32</f>
        <v>8942.349256680161</v>
      </c>
      <c r="E33" s="82">
        <f>'Principal trueup'!I30</f>
        <v>9156.307502829477</v>
      </c>
      <c r="F33" s="97">
        <v>0.0725</v>
      </c>
      <c r="G33" s="82">
        <f aca="true" t="shared" si="6" ref="G33:G43">D33*F33/12</f>
        <v>54.02669342577597</v>
      </c>
      <c r="H33" s="83">
        <f>H32+G33</f>
        <v>863.0746163023299</v>
      </c>
    </row>
    <row r="34" spans="1:8" ht="15">
      <c r="A34" s="66">
        <v>2004</v>
      </c>
      <c r="B34" s="71">
        <v>3</v>
      </c>
      <c r="C34" s="3" t="s">
        <v>41</v>
      </c>
      <c r="D34" s="81">
        <f aca="true" t="shared" si="7" ref="D34:D43">E33</f>
        <v>9156.307502829477</v>
      </c>
      <c r="E34" s="82">
        <f>'Principal trueup'!I31</f>
        <v>9370.265748978793</v>
      </c>
      <c r="F34" s="97">
        <v>0.0725</v>
      </c>
      <c r="G34" s="82">
        <f t="shared" si="6"/>
        <v>55.31935782959476</v>
      </c>
      <c r="H34" s="83">
        <f aca="true" t="shared" si="8" ref="H34:H42">H33+G34</f>
        <v>918.3939741319247</v>
      </c>
    </row>
    <row r="35" spans="1:8" ht="15">
      <c r="A35" s="66">
        <v>2004</v>
      </c>
      <c r="B35" s="71">
        <v>4</v>
      </c>
      <c r="C35" s="3" t="s">
        <v>42</v>
      </c>
      <c r="D35" s="81">
        <f t="shared" si="7"/>
        <v>9370.265748978793</v>
      </c>
      <c r="E35" s="82">
        <f>'Principal trueup'!I32</f>
        <v>9719.99497545651</v>
      </c>
      <c r="F35" s="97">
        <v>0.0725</v>
      </c>
      <c r="G35" s="82">
        <f t="shared" si="6"/>
        <v>56.61202223341353</v>
      </c>
      <c r="H35" s="83">
        <f t="shared" si="8"/>
        <v>975.0059963653382</v>
      </c>
    </row>
    <row r="36" spans="1:8" ht="15">
      <c r="A36" s="66">
        <v>2004</v>
      </c>
      <c r="B36" s="71">
        <v>5</v>
      </c>
      <c r="C36" s="3" t="s">
        <v>35</v>
      </c>
      <c r="D36" s="81">
        <f t="shared" si="7"/>
        <v>9719.99497545651</v>
      </c>
      <c r="E36" s="82">
        <f>'Principal trueup'!I33</f>
        <v>10069.724201934227</v>
      </c>
      <c r="F36" s="97">
        <v>0.0725</v>
      </c>
      <c r="G36" s="82">
        <f t="shared" si="6"/>
        <v>58.724969643383076</v>
      </c>
      <c r="H36" s="83">
        <f t="shared" si="8"/>
        <v>1033.7309660087212</v>
      </c>
    </row>
    <row r="37" spans="1:8" ht="15">
      <c r="A37" s="66">
        <v>2004</v>
      </c>
      <c r="B37" s="71">
        <v>6</v>
      </c>
      <c r="C37" s="3" t="s">
        <v>36</v>
      </c>
      <c r="D37" s="81">
        <f t="shared" si="7"/>
        <v>10069.724201934227</v>
      </c>
      <c r="E37" s="82">
        <f>'Principal trueup'!I34</f>
        <v>10419.453428411944</v>
      </c>
      <c r="F37" s="97">
        <v>0.0725</v>
      </c>
      <c r="G37" s="82">
        <f t="shared" si="6"/>
        <v>60.83791705335261</v>
      </c>
      <c r="H37" s="83">
        <f t="shared" si="8"/>
        <v>1094.5688830620738</v>
      </c>
    </row>
    <row r="38" spans="1:8" ht="15">
      <c r="A38" s="66">
        <v>2004</v>
      </c>
      <c r="B38" s="71">
        <v>7</v>
      </c>
      <c r="C38" s="3" t="s">
        <v>44</v>
      </c>
      <c r="D38" s="81">
        <f t="shared" si="7"/>
        <v>10419.453428411944</v>
      </c>
      <c r="E38" s="82">
        <f>'Principal trueup'!I35</f>
        <v>10569.394045983057</v>
      </c>
      <c r="F38" s="97">
        <v>0.0725</v>
      </c>
      <c r="G38" s="82">
        <f t="shared" si="6"/>
        <v>62.950864463322155</v>
      </c>
      <c r="H38" s="83">
        <f t="shared" si="8"/>
        <v>1157.519747525396</v>
      </c>
    </row>
    <row r="39" spans="1:8" ht="15">
      <c r="A39" s="66">
        <v>2004</v>
      </c>
      <c r="B39" s="71">
        <v>8</v>
      </c>
      <c r="C39" s="3" t="s">
        <v>45</v>
      </c>
      <c r="D39" s="81">
        <f t="shared" si="7"/>
        <v>10569.394045983057</v>
      </c>
      <c r="E39" s="82">
        <f>'Principal trueup'!I36</f>
        <v>10919.123272460774</v>
      </c>
      <c r="F39" s="97">
        <v>0.0725</v>
      </c>
      <c r="G39" s="82">
        <f t="shared" si="6"/>
        <v>63.85675569448097</v>
      </c>
      <c r="H39" s="83">
        <f t="shared" si="8"/>
        <v>1221.3765032198771</v>
      </c>
    </row>
    <row r="40" spans="1:8" ht="15">
      <c r="A40" s="66">
        <v>2004</v>
      </c>
      <c r="B40" s="71">
        <v>9</v>
      </c>
      <c r="C40" s="3" t="s">
        <v>68</v>
      </c>
      <c r="D40" s="81">
        <f t="shared" si="7"/>
        <v>10919.123272460774</v>
      </c>
      <c r="E40" s="82">
        <f>'Principal trueup'!I37</f>
        <v>11268.852498938491</v>
      </c>
      <c r="F40" s="97">
        <v>0.0725</v>
      </c>
      <c r="G40" s="82">
        <f t="shared" si="6"/>
        <v>65.96970310445052</v>
      </c>
      <c r="H40" s="83">
        <f t="shared" si="8"/>
        <v>1287.3462063243276</v>
      </c>
    </row>
    <row r="41" spans="1:8" ht="15">
      <c r="A41" s="66">
        <v>2004</v>
      </c>
      <c r="B41" s="71">
        <v>10</v>
      </c>
      <c r="C41" s="3" t="s">
        <v>47</v>
      </c>
      <c r="D41" s="81">
        <f t="shared" si="7"/>
        <v>11268.852498938491</v>
      </c>
      <c r="E41" s="82">
        <f>'Principal trueup'!I38</f>
        <v>11618.581725416208</v>
      </c>
      <c r="F41" s="97">
        <v>0.0725</v>
      </c>
      <c r="G41" s="82">
        <f t="shared" si="6"/>
        <v>68.08265051442005</v>
      </c>
      <c r="H41" s="83">
        <f t="shared" si="8"/>
        <v>1355.4288568387476</v>
      </c>
    </row>
    <row r="42" spans="1:8" ht="15">
      <c r="A42" s="66">
        <v>2004</v>
      </c>
      <c r="B42" s="71">
        <v>11</v>
      </c>
      <c r="C42" s="3" t="s">
        <v>48</v>
      </c>
      <c r="D42" s="81">
        <f t="shared" si="7"/>
        <v>11618.581725416208</v>
      </c>
      <c r="E42" s="82">
        <f>'Principal trueup'!I39</f>
        <v>11968.310951893925</v>
      </c>
      <c r="F42" s="97">
        <v>0.0725</v>
      </c>
      <c r="G42" s="82">
        <f t="shared" si="6"/>
        <v>70.19559792438959</v>
      </c>
      <c r="H42" s="83">
        <f t="shared" si="8"/>
        <v>1425.6244547631372</v>
      </c>
    </row>
    <row r="43" spans="1:8" ht="15">
      <c r="A43" s="66">
        <v>2004</v>
      </c>
      <c r="B43" s="71">
        <v>12</v>
      </c>
      <c r="C43" s="3" t="s">
        <v>49</v>
      </c>
      <c r="D43" s="81">
        <f t="shared" si="7"/>
        <v>11968.310951893925</v>
      </c>
      <c r="E43" s="82">
        <f>'Principal trueup'!I40</f>
        <v>12318.040178371642</v>
      </c>
      <c r="F43" s="97">
        <v>0.0725</v>
      </c>
      <c r="G43" s="82">
        <f t="shared" si="6"/>
        <v>72.30854533435912</v>
      </c>
      <c r="H43" s="83">
        <f>H42+G43</f>
        <v>1497.9330000974965</v>
      </c>
    </row>
    <row r="44" spans="1:8" ht="15">
      <c r="A44" s="51"/>
      <c r="B44" s="79"/>
      <c r="C44" s="79"/>
      <c r="D44" s="84"/>
      <c r="E44" s="80"/>
      <c r="F44" s="80">
        <f>SUM(F32:F43)</f>
        <v>0.87</v>
      </c>
      <c r="G44" s="80">
        <f>SUM(G32:G43)</f>
        <v>741.6191062428995</v>
      </c>
      <c r="H44" s="85"/>
    </row>
    <row r="45" spans="1:8" ht="15">
      <c r="A45" s="66"/>
      <c r="B45" s="71"/>
      <c r="C45" s="3"/>
      <c r="D45" s="81"/>
      <c r="E45" s="82"/>
      <c r="F45" s="3"/>
      <c r="G45" s="3"/>
      <c r="H45" s="53"/>
    </row>
    <row r="46" spans="1:8" ht="15">
      <c r="A46" s="66"/>
      <c r="B46" s="71"/>
      <c r="C46" s="3"/>
      <c r="D46" s="81"/>
      <c r="E46" s="82"/>
      <c r="F46" s="3"/>
      <c r="G46" s="3"/>
      <c r="H46" s="53"/>
    </row>
    <row r="47" spans="1:8" ht="15">
      <c r="A47" s="66">
        <v>2005</v>
      </c>
      <c r="B47" s="71">
        <v>1</v>
      </c>
      <c r="C47" s="3" t="s">
        <v>39</v>
      </c>
      <c r="D47" s="81">
        <f>E43</f>
        <v>12318.040178371642</v>
      </c>
      <c r="E47" s="82">
        <f>'Principal trueup'!I44</f>
        <v>12577.69913362895</v>
      </c>
      <c r="F47" s="97">
        <v>0.0725</v>
      </c>
      <c r="G47" s="82">
        <f aca="true" t="shared" si="9" ref="G47:G58">D47*F47/12</f>
        <v>74.42149274432866</v>
      </c>
      <c r="H47" s="83">
        <f>H43+G47</f>
        <v>1572.354492841825</v>
      </c>
    </row>
    <row r="48" spans="1:8" ht="15">
      <c r="A48" s="66">
        <v>2005</v>
      </c>
      <c r="B48" s="71">
        <v>2</v>
      </c>
      <c r="C48" s="3" t="s">
        <v>40</v>
      </c>
      <c r="D48" s="81">
        <f>E47</f>
        <v>12577.69913362895</v>
      </c>
      <c r="E48" s="82">
        <f>'Principal trueup'!I45</f>
        <v>12837.358088886256</v>
      </c>
      <c r="F48" s="97">
        <v>0.0725</v>
      </c>
      <c r="G48" s="82">
        <f t="shared" si="9"/>
        <v>75.99026559900824</v>
      </c>
      <c r="H48" s="83">
        <f aca="true" t="shared" si="10" ref="H48:H58">H47+G48</f>
        <v>1648.3447584408332</v>
      </c>
    </row>
    <row r="49" spans="1:8" ht="15">
      <c r="A49" s="66">
        <v>2005</v>
      </c>
      <c r="B49" s="71">
        <v>3</v>
      </c>
      <c r="C49" s="3" t="s">
        <v>41</v>
      </c>
      <c r="D49" s="81">
        <f aca="true" t="shared" si="11" ref="D49:D58">E48</f>
        <v>12837.358088886256</v>
      </c>
      <c r="E49" s="82">
        <f>'Principal trueup'!I46</f>
        <v>13097.017044143562</v>
      </c>
      <c r="F49" s="97">
        <v>0.0725</v>
      </c>
      <c r="G49" s="82">
        <f t="shared" si="9"/>
        <v>77.55903845368779</v>
      </c>
      <c r="H49" s="83">
        <f t="shared" si="10"/>
        <v>1725.903796894521</v>
      </c>
    </row>
    <row r="50" spans="1:8" ht="15">
      <c r="A50" s="66">
        <v>2005</v>
      </c>
      <c r="B50" s="71">
        <v>4</v>
      </c>
      <c r="C50" s="3" t="s">
        <v>42</v>
      </c>
      <c r="D50" s="81">
        <f t="shared" si="11"/>
        <v>13097.017044143562</v>
      </c>
      <c r="E50" s="82">
        <f>'Principal trueup'!I47</f>
        <v>13242.693741248144</v>
      </c>
      <c r="F50" s="97">
        <v>0.0725</v>
      </c>
      <c r="G50" s="82">
        <f t="shared" si="9"/>
        <v>79.12781130836736</v>
      </c>
      <c r="H50" s="83">
        <f t="shared" si="10"/>
        <v>1805.0316082028885</v>
      </c>
    </row>
    <row r="51" spans="1:8" ht="15">
      <c r="A51" s="66">
        <v>2005</v>
      </c>
      <c r="B51" s="71">
        <v>5</v>
      </c>
      <c r="C51" s="3" t="s">
        <v>35</v>
      </c>
      <c r="D51" s="81">
        <f t="shared" si="11"/>
        <v>13242.693741248144</v>
      </c>
      <c r="E51" s="82">
        <f>'Principal trueup'!I48</f>
        <v>13388.370438352726</v>
      </c>
      <c r="F51" s="97">
        <v>0.0725</v>
      </c>
      <c r="G51" s="82">
        <f t="shared" si="9"/>
        <v>80.00794135337419</v>
      </c>
      <c r="H51" s="83">
        <f t="shared" si="10"/>
        <v>1885.0395495562627</v>
      </c>
    </row>
    <row r="52" spans="1:8" ht="15">
      <c r="A52" s="66">
        <v>2005</v>
      </c>
      <c r="B52" s="71">
        <v>6</v>
      </c>
      <c r="C52" s="3" t="s">
        <v>36</v>
      </c>
      <c r="D52" s="81">
        <f t="shared" si="11"/>
        <v>13388.370438352726</v>
      </c>
      <c r="E52" s="82">
        <f>'Principal trueup'!I49</f>
        <v>13534.047135457307</v>
      </c>
      <c r="F52" s="97">
        <v>0.0725</v>
      </c>
      <c r="G52" s="82">
        <f t="shared" si="9"/>
        <v>80.88807139838104</v>
      </c>
      <c r="H52" s="83">
        <f t="shared" si="10"/>
        <v>1965.9276209546438</v>
      </c>
    </row>
    <row r="53" spans="1:8" ht="15">
      <c r="A53" s="66">
        <v>2005</v>
      </c>
      <c r="B53" s="71">
        <v>7</v>
      </c>
      <c r="C53" s="3" t="s">
        <v>44</v>
      </c>
      <c r="D53" s="81">
        <f t="shared" si="11"/>
        <v>13534.047135457307</v>
      </c>
      <c r="E53" s="82">
        <f>'Principal trueup'!I50</f>
        <v>13218.055893644987</v>
      </c>
      <c r="F53" s="97">
        <v>0.0725</v>
      </c>
      <c r="G53" s="82">
        <f t="shared" si="9"/>
        <v>81.7682014433879</v>
      </c>
      <c r="H53" s="83">
        <f t="shared" si="10"/>
        <v>2047.6958223980316</v>
      </c>
    </row>
    <row r="54" spans="1:8" ht="15">
      <c r="A54" s="66">
        <v>2005</v>
      </c>
      <c r="B54" s="71">
        <v>8</v>
      </c>
      <c r="C54" s="3" t="s">
        <v>45</v>
      </c>
      <c r="D54" s="81">
        <f t="shared" si="11"/>
        <v>13218.055893644987</v>
      </c>
      <c r="E54" s="82">
        <f>'Principal trueup'!I51</f>
        <v>13363.732590749569</v>
      </c>
      <c r="F54" s="97">
        <v>0.0725</v>
      </c>
      <c r="G54" s="82">
        <f t="shared" si="9"/>
        <v>79.85908769077179</v>
      </c>
      <c r="H54" s="83">
        <f t="shared" si="10"/>
        <v>2127.5549100888034</v>
      </c>
    </row>
    <row r="55" spans="1:8" ht="15">
      <c r="A55" s="66">
        <v>2005</v>
      </c>
      <c r="B55" s="71">
        <v>9</v>
      </c>
      <c r="C55" s="3" t="s">
        <v>68</v>
      </c>
      <c r="D55" s="81">
        <f t="shared" si="11"/>
        <v>13363.732590749569</v>
      </c>
      <c r="E55" s="82">
        <f>'Principal trueup'!I52</f>
        <v>13509.40928785415</v>
      </c>
      <c r="F55" s="97">
        <v>0.0725</v>
      </c>
      <c r="G55" s="82">
        <f t="shared" si="9"/>
        <v>80.73921773577864</v>
      </c>
      <c r="H55" s="83">
        <f t="shared" si="10"/>
        <v>2208.294127824582</v>
      </c>
    </row>
    <row r="56" spans="1:8" ht="15">
      <c r="A56" s="66">
        <v>2005</v>
      </c>
      <c r="B56" s="71">
        <v>10</v>
      </c>
      <c r="C56" s="3" t="s">
        <v>47</v>
      </c>
      <c r="D56" s="81">
        <f t="shared" si="11"/>
        <v>13509.40928785415</v>
      </c>
      <c r="E56" s="82">
        <f>'Principal trueup'!I53</f>
        <v>13655.085984958732</v>
      </c>
      <c r="F56" s="97">
        <v>0.0725</v>
      </c>
      <c r="G56" s="82">
        <f>D56*F56/12</f>
        <v>81.61934778078549</v>
      </c>
      <c r="H56" s="83">
        <f t="shared" si="10"/>
        <v>2289.9134756053677</v>
      </c>
    </row>
    <row r="57" spans="1:8" ht="15">
      <c r="A57" s="66">
        <v>2005</v>
      </c>
      <c r="B57" s="71">
        <v>11</v>
      </c>
      <c r="C57" s="3" t="s">
        <v>48</v>
      </c>
      <c r="D57" s="81">
        <f t="shared" si="11"/>
        <v>13655.085984958732</v>
      </c>
      <c r="E57" s="82">
        <f>'Principal trueup'!I54</f>
        <v>13800.762682063314</v>
      </c>
      <c r="F57" s="97">
        <v>0.0725</v>
      </c>
      <c r="G57" s="82">
        <f t="shared" si="9"/>
        <v>82.49947782579234</v>
      </c>
      <c r="H57" s="83">
        <f t="shared" si="10"/>
        <v>2372.41295343116</v>
      </c>
    </row>
    <row r="58" spans="1:8" ht="15">
      <c r="A58" s="66">
        <v>2005</v>
      </c>
      <c r="B58" s="71">
        <v>12</v>
      </c>
      <c r="C58" s="3" t="s">
        <v>49</v>
      </c>
      <c r="D58" s="81">
        <f t="shared" si="11"/>
        <v>13800.762682063314</v>
      </c>
      <c r="E58" s="82">
        <f>'Principal trueup'!I55</f>
        <v>13946.439379167896</v>
      </c>
      <c r="F58" s="97">
        <v>0.0725</v>
      </c>
      <c r="G58" s="82">
        <f t="shared" si="9"/>
        <v>83.37960787079918</v>
      </c>
      <c r="H58" s="83">
        <f t="shared" si="10"/>
        <v>2455.7925613019593</v>
      </c>
    </row>
    <row r="59" spans="1:8" ht="15">
      <c r="A59" s="51"/>
      <c r="B59" s="79"/>
      <c r="C59" s="79"/>
      <c r="D59" s="84"/>
      <c r="E59" s="80"/>
      <c r="F59" s="80">
        <f>SUM(F47:F58)</f>
        <v>0.87</v>
      </c>
      <c r="G59" s="80">
        <f>SUM(G47:G58)</f>
        <v>957.8595612044626</v>
      </c>
      <c r="H59" s="85"/>
    </row>
    <row r="60" spans="1:8" ht="15">
      <c r="A60" s="66"/>
      <c r="B60" s="71"/>
      <c r="C60" s="3"/>
      <c r="D60" s="81"/>
      <c r="E60" s="82"/>
      <c r="F60" s="3"/>
      <c r="G60" s="3"/>
      <c r="H60" s="53"/>
    </row>
    <row r="61" spans="1:8" ht="15">
      <c r="A61" s="66"/>
      <c r="B61" s="71"/>
      <c r="C61" s="3"/>
      <c r="D61" s="81"/>
      <c r="E61" s="82"/>
      <c r="F61" s="3"/>
      <c r="G61" s="3"/>
      <c r="H61" s="53"/>
    </row>
    <row r="62" spans="1:8" ht="15">
      <c r="A62" s="66">
        <v>2006</v>
      </c>
      <c r="B62" s="71">
        <v>1</v>
      </c>
      <c r="C62" s="3" t="s">
        <v>39</v>
      </c>
      <c r="D62" s="81">
        <f>E58</f>
        <v>13946.439379167896</v>
      </c>
      <c r="E62" s="82">
        <f>'Principal trueup'!I64</f>
        <v>14198.310600108518</v>
      </c>
      <c r="F62" s="97">
        <v>0.0725</v>
      </c>
      <c r="G62" s="82">
        <f aca="true" t="shared" si="12" ref="G62:G73">D62*F62/12</f>
        <v>84.25973791580603</v>
      </c>
      <c r="H62" s="83">
        <f>H58+G62</f>
        <v>2540.0522992177653</v>
      </c>
    </row>
    <row r="63" spans="1:8" ht="15">
      <c r="A63" s="66">
        <v>2006</v>
      </c>
      <c r="B63" s="71">
        <v>2</v>
      </c>
      <c r="C63" s="3" t="s">
        <v>40</v>
      </c>
      <c r="D63" s="81">
        <f>E62</f>
        <v>14198.310600108518</v>
      </c>
      <c r="E63" s="82">
        <f>'Principal trueup'!I65</f>
        <v>14450.18182104914</v>
      </c>
      <c r="F63" s="97">
        <v>0.0725</v>
      </c>
      <c r="G63" s="82">
        <f t="shared" si="12"/>
        <v>85.78145987565563</v>
      </c>
      <c r="H63" s="83">
        <f aca="true" t="shared" si="13" ref="H63:H73">H62+G63</f>
        <v>2625.8337590934207</v>
      </c>
    </row>
    <row r="64" spans="1:8" ht="15">
      <c r="A64" s="66">
        <v>2006</v>
      </c>
      <c r="B64" s="71">
        <v>3</v>
      </c>
      <c r="C64" s="3" t="s">
        <v>41</v>
      </c>
      <c r="D64" s="81">
        <f aca="true" t="shared" si="14" ref="D64:D73">E63</f>
        <v>14450.18182104914</v>
      </c>
      <c r="E64" s="82">
        <f>'Principal trueup'!I66</f>
        <v>14702.053041989762</v>
      </c>
      <c r="F64" s="97">
        <v>0.0725</v>
      </c>
      <c r="G64" s="82">
        <f t="shared" si="12"/>
        <v>87.30318183550521</v>
      </c>
      <c r="H64" s="83">
        <f t="shared" si="13"/>
        <v>2713.136940928926</v>
      </c>
    </row>
    <row r="65" spans="1:8" ht="15">
      <c r="A65" s="66">
        <v>2006</v>
      </c>
      <c r="B65" s="71">
        <v>4</v>
      </c>
      <c r="C65" s="3" t="s">
        <v>42</v>
      </c>
      <c r="D65" s="81">
        <f t="shared" si="14"/>
        <v>14702.053041989762</v>
      </c>
      <c r="E65" s="82">
        <f>'Principal trueup'!I67</f>
        <v>15000.643535657657</v>
      </c>
      <c r="F65" s="97">
        <v>0.0725</v>
      </c>
      <c r="G65" s="82">
        <f>D65*F65/12</f>
        <v>88.82490379535481</v>
      </c>
      <c r="H65" s="83">
        <f t="shared" si="13"/>
        <v>2801.9618447242806</v>
      </c>
    </row>
    <row r="66" spans="1:8" ht="15">
      <c r="A66" s="66">
        <v>2006</v>
      </c>
      <c r="B66" s="71">
        <v>5</v>
      </c>
      <c r="C66" s="3" t="s">
        <v>35</v>
      </c>
      <c r="D66" s="81">
        <f t="shared" si="14"/>
        <v>15000.643535657657</v>
      </c>
      <c r="E66" s="82">
        <f>E65</f>
        <v>15000.643535657657</v>
      </c>
      <c r="F66" s="97">
        <v>0.0414</v>
      </c>
      <c r="G66" s="82">
        <f t="shared" si="12"/>
        <v>51.75222019801891</v>
      </c>
      <c r="H66" s="83">
        <f t="shared" si="13"/>
        <v>2853.7140649222997</v>
      </c>
    </row>
    <row r="67" spans="1:8" ht="15">
      <c r="A67" s="66">
        <v>2006</v>
      </c>
      <c r="B67" s="71">
        <v>6</v>
      </c>
      <c r="C67" s="3" t="s">
        <v>36</v>
      </c>
      <c r="D67" s="81">
        <f t="shared" si="14"/>
        <v>15000.643535657657</v>
      </c>
      <c r="E67" s="82">
        <f aca="true" t="shared" si="15" ref="E67:E73">E66</f>
        <v>15000.643535657657</v>
      </c>
      <c r="F67" s="97">
        <v>0.0414</v>
      </c>
      <c r="G67" s="82">
        <f t="shared" si="12"/>
        <v>51.75222019801891</v>
      </c>
      <c r="H67" s="83">
        <f t="shared" si="13"/>
        <v>2905.466285120319</v>
      </c>
    </row>
    <row r="68" spans="1:8" ht="15">
      <c r="A68" s="66">
        <v>2006</v>
      </c>
      <c r="B68" s="71">
        <v>7</v>
      </c>
      <c r="C68" s="3" t="s">
        <v>44</v>
      </c>
      <c r="D68" s="81">
        <f t="shared" si="14"/>
        <v>15000.643535657657</v>
      </c>
      <c r="E68" s="82">
        <f t="shared" si="15"/>
        <v>15000.643535657657</v>
      </c>
      <c r="F68" s="97">
        <v>0.0459</v>
      </c>
      <c r="G68" s="82">
        <f t="shared" si="12"/>
        <v>57.37746152389054</v>
      </c>
      <c r="H68" s="83">
        <f t="shared" si="13"/>
        <v>2962.843746644209</v>
      </c>
    </row>
    <row r="69" spans="1:8" ht="15">
      <c r="A69" s="66">
        <v>2006</v>
      </c>
      <c r="B69" s="71">
        <v>8</v>
      </c>
      <c r="C69" s="3" t="s">
        <v>45</v>
      </c>
      <c r="D69" s="81">
        <f t="shared" si="14"/>
        <v>15000.643535657657</v>
      </c>
      <c r="E69" s="82">
        <f t="shared" si="15"/>
        <v>15000.643535657657</v>
      </c>
      <c r="F69" s="97">
        <v>0.0459</v>
      </c>
      <c r="G69" s="82">
        <f t="shared" si="12"/>
        <v>57.37746152389054</v>
      </c>
      <c r="H69" s="83">
        <f t="shared" si="13"/>
        <v>3020.2212081680996</v>
      </c>
    </row>
    <row r="70" spans="1:8" ht="15">
      <c r="A70" s="66">
        <v>2006</v>
      </c>
      <c r="B70" s="71">
        <v>9</v>
      </c>
      <c r="C70" s="3" t="s">
        <v>68</v>
      </c>
      <c r="D70" s="81">
        <f t="shared" si="14"/>
        <v>15000.643535657657</v>
      </c>
      <c r="E70" s="82">
        <f t="shared" si="15"/>
        <v>15000.643535657657</v>
      </c>
      <c r="F70" s="97">
        <v>0.0459</v>
      </c>
      <c r="G70" s="82">
        <f t="shared" si="12"/>
        <v>57.37746152389054</v>
      </c>
      <c r="H70" s="83">
        <f t="shared" si="13"/>
        <v>3077.59866969199</v>
      </c>
    </row>
    <row r="71" spans="1:8" ht="15">
      <c r="A71" s="66">
        <v>2006</v>
      </c>
      <c r="B71" s="71">
        <v>10</v>
      </c>
      <c r="C71" s="3" t="s">
        <v>47</v>
      </c>
      <c r="D71" s="81">
        <f t="shared" si="14"/>
        <v>15000.643535657657</v>
      </c>
      <c r="E71" s="82">
        <f t="shared" si="15"/>
        <v>15000.643535657657</v>
      </c>
      <c r="F71" s="97">
        <v>0.0459</v>
      </c>
      <c r="G71" s="82">
        <f t="shared" si="12"/>
        <v>57.37746152389054</v>
      </c>
      <c r="H71" s="83">
        <f t="shared" si="13"/>
        <v>3134.9761312158803</v>
      </c>
    </row>
    <row r="72" spans="1:8" ht="15">
      <c r="A72" s="66">
        <v>2006</v>
      </c>
      <c r="B72" s="71">
        <v>11</v>
      </c>
      <c r="C72" s="3" t="s">
        <v>48</v>
      </c>
      <c r="D72" s="81">
        <f t="shared" si="14"/>
        <v>15000.643535657657</v>
      </c>
      <c r="E72" s="82">
        <f t="shared" si="15"/>
        <v>15000.643535657657</v>
      </c>
      <c r="F72" s="97">
        <v>0.0459</v>
      </c>
      <c r="G72" s="82">
        <f t="shared" si="12"/>
        <v>57.37746152389054</v>
      </c>
      <c r="H72" s="83">
        <f t="shared" si="13"/>
        <v>3192.3535927397706</v>
      </c>
    </row>
    <row r="73" spans="1:8" ht="15">
      <c r="A73" s="66">
        <v>2006</v>
      </c>
      <c r="B73" s="71">
        <v>12</v>
      </c>
      <c r="C73" s="3" t="s">
        <v>49</v>
      </c>
      <c r="D73" s="81">
        <f t="shared" si="14"/>
        <v>15000.643535657657</v>
      </c>
      <c r="E73" s="82">
        <f t="shared" si="15"/>
        <v>15000.643535657657</v>
      </c>
      <c r="F73" s="97">
        <v>0.0459</v>
      </c>
      <c r="G73" s="82">
        <f t="shared" si="12"/>
        <v>57.37746152389054</v>
      </c>
      <c r="H73" s="83">
        <f t="shared" si="13"/>
        <v>3249.731054263661</v>
      </c>
    </row>
    <row r="74" spans="1:8" ht="15">
      <c r="A74" s="51"/>
      <c r="B74" s="79"/>
      <c r="C74" s="79"/>
      <c r="D74" s="84"/>
      <c r="E74" s="80"/>
      <c r="F74" s="80"/>
      <c r="G74" s="80">
        <f>SUM(G62:G73)</f>
        <v>793.938492961703</v>
      </c>
      <c r="H74" s="85"/>
    </row>
    <row r="75" spans="1:8" ht="15">
      <c r="A75" s="66"/>
      <c r="B75" s="71"/>
      <c r="C75" s="86"/>
      <c r="D75" s="81"/>
      <c r="E75" s="82"/>
      <c r="F75" s="3"/>
      <c r="G75" s="3"/>
      <c r="H75" s="53"/>
    </row>
    <row r="76" spans="1:8" ht="15">
      <c r="A76" s="66"/>
      <c r="B76" s="71"/>
      <c r="C76" s="3"/>
      <c r="D76" s="81"/>
      <c r="E76" s="82"/>
      <c r="F76" s="3"/>
      <c r="G76" s="3"/>
      <c r="H76" s="53"/>
    </row>
    <row r="77" spans="1:8" ht="15">
      <c r="A77" s="66">
        <v>2007</v>
      </c>
      <c r="B77" s="71">
        <v>1</v>
      </c>
      <c r="C77" s="3" t="s">
        <v>39</v>
      </c>
      <c r="D77" s="81">
        <f>E73</f>
        <v>15000.643535657657</v>
      </c>
      <c r="E77" s="82">
        <f>D77</f>
        <v>15000.643535657657</v>
      </c>
      <c r="F77" s="97">
        <v>0.0459</v>
      </c>
      <c r="G77" s="82">
        <f aca="true" t="shared" si="16" ref="G77:G88">D77*F77/12</f>
        <v>57.37746152389054</v>
      </c>
      <c r="H77" s="83">
        <f>H73+G77</f>
        <v>3307.1085157875514</v>
      </c>
    </row>
    <row r="78" spans="1:8" ht="15">
      <c r="A78" s="66">
        <v>2007</v>
      </c>
      <c r="B78" s="71">
        <v>2</v>
      </c>
      <c r="C78" s="3" t="s">
        <v>40</v>
      </c>
      <c r="D78" s="81">
        <f>E77</f>
        <v>15000.643535657657</v>
      </c>
      <c r="E78" s="82">
        <f>D78</f>
        <v>15000.643535657657</v>
      </c>
      <c r="F78" s="97">
        <v>0.0459</v>
      </c>
      <c r="G78" s="82">
        <f t="shared" si="16"/>
        <v>57.37746152389054</v>
      </c>
      <c r="H78" s="83">
        <f>H77+G78</f>
        <v>3364.4859773114417</v>
      </c>
    </row>
    <row r="79" spans="1:8" ht="15">
      <c r="A79" s="66">
        <v>2007</v>
      </c>
      <c r="B79" s="71">
        <v>3</v>
      </c>
      <c r="C79" s="3" t="s">
        <v>41</v>
      </c>
      <c r="D79" s="81">
        <f aca="true" t="shared" si="17" ref="D79:D88">E78</f>
        <v>15000.643535657657</v>
      </c>
      <c r="E79" s="82">
        <f aca="true" t="shared" si="18" ref="E79:E88">D79</f>
        <v>15000.643535657657</v>
      </c>
      <c r="F79" s="97">
        <v>0.0459</v>
      </c>
      <c r="G79" s="82">
        <f t="shared" si="16"/>
        <v>57.37746152389054</v>
      </c>
      <c r="H79" s="83">
        <f aca="true" t="shared" si="19" ref="H79:H88">H78+G79</f>
        <v>3421.863438835332</v>
      </c>
    </row>
    <row r="80" spans="1:8" ht="15">
      <c r="A80" s="66">
        <v>2007</v>
      </c>
      <c r="B80" s="71">
        <v>4</v>
      </c>
      <c r="C80" s="3" t="s">
        <v>42</v>
      </c>
      <c r="D80" s="81">
        <f t="shared" si="17"/>
        <v>15000.643535657657</v>
      </c>
      <c r="E80" s="82">
        <f t="shared" si="18"/>
        <v>15000.643535657657</v>
      </c>
      <c r="F80" s="97">
        <v>0.0459</v>
      </c>
      <c r="G80" s="82">
        <f t="shared" si="16"/>
        <v>57.37746152389054</v>
      </c>
      <c r="H80" s="83">
        <f t="shared" si="19"/>
        <v>3479.2409003592225</v>
      </c>
    </row>
    <row r="81" spans="1:8" ht="15">
      <c r="A81" s="66">
        <v>2007</v>
      </c>
      <c r="B81" s="71">
        <v>5</v>
      </c>
      <c r="C81" s="3" t="s">
        <v>35</v>
      </c>
      <c r="D81" s="81">
        <f t="shared" si="17"/>
        <v>15000.643535657657</v>
      </c>
      <c r="E81" s="82">
        <f t="shared" si="18"/>
        <v>15000.643535657657</v>
      </c>
      <c r="F81" s="97">
        <v>0.0459</v>
      </c>
      <c r="G81" s="82">
        <f t="shared" si="16"/>
        <v>57.37746152389054</v>
      </c>
      <c r="H81" s="83">
        <f t="shared" si="19"/>
        <v>3536.618361883113</v>
      </c>
    </row>
    <row r="82" spans="1:8" ht="15">
      <c r="A82" s="66">
        <v>2007</v>
      </c>
      <c r="B82" s="71">
        <v>6</v>
      </c>
      <c r="C82" s="3" t="s">
        <v>36</v>
      </c>
      <c r="D82" s="81">
        <f t="shared" si="17"/>
        <v>15000.643535657657</v>
      </c>
      <c r="E82" s="82">
        <f t="shared" si="18"/>
        <v>15000.643535657657</v>
      </c>
      <c r="F82" s="97">
        <v>0.0459</v>
      </c>
      <c r="G82" s="82">
        <f t="shared" si="16"/>
        <v>57.37746152389054</v>
      </c>
      <c r="H82" s="83">
        <f t="shared" si="19"/>
        <v>3593.995823407003</v>
      </c>
    </row>
    <row r="83" spans="1:8" ht="15">
      <c r="A83" s="66">
        <v>2007</v>
      </c>
      <c r="B83" s="71">
        <v>7</v>
      </c>
      <c r="C83" s="3" t="s">
        <v>44</v>
      </c>
      <c r="D83" s="81">
        <f t="shared" si="17"/>
        <v>15000.643535657657</v>
      </c>
      <c r="E83" s="82">
        <f t="shared" si="18"/>
        <v>15000.643535657657</v>
      </c>
      <c r="F83" s="97">
        <v>0.0459</v>
      </c>
      <c r="G83" s="82">
        <f t="shared" si="16"/>
        <v>57.37746152389054</v>
      </c>
      <c r="H83" s="83">
        <f t="shared" si="19"/>
        <v>3651.3732849308935</v>
      </c>
    </row>
    <row r="84" spans="1:8" ht="15">
      <c r="A84" s="66">
        <v>2007</v>
      </c>
      <c r="B84" s="71">
        <v>8</v>
      </c>
      <c r="C84" s="3" t="s">
        <v>45</v>
      </c>
      <c r="D84" s="81">
        <f t="shared" si="17"/>
        <v>15000.643535657657</v>
      </c>
      <c r="E84" s="82">
        <f t="shared" si="18"/>
        <v>15000.643535657657</v>
      </c>
      <c r="F84" s="97">
        <v>0.0459</v>
      </c>
      <c r="G84" s="82">
        <f t="shared" si="16"/>
        <v>57.37746152389054</v>
      </c>
      <c r="H84" s="83">
        <f t="shared" si="19"/>
        <v>3708.750746454784</v>
      </c>
    </row>
    <row r="85" spans="1:8" ht="15">
      <c r="A85" s="66">
        <v>2007</v>
      </c>
      <c r="B85" s="71">
        <v>9</v>
      </c>
      <c r="C85" s="3" t="s">
        <v>68</v>
      </c>
      <c r="D85" s="81">
        <f t="shared" si="17"/>
        <v>15000.643535657657</v>
      </c>
      <c r="E85" s="82">
        <f t="shared" si="18"/>
        <v>15000.643535657657</v>
      </c>
      <c r="F85" s="97">
        <v>0.0459</v>
      </c>
      <c r="G85" s="82">
        <f t="shared" si="16"/>
        <v>57.37746152389054</v>
      </c>
      <c r="H85" s="83">
        <f t="shared" si="19"/>
        <v>3766.1282079786743</v>
      </c>
    </row>
    <row r="86" spans="1:8" ht="15">
      <c r="A86" s="66">
        <v>2007</v>
      </c>
      <c r="B86" s="71">
        <v>10</v>
      </c>
      <c r="C86" s="3" t="s">
        <v>47</v>
      </c>
      <c r="D86" s="81">
        <f t="shared" si="17"/>
        <v>15000.643535657657</v>
      </c>
      <c r="E86" s="82">
        <f t="shared" si="18"/>
        <v>15000.643535657657</v>
      </c>
      <c r="F86" s="97">
        <v>0.0514</v>
      </c>
      <c r="G86" s="82">
        <f t="shared" si="16"/>
        <v>64.25275647773363</v>
      </c>
      <c r="H86" s="83">
        <f t="shared" si="19"/>
        <v>3830.380964456408</v>
      </c>
    </row>
    <row r="87" spans="1:8" ht="15">
      <c r="A87" s="66">
        <v>2007</v>
      </c>
      <c r="B87" s="71">
        <v>11</v>
      </c>
      <c r="C87" s="3" t="s">
        <v>48</v>
      </c>
      <c r="D87" s="81">
        <f t="shared" si="17"/>
        <v>15000.643535657657</v>
      </c>
      <c r="E87" s="82">
        <f t="shared" si="18"/>
        <v>15000.643535657657</v>
      </c>
      <c r="F87" s="97">
        <v>0.0514</v>
      </c>
      <c r="G87" s="82">
        <f t="shared" si="16"/>
        <v>64.25275647773363</v>
      </c>
      <c r="H87" s="83">
        <f t="shared" si="19"/>
        <v>3894.633720934142</v>
      </c>
    </row>
    <row r="88" spans="1:8" ht="15">
      <c r="A88" s="66">
        <v>2007</v>
      </c>
      <c r="B88" s="71">
        <v>12</v>
      </c>
      <c r="C88" s="3" t="s">
        <v>49</v>
      </c>
      <c r="D88" s="81">
        <f t="shared" si="17"/>
        <v>15000.643535657657</v>
      </c>
      <c r="E88" s="82">
        <f t="shared" si="18"/>
        <v>15000.643535657657</v>
      </c>
      <c r="F88" s="98">
        <v>0.051399999999999994</v>
      </c>
      <c r="G88" s="82">
        <f t="shared" si="16"/>
        <v>64.25275647773363</v>
      </c>
      <c r="H88" s="83">
        <f t="shared" si="19"/>
        <v>3958.8864774118756</v>
      </c>
    </row>
    <row r="89" spans="1:8" ht="15">
      <c r="A89" s="51"/>
      <c r="B89" s="79"/>
      <c r="C89" s="79"/>
      <c r="D89" s="84"/>
      <c r="E89" s="80"/>
      <c r="F89" s="80"/>
      <c r="G89" s="80">
        <f>SUM(G77:G88)</f>
        <v>709.1554231482158</v>
      </c>
      <c r="H89" s="85"/>
    </row>
    <row r="90" spans="4:8" ht="15">
      <c r="D90" s="81"/>
      <c r="E90" s="82"/>
      <c r="F90" s="3"/>
      <c r="G90" s="3"/>
      <c r="H90" s="53"/>
    </row>
    <row r="91" spans="1:8" ht="15">
      <c r="A91" s="66">
        <v>2008</v>
      </c>
      <c r="B91" s="71">
        <v>1</v>
      </c>
      <c r="C91" s="3" t="s">
        <v>39</v>
      </c>
      <c r="D91" s="81">
        <f>E88</f>
        <v>15000.643535657657</v>
      </c>
      <c r="E91" s="82">
        <f>D91</f>
        <v>15000.643535657657</v>
      </c>
      <c r="F91" s="97">
        <v>0.0514</v>
      </c>
      <c r="G91" s="82">
        <f aca="true" t="shared" si="20" ref="G91:G102">D91*F91/12</f>
        <v>64.25275647773363</v>
      </c>
      <c r="H91" s="83">
        <f>H88+G91</f>
        <v>4023.1392338896094</v>
      </c>
    </row>
    <row r="92" spans="1:8" ht="15">
      <c r="A92" s="66">
        <v>2008</v>
      </c>
      <c r="B92" s="71">
        <v>2</v>
      </c>
      <c r="C92" s="3" t="s">
        <v>40</v>
      </c>
      <c r="D92" s="81">
        <f>E91</f>
        <v>15000.643535657657</v>
      </c>
      <c r="E92" s="82">
        <f>D92</f>
        <v>15000.643535657657</v>
      </c>
      <c r="F92" s="97">
        <v>0.0514</v>
      </c>
      <c r="G92" s="82">
        <f t="shared" si="20"/>
        <v>64.25275647773363</v>
      </c>
      <c r="H92" s="83">
        <f>H91+G92</f>
        <v>4087.391990367343</v>
      </c>
    </row>
    <row r="93" spans="1:8" ht="15">
      <c r="A93" s="66">
        <v>2008</v>
      </c>
      <c r="B93" s="71">
        <v>3</v>
      </c>
      <c r="C93" s="3" t="s">
        <v>41</v>
      </c>
      <c r="D93" s="81">
        <f aca="true" t="shared" si="21" ref="D93:D102">E92</f>
        <v>15000.643535657657</v>
      </c>
      <c r="E93" s="82">
        <f aca="true" t="shared" si="22" ref="E93:E102">D93</f>
        <v>15000.643535657657</v>
      </c>
      <c r="F93" s="97">
        <v>0.0514</v>
      </c>
      <c r="G93" s="82">
        <f t="shared" si="20"/>
        <v>64.25275647773363</v>
      </c>
      <c r="H93" s="83">
        <f aca="true" t="shared" si="23" ref="H93:H102">H92+G93</f>
        <v>4151.644746845077</v>
      </c>
    </row>
    <row r="94" spans="1:8" ht="15">
      <c r="A94" s="66">
        <v>2008</v>
      </c>
      <c r="B94" s="71">
        <v>4</v>
      </c>
      <c r="C94" s="3" t="s">
        <v>42</v>
      </c>
      <c r="D94" s="81">
        <f t="shared" si="21"/>
        <v>15000.643535657657</v>
      </c>
      <c r="E94" s="82">
        <f t="shared" si="22"/>
        <v>15000.643535657657</v>
      </c>
      <c r="F94" s="98">
        <v>0.0408</v>
      </c>
      <c r="G94" s="82">
        <f t="shared" si="20"/>
        <v>51.00218802123604</v>
      </c>
      <c r="H94" s="83">
        <f t="shared" si="23"/>
        <v>4202.646934866313</v>
      </c>
    </row>
    <row r="95" spans="1:8" ht="15">
      <c r="A95" s="66">
        <v>2008</v>
      </c>
      <c r="B95" s="71">
        <v>5</v>
      </c>
      <c r="C95" s="3" t="s">
        <v>35</v>
      </c>
      <c r="D95" s="81">
        <f t="shared" si="21"/>
        <v>15000.643535657657</v>
      </c>
      <c r="E95" s="82">
        <f t="shared" si="22"/>
        <v>15000.643535657657</v>
      </c>
      <c r="F95" s="98">
        <v>0.0408</v>
      </c>
      <c r="G95" s="82">
        <f t="shared" si="20"/>
        <v>51.00218802123604</v>
      </c>
      <c r="H95" s="83">
        <f t="shared" si="23"/>
        <v>4253.649122887549</v>
      </c>
    </row>
    <row r="96" spans="1:8" ht="15">
      <c r="A96" s="66">
        <v>2008</v>
      </c>
      <c r="B96" s="71">
        <v>6</v>
      </c>
      <c r="C96" s="3" t="s">
        <v>36</v>
      </c>
      <c r="D96" s="81">
        <f t="shared" si="21"/>
        <v>15000.643535657657</v>
      </c>
      <c r="E96" s="82">
        <f t="shared" si="22"/>
        <v>15000.643535657657</v>
      </c>
      <c r="F96" s="98">
        <v>0.0408</v>
      </c>
      <c r="G96" s="82">
        <f t="shared" si="20"/>
        <v>51.00218802123604</v>
      </c>
      <c r="H96" s="83">
        <f t="shared" si="23"/>
        <v>4304.6513109087855</v>
      </c>
    </row>
    <row r="97" spans="1:8" ht="15">
      <c r="A97" s="66">
        <v>2008</v>
      </c>
      <c r="B97" s="71">
        <v>7</v>
      </c>
      <c r="C97" s="3" t="s">
        <v>44</v>
      </c>
      <c r="D97" s="81">
        <f t="shared" si="21"/>
        <v>15000.643535657657</v>
      </c>
      <c r="E97" s="82">
        <f t="shared" si="22"/>
        <v>15000.643535657657</v>
      </c>
      <c r="F97" s="98">
        <v>0.0335</v>
      </c>
      <c r="G97" s="82">
        <f t="shared" si="20"/>
        <v>41.87679653704429</v>
      </c>
      <c r="H97" s="83">
        <f t="shared" si="23"/>
        <v>4346.52810744583</v>
      </c>
    </row>
    <row r="98" spans="1:8" ht="15">
      <c r="A98" s="66">
        <v>2008</v>
      </c>
      <c r="B98" s="71">
        <v>8</v>
      </c>
      <c r="C98" s="3" t="s">
        <v>45</v>
      </c>
      <c r="D98" s="81">
        <f t="shared" si="21"/>
        <v>15000.643535657657</v>
      </c>
      <c r="E98" s="82">
        <f t="shared" si="22"/>
        <v>15000.643535657657</v>
      </c>
      <c r="F98" s="98">
        <v>0.0335</v>
      </c>
      <c r="G98" s="82">
        <f t="shared" si="20"/>
        <v>41.87679653704429</v>
      </c>
      <c r="H98" s="83">
        <f t="shared" si="23"/>
        <v>4388.404903982874</v>
      </c>
    </row>
    <row r="99" spans="1:8" ht="15">
      <c r="A99" s="66">
        <v>2008</v>
      </c>
      <c r="B99" s="71">
        <v>9</v>
      </c>
      <c r="C99" s="3" t="s">
        <v>68</v>
      </c>
      <c r="D99" s="81">
        <f t="shared" si="21"/>
        <v>15000.643535657657</v>
      </c>
      <c r="E99" s="82">
        <f t="shared" si="22"/>
        <v>15000.643535657657</v>
      </c>
      <c r="F99" s="98">
        <v>0.0335</v>
      </c>
      <c r="G99" s="82">
        <f t="shared" si="20"/>
        <v>41.87679653704429</v>
      </c>
      <c r="H99" s="83">
        <f t="shared" si="23"/>
        <v>4430.281700519919</v>
      </c>
    </row>
    <row r="100" spans="1:8" ht="15">
      <c r="A100" s="66">
        <v>2008</v>
      </c>
      <c r="B100" s="71">
        <v>10</v>
      </c>
      <c r="C100" s="3" t="s">
        <v>47</v>
      </c>
      <c r="D100" s="81">
        <f t="shared" si="21"/>
        <v>15000.643535657657</v>
      </c>
      <c r="E100" s="82">
        <f t="shared" si="22"/>
        <v>15000.643535657657</v>
      </c>
      <c r="F100" s="98">
        <v>0.0335</v>
      </c>
      <c r="G100" s="82">
        <f t="shared" si="20"/>
        <v>41.87679653704429</v>
      </c>
      <c r="H100" s="83">
        <f t="shared" si="23"/>
        <v>4472.158497056963</v>
      </c>
    </row>
    <row r="101" spans="1:8" ht="15">
      <c r="A101" s="66">
        <v>2008</v>
      </c>
      <c r="B101" s="71">
        <v>11</v>
      </c>
      <c r="C101" s="3" t="s">
        <v>48</v>
      </c>
      <c r="D101" s="81">
        <f t="shared" si="21"/>
        <v>15000.643535657657</v>
      </c>
      <c r="E101" s="82">
        <f t="shared" si="22"/>
        <v>15000.643535657657</v>
      </c>
      <c r="F101" s="98">
        <v>0.0335</v>
      </c>
      <c r="G101" s="82">
        <f t="shared" si="20"/>
        <v>41.87679653704429</v>
      </c>
      <c r="H101" s="83">
        <f t="shared" si="23"/>
        <v>4514.035293594007</v>
      </c>
    </row>
    <row r="102" spans="1:8" ht="15">
      <c r="A102" s="66">
        <v>2008</v>
      </c>
      <c r="B102" s="71">
        <v>12</v>
      </c>
      <c r="C102" s="3" t="s">
        <v>49</v>
      </c>
      <c r="D102" s="81">
        <f t="shared" si="21"/>
        <v>15000.643535657657</v>
      </c>
      <c r="E102" s="82">
        <f t="shared" si="22"/>
        <v>15000.643535657657</v>
      </c>
      <c r="F102" s="98">
        <v>0.0335</v>
      </c>
      <c r="G102" s="82">
        <f t="shared" si="20"/>
        <v>41.87679653704429</v>
      </c>
      <c r="H102" s="83">
        <f t="shared" si="23"/>
        <v>4555.912090131052</v>
      </c>
    </row>
    <row r="103" spans="1:8" ht="15">
      <c r="A103" s="51"/>
      <c r="B103" s="79"/>
      <c r="C103" s="79"/>
      <c r="D103" s="84"/>
      <c r="E103" s="80"/>
      <c r="F103" s="80"/>
      <c r="G103" s="80">
        <f>SUM(G91:G102)</f>
        <v>597.0256127191747</v>
      </c>
      <c r="H103" s="85"/>
    </row>
    <row r="104" spans="4:8" ht="15">
      <c r="D104" s="81"/>
      <c r="E104" s="82"/>
      <c r="F104" s="3"/>
      <c r="G104" s="3"/>
      <c r="H104" s="53"/>
    </row>
    <row r="105" spans="1:8" ht="15">
      <c r="A105" s="66">
        <v>2009</v>
      </c>
      <c r="B105" s="71">
        <v>1</v>
      </c>
      <c r="C105" s="3" t="s">
        <v>39</v>
      </c>
      <c r="D105" s="81">
        <f>E101</f>
        <v>15000.643535657657</v>
      </c>
      <c r="E105" s="82">
        <f>D105</f>
        <v>15000.643535657657</v>
      </c>
      <c r="F105" s="98">
        <v>0.0245</v>
      </c>
      <c r="G105" s="82">
        <f aca="true" t="shared" si="24" ref="G105:G116">D105*F105/12</f>
        <v>30.626313885301048</v>
      </c>
      <c r="H105" s="83">
        <f>H102+G105</f>
        <v>4586.538404016353</v>
      </c>
    </row>
    <row r="106" spans="1:8" ht="15">
      <c r="A106" s="66">
        <v>2009</v>
      </c>
      <c r="B106" s="71">
        <v>2</v>
      </c>
      <c r="C106" s="3" t="s">
        <v>40</v>
      </c>
      <c r="D106" s="81">
        <f>E105</f>
        <v>15000.643535657657</v>
      </c>
      <c r="E106" s="82">
        <f>D106</f>
        <v>15000.643535657657</v>
      </c>
      <c r="F106" s="98">
        <v>0.0245</v>
      </c>
      <c r="G106" s="82">
        <f t="shared" si="24"/>
        <v>30.626313885301048</v>
      </c>
      <c r="H106" s="83">
        <f>H105+G106</f>
        <v>4617.164717901654</v>
      </c>
    </row>
    <row r="107" spans="1:8" ht="15">
      <c r="A107" s="66">
        <v>2009</v>
      </c>
      <c r="B107" s="71">
        <v>3</v>
      </c>
      <c r="C107" s="3" t="s">
        <v>41</v>
      </c>
      <c r="D107" s="81">
        <f aca="true" t="shared" si="25" ref="D107:D116">E106</f>
        <v>15000.643535657657</v>
      </c>
      <c r="E107" s="82">
        <f aca="true" t="shared" si="26" ref="E107:E116">D107</f>
        <v>15000.643535657657</v>
      </c>
      <c r="F107" s="98">
        <v>0.0245</v>
      </c>
      <c r="G107" s="82">
        <f t="shared" si="24"/>
        <v>30.626313885301048</v>
      </c>
      <c r="H107" s="83">
        <f aca="true" t="shared" si="27" ref="H107:H116">H106+G107</f>
        <v>4647.791031786955</v>
      </c>
    </row>
    <row r="108" spans="1:8" ht="15">
      <c r="A108" s="66">
        <v>2009</v>
      </c>
      <c r="B108" s="71">
        <v>4</v>
      </c>
      <c r="C108" s="3" t="s">
        <v>42</v>
      </c>
      <c r="D108" s="81">
        <f t="shared" si="25"/>
        <v>15000.643535657657</v>
      </c>
      <c r="E108" s="82">
        <f t="shared" si="26"/>
        <v>15000.643535657657</v>
      </c>
      <c r="F108" s="98">
        <v>0.01</v>
      </c>
      <c r="G108" s="82">
        <f t="shared" si="24"/>
        <v>12.500536279714714</v>
      </c>
      <c r="H108" s="83">
        <f t="shared" si="27"/>
        <v>4660.291568066669</v>
      </c>
    </row>
    <row r="109" spans="1:8" ht="15">
      <c r="A109" s="66">
        <v>2009</v>
      </c>
      <c r="B109" s="71">
        <v>5</v>
      </c>
      <c r="C109" s="3" t="s">
        <v>35</v>
      </c>
      <c r="D109" s="81">
        <f t="shared" si="25"/>
        <v>15000.643535657657</v>
      </c>
      <c r="E109" s="82">
        <f t="shared" si="26"/>
        <v>15000.643535657657</v>
      </c>
      <c r="F109" s="98">
        <v>0.01</v>
      </c>
      <c r="G109" s="82">
        <f t="shared" si="24"/>
        <v>12.500536279714714</v>
      </c>
      <c r="H109" s="83">
        <f t="shared" si="27"/>
        <v>4672.792104346384</v>
      </c>
    </row>
    <row r="110" spans="1:8" ht="15">
      <c r="A110" s="66">
        <v>2009</v>
      </c>
      <c r="B110" s="71">
        <v>6</v>
      </c>
      <c r="C110" s="3" t="s">
        <v>36</v>
      </c>
      <c r="D110" s="81">
        <f t="shared" si="25"/>
        <v>15000.643535657657</v>
      </c>
      <c r="E110" s="82">
        <f t="shared" si="26"/>
        <v>15000.643535657657</v>
      </c>
      <c r="F110" s="98">
        <v>0.01</v>
      </c>
      <c r="G110" s="82">
        <f t="shared" si="24"/>
        <v>12.500536279714714</v>
      </c>
      <c r="H110" s="83">
        <f t="shared" si="27"/>
        <v>4685.292640626099</v>
      </c>
    </row>
    <row r="111" spans="1:8" ht="15">
      <c r="A111" s="66">
        <v>2009</v>
      </c>
      <c r="B111" s="71">
        <v>7</v>
      </c>
      <c r="C111" s="3" t="s">
        <v>44</v>
      </c>
      <c r="D111" s="81">
        <f t="shared" si="25"/>
        <v>15000.643535657657</v>
      </c>
      <c r="E111" s="82">
        <f t="shared" si="26"/>
        <v>15000.643535657657</v>
      </c>
      <c r="F111" s="98">
        <v>0.0055</v>
      </c>
      <c r="G111" s="82">
        <f t="shared" si="24"/>
        <v>6.875294953843092</v>
      </c>
      <c r="H111" s="83">
        <f t="shared" si="27"/>
        <v>4692.1679355799415</v>
      </c>
    </row>
    <row r="112" spans="1:8" ht="15">
      <c r="A112" s="66">
        <v>2009</v>
      </c>
      <c r="B112" s="71">
        <v>8</v>
      </c>
      <c r="C112" s="3" t="s">
        <v>45</v>
      </c>
      <c r="D112" s="81">
        <f t="shared" si="25"/>
        <v>15000.643535657657</v>
      </c>
      <c r="E112" s="82">
        <f t="shared" si="26"/>
        <v>15000.643535657657</v>
      </c>
      <c r="F112" s="98">
        <v>0.0055</v>
      </c>
      <c r="G112" s="82">
        <f t="shared" si="24"/>
        <v>6.875294953843092</v>
      </c>
      <c r="H112" s="83">
        <f t="shared" si="27"/>
        <v>4699.0432305337845</v>
      </c>
    </row>
    <row r="113" spans="1:8" ht="15">
      <c r="A113" s="66">
        <v>2009</v>
      </c>
      <c r="B113" s="71">
        <v>9</v>
      </c>
      <c r="C113" s="3" t="s">
        <v>68</v>
      </c>
      <c r="D113" s="81">
        <f t="shared" si="25"/>
        <v>15000.643535657657</v>
      </c>
      <c r="E113" s="82">
        <f t="shared" si="26"/>
        <v>15000.643535657657</v>
      </c>
      <c r="F113" s="98">
        <v>0.0055</v>
      </c>
      <c r="G113" s="82">
        <f t="shared" si="24"/>
        <v>6.875294953843092</v>
      </c>
      <c r="H113" s="83">
        <f t="shared" si="27"/>
        <v>4705.918525487627</v>
      </c>
    </row>
    <row r="114" spans="1:8" ht="15">
      <c r="A114" s="66">
        <v>2009</v>
      </c>
      <c r="B114" s="71">
        <v>10</v>
      </c>
      <c r="C114" s="3" t="s">
        <v>47</v>
      </c>
      <c r="D114" s="81">
        <f t="shared" si="25"/>
        <v>15000.643535657657</v>
      </c>
      <c r="E114" s="82">
        <f t="shared" si="26"/>
        <v>15000.643535657657</v>
      </c>
      <c r="F114" s="98">
        <v>0.0055</v>
      </c>
      <c r="G114" s="82">
        <f t="shared" si="24"/>
        <v>6.875294953843092</v>
      </c>
      <c r="H114" s="83">
        <f t="shared" si="27"/>
        <v>4712.79382044147</v>
      </c>
    </row>
    <row r="115" spans="1:8" ht="15">
      <c r="A115" s="66">
        <v>2009</v>
      </c>
      <c r="B115" s="71">
        <v>11</v>
      </c>
      <c r="C115" s="3" t="s">
        <v>48</v>
      </c>
      <c r="D115" s="81">
        <f t="shared" si="25"/>
        <v>15000.643535657657</v>
      </c>
      <c r="E115" s="82">
        <f t="shared" si="26"/>
        <v>15000.643535657657</v>
      </c>
      <c r="F115" s="98">
        <v>0.0055</v>
      </c>
      <c r="G115" s="82">
        <f t="shared" si="24"/>
        <v>6.875294953843092</v>
      </c>
      <c r="H115" s="83">
        <f t="shared" si="27"/>
        <v>4719.669115395313</v>
      </c>
    </row>
    <row r="116" spans="1:8" ht="15">
      <c r="A116" s="66">
        <v>2009</v>
      </c>
      <c r="B116" s="71">
        <v>12</v>
      </c>
      <c r="C116" s="3" t="s">
        <v>49</v>
      </c>
      <c r="D116" s="81">
        <f t="shared" si="25"/>
        <v>15000.643535657657</v>
      </c>
      <c r="E116" s="82">
        <f t="shared" si="26"/>
        <v>15000.643535657657</v>
      </c>
      <c r="F116" s="98">
        <v>0.0055</v>
      </c>
      <c r="G116" s="82">
        <f t="shared" si="24"/>
        <v>6.875294953843092</v>
      </c>
      <c r="H116" s="83">
        <f t="shared" si="27"/>
        <v>4726.544410349156</v>
      </c>
    </row>
    <row r="117" spans="1:8" ht="15">
      <c r="A117" s="51"/>
      <c r="B117" s="79"/>
      <c r="C117" s="79"/>
      <c r="D117" s="84"/>
      <c r="E117" s="80"/>
      <c r="F117" s="80"/>
      <c r="G117" s="80">
        <f>SUM(G105:G116)</f>
        <v>170.63232021810578</v>
      </c>
      <c r="H117" s="85"/>
    </row>
    <row r="118" spans="4:8" ht="15">
      <c r="D118" s="81"/>
      <c r="E118" s="82"/>
      <c r="F118" s="3"/>
      <c r="G118" s="3"/>
      <c r="H118" s="53"/>
    </row>
    <row r="119" spans="1:8" ht="15">
      <c r="A119" s="66">
        <v>2010</v>
      </c>
      <c r="B119" s="71">
        <v>1</v>
      </c>
      <c r="C119" s="3" t="s">
        <v>39</v>
      </c>
      <c r="D119" s="81">
        <f>E115</f>
        <v>15000.643535657657</v>
      </c>
      <c r="E119" s="82">
        <f>D119</f>
        <v>15000.643535657657</v>
      </c>
      <c r="F119" s="98">
        <v>0.0055</v>
      </c>
      <c r="G119" s="82">
        <f aca="true" t="shared" si="28" ref="G119:G130">D119*F119/12</f>
        <v>6.875294953843092</v>
      </c>
      <c r="H119" s="83">
        <f>H116+G119</f>
        <v>4733.419705302999</v>
      </c>
    </row>
    <row r="120" spans="1:8" ht="15">
      <c r="A120" s="66">
        <v>2010</v>
      </c>
      <c r="B120" s="71">
        <v>2</v>
      </c>
      <c r="C120" s="3" t="s">
        <v>40</v>
      </c>
      <c r="D120" s="81">
        <f>E119</f>
        <v>15000.643535657657</v>
      </c>
      <c r="E120" s="82">
        <f>D120</f>
        <v>15000.643535657657</v>
      </c>
      <c r="F120" s="98">
        <v>0.0055</v>
      </c>
      <c r="G120" s="82">
        <f t="shared" si="28"/>
        <v>6.875294953843092</v>
      </c>
      <c r="H120" s="83">
        <f>H119+G120</f>
        <v>4740.295000256842</v>
      </c>
    </row>
    <row r="121" spans="1:8" ht="15">
      <c r="A121" s="66">
        <v>2010</v>
      </c>
      <c r="B121" s="71">
        <v>3</v>
      </c>
      <c r="C121" s="3" t="s">
        <v>41</v>
      </c>
      <c r="D121" s="81">
        <f aca="true" t="shared" si="29" ref="D121:D130">E120</f>
        <v>15000.643535657657</v>
      </c>
      <c r="E121" s="82">
        <f aca="true" t="shared" si="30" ref="E121:E130">D121</f>
        <v>15000.643535657657</v>
      </c>
      <c r="F121" s="98">
        <v>0.0055</v>
      </c>
      <c r="G121" s="82">
        <f t="shared" si="28"/>
        <v>6.875294953843092</v>
      </c>
      <c r="H121" s="83">
        <f aca="true" t="shared" si="31" ref="H121:H130">H120+G121</f>
        <v>4747.170295210685</v>
      </c>
    </row>
    <row r="122" spans="1:8" ht="15">
      <c r="A122" s="66">
        <v>2010</v>
      </c>
      <c r="B122" s="71">
        <v>4</v>
      </c>
      <c r="C122" s="3" t="s">
        <v>42</v>
      </c>
      <c r="D122" s="81">
        <f t="shared" si="29"/>
        <v>15000.643535657657</v>
      </c>
      <c r="E122" s="82">
        <f t="shared" si="30"/>
        <v>15000.643535657657</v>
      </c>
      <c r="F122" s="98">
        <v>0.0055</v>
      </c>
      <c r="G122" s="82">
        <f t="shared" si="28"/>
        <v>6.875294953843092</v>
      </c>
      <c r="H122" s="83">
        <f t="shared" si="31"/>
        <v>4754.045590164528</v>
      </c>
    </row>
    <row r="123" spans="1:8" ht="15">
      <c r="A123" s="66">
        <v>2010</v>
      </c>
      <c r="B123" s="71">
        <v>5</v>
      </c>
      <c r="C123" s="3" t="s">
        <v>35</v>
      </c>
      <c r="D123" s="81">
        <f t="shared" si="29"/>
        <v>15000.643535657657</v>
      </c>
      <c r="E123" s="82">
        <f t="shared" si="30"/>
        <v>15000.643535657657</v>
      </c>
      <c r="F123" s="98">
        <v>0.0055</v>
      </c>
      <c r="G123" s="82">
        <f t="shared" si="28"/>
        <v>6.875294953843092</v>
      </c>
      <c r="H123" s="83">
        <f t="shared" si="31"/>
        <v>4760.920885118371</v>
      </c>
    </row>
    <row r="124" spans="1:8" ht="15">
      <c r="A124" s="66">
        <v>2010</v>
      </c>
      <c r="B124" s="71">
        <v>6</v>
      </c>
      <c r="C124" s="3" t="s">
        <v>36</v>
      </c>
      <c r="D124" s="81">
        <f t="shared" si="29"/>
        <v>15000.643535657657</v>
      </c>
      <c r="E124" s="82">
        <f t="shared" si="30"/>
        <v>15000.643535657657</v>
      </c>
      <c r="F124" s="98">
        <v>0.0055</v>
      </c>
      <c r="G124" s="82">
        <f t="shared" si="28"/>
        <v>6.875294953843092</v>
      </c>
      <c r="H124" s="83">
        <f t="shared" si="31"/>
        <v>4767.796180072214</v>
      </c>
    </row>
    <row r="125" spans="1:8" ht="15">
      <c r="A125" s="66">
        <v>2010</v>
      </c>
      <c r="B125" s="71">
        <v>7</v>
      </c>
      <c r="C125" s="3" t="s">
        <v>44</v>
      </c>
      <c r="D125" s="81">
        <f t="shared" si="29"/>
        <v>15000.643535657657</v>
      </c>
      <c r="E125" s="82">
        <f t="shared" si="30"/>
        <v>15000.643535657657</v>
      </c>
      <c r="F125" s="98">
        <v>0.0089</v>
      </c>
      <c r="G125" s="82">
        <f t="shared" si="28"/>
        <v>11.125477288946096</v>
      </c>
      <c r="H125" s="83">
        <f t="shared" si="31"/>
        <v>4778.92165736116</v>
      </c>
    </row>
    <row r="126" spans="1:8" ht="15">
      <c r="A126" s="66">
        <v>2010</v>
      </c>
      <c r="B126" s="71">
        <v>8</v>
      </c>
      <c r="C126" s="3" t="s">
        <v>45</v>
      </c>
      <c r="D126" s="81">
        <f t="shared" si="29"/>
        <v>15000.643535657657</v>
      </c>
      <c r="E126" s="82">
        <f t="shared" si="30"/>
        <v>15000.643535657657</v>
      </c>
      <c r="F126" s="98">
        <v>0.0089</v>
      </c>
      <c r="G126" s="82">
        <f t="shared" si="28"/>
        <v>11.125477288946096</v>
      </c>
      <c r="H126" s="83">
        <f t="shared" si="31"/>
        <v>4790.047134650106</v>
      </c>
    </row>
    <row r="127" spans="1:8" ht="15">
      <c r="A127" s="66">
        <v>2010</v>
      </c>
      <c r="B127" s="71">
        <v>9</v>
      </c>
      <c r="C127" s="3" t="s">
        <v>68</v>
      </c>
      <c r="D127" s="81">
        <f t="shared" si="29"/>
        <v>15000.643535657657</v>
      </c>
      <c r="E127" s="82">
        <f t="shared" si="30"/>
        <v>15000.643535657657</v>
      </c>
      <c r="F127" s="98">
        <v>0.0089</v>
      </c>
      <c r="G127" s="82">
        <f t="shared" si="28"/>
        <v>11.125477288946096</v>
      </c>
      <c r="H127" s="83">
        <f t="shared" si="31"/>
        <v>4801.172611939052</v>
      </c>
    </row>
    <row r="128" spans="1:8" ht="15">
      <c r="A128" s="66">
        <v>2010</v>
      </c>
      <c r="B128" s="71">
        <v>10</v>
      </c>
      <c r="C128" s="3" t="s">
        <v>47</v>
      </c>
      <c r="D128" s="81">
        <f t="shared" si="29"/>
        <v>15000.643535657657</v>
      </c>
      <c r="E128" s="82">
        <f t="shared" si="30"/>
        <v>15000.643535657657</v>
      </c>
      <c r="F128" s="98">
        <v>0.012</v>
      </c>
      <c r="G128" s="82">
        <f t="shared" si="28"/>
        <v>15.000643535657657</v>
      </c>
      <c r="H128" s="83">
        <f t="shared" si="31"/>
        <v>4816.17325547471</v>
      </c>
    </row>
    <row r="129" spans="1:8" ht="15">
      <c r="A129" s="66">
        <v>2010</v>
      </c>
      <c r="B129" s="71">
        <v>11</v>
      </c>
      <c r="C129" s="3" t="s">
        <v>48</v>
      </c>
      <c r="D129" s="81">
        <f t="shared" si="29"/>
        <v>15000.643535657657</v>
      </c>
      <c r="E129" s="82">
        <f t="shared" si="30"/>
        <v>15000.643535657657</v>
      </c>
      <c r="F129" s="98">
        <v>0.012</v>
      </c>
      <c r="G129" s="82">
        <f t="shared" si="28"/>
        <v>15.000643535657657</v>
      </c>
      <c r="H129" s="83">
        <f t="shared" si="31"/>
        <v>4831.173899010367</v>
      </c>
    </row>
    <row r="130" spans="1:8" ht="15">
      <c r="A130" s="66">
        <v>2010</v>
      </c>
      <c r="B130" s="71">
        <v>12</v>
      </c>
      <c r="C130" s="3" t="s">
        <v>49</v>
      </c>
      <c r="D130" s="81">
        <f t="shared" si="29"/>
        <v>15000.643535657657</v>
      </c>
      <c r="E130" s="82">
        <f t="shared" si="30"/>
        <v>15000.643535657657</v>
      </c>
      <c r="F130" s="98">
        <v>0.012</v>
      </c>
      <c r="G130" s="82">
        <f t="shared" si="28"/>
        <v>15.000643535657657</v>
      </c>
      <c r="H130" s="83">
        <f t="shared" si="31"/>
        <v>4846.174542546024</v>
      </c>
    </row>
    <row r="131" spans="1:8" ht="15">
      <c r="A131" s="51"/>
      <c r="B131" s="79"/>
      <c r="C131" s="79"/>
      <c r="D131" s="84"/>
      <c r="E131" s="80"/>
      <c r="F131" s="80"/>
      <c r="G131" s="80">
        <f>SUM(G119:G130)</f>
        <v>119.63013219686982</v>
      </c>
      <c r="H131" s="85"/>
    </row>
    <row r="132" spans="4:8" ht="15">
      <c r="D132" s="81"/>
      <c r="E132" s="82"/>
      <c r="F132" s="3"/>
      <c r="G132" s="3"/>
      <c r="H132" s="53"/>
    </row>
    <row r="133" spans="1:8" ht="15">
      <c r="A133" s="66">
        <v>2011</v>
      </c>
      <c r="B133" s="71">
        <v>1</v>
      </c>
      <c r="C133" s="3" t="s">
        <v>39</v>
      </c>
      <c r="D133" s="81">
        <f>E129</f>
        <v>15000.643535657657</v>
      </c>
      <c r="E133" s="82">
        <f>D133</f>
        <v>15000.643535657657</v>
      </c>
      <c r="F133" s="98">
        <v>0.0147</v>
      </c>
      <c r="G133" s="82">
        <f aca="true" t="shared" si="32" ref="G133:G144">D133*F133/12</f>
        <v>18.37578833118063</v>
      </c>
      <c r="H133" s="83">
        <f>H130+G133</f>
        <v>4864.550330877205</v>
      </c>
    </row>
    <row r="134" spans="1:8" ht="15">
      <c r="A134" s="66">
        <v>2011</v>
      </c>
      <c r="B134" s="71">
        <v>2</v>
      </c>
      <c r="C134" s="3" t="s">
        <v>40</v>
      </c>
      <c r="D134" s="81">
        <f>E133</f>
        <v>15000.643535657657</v>
      </c>
      <c r="E134" s="82">
        <f>D134</f>
        <v>15000.643535657657</v>
      </c>
      <c r="F134" s="98">
        <v>0.0147</v>
      </c>
      <c r="G134" s="82">
        <f t="shared" si="32"/>
        <v>18.37578833118063</v>
      </c>
      <c r="H134" s="83">
        <f>H133+G134</f>
        <v>4882.926119208386</v>
      </c>
    </row>
    <row r="135" spans="1:8" ht="15">
      <c r="A135" s="66">
        <v>2011</v>
      </c>
      <c r="B135" s="71">
        <v>3</v>
      </c>
      <c r="C135" s="3" t="s">
        <v>41</v>
      </c>
      <c r="D135" s="81">
        <f aca="true" t="shared" si="33" ref="D135:D144">E134</f>
        <v>15000.643535657657</v>
      </c>
      <c r="E135" s="82">
        <f aca="true" t="shared" si="34" ref="E135:E144">D135</f>
        <v>15000.643535657657</v>
      </c>
      <c r="F135" s="98">
        <v>0.0147</v>
      </c>
      <c r="G135" s="82">
        <f t="shared" si="32"/>
        <v>18.37578833118063</v>
      </c>
      <c r="H135" s="83">
        <f aca="true" t="shared" si="35" ref="H135:H144">H134+G135</f>
        <v>4901.301907539567</v>
      </c>
    </row>
    <row r="136" spans="1:8" ht="15">
      <c r="A136" s="66">
        <v>2011</v>
      </c>
      <c r="B136" s="71">
        <v>4</v>
      </c>
      <c r="C136" s="3" t="s">
        <v>42</v>
      </c>
      <c r="D136" s="81">
        <f t="shared" si="33"/>
        <v>15000.643535657657</v>
      </c>
      <c r="E136" s="82">
        <f t="shared" si="34"/>
        <v>15000.643535657657</v>
      </c>
      <c r="F136" s="185">
        <v>0.0147</v>
      </c>
      <c r="G136" s="82">
        <f t="shared" si="32"/>
        <v>18.37578833118063</v>
      </c>
      <c r="H136" s="83">
        <f t="shared" si="35"/>
        <v>4919.677695870748</v>
      </c>
    </row>
    <row r="137" spans="1:8" ht="15">
      <c r="A137" s="66">
        <v>2011</v>
      </c>
      <c r="B137" s="71">
        <v>5</v>
      </c>
      <c r="C137" s="3" t="s">
        <v>35</v>
      </c>
      <c r="D137" s="81">
        <f t="shared" si="33"/>
        <v>15000.643535657657</v>
      </c>
      <c r="E137" s="82">
        <f t="shared" si="34"/>
        <v>15000.643535657657</v>
      </c>
      <c r="F137" s="185">
        <v>0.0147</v>
      </c>
      <c r="G137" s="82">
        <f t="shared" si="32"/>
        <v>18.37578833118063</v>
      </c>
      <c r="H137" s="83">
        <f t="shared" si="35"/>
        <v>4938.053484201929</v>
      </c>
    </row>
    <row r="138" spans="1:8" ht="15">
      <c r="A138" s="66">
        <v>2011</v>
      </c>
      <c r="B138" s="71">
        <v>6</v>
      </c>
      <c r="C138" s="3" t="s">
        <v>36</v>
      </c>
      <c r="D138" s="81">
        <f t="shared" si="33"/>
        <v>15000.643535657657</v>
      </c>
      <c r="E138" s="82">
        <f t="shared" si="34"/>
        <v>15000.643535657657</v>
      </c>
      <c r="F138" s="185">
        <v>0.0147</v>
      </c>
      <c r="G138" s="82">
        <f t="shared" si="32"/>
        <v>18.37578833118063</v>
      </c>
      <c r="H138" s="83">
        <f t="shared" si="35"/>
        <v>4956.42927253311</v>
      </c>
    </row>
    <row r="139" spans="1:8" ht="15">
      <c r="A139" s="66">
        <v>2011</v>
      </c>
      <c r="B139" s="71">
        <v>7</v>
      </c>
      <c r="C139" s="3" t="s">
        <v>44</v>
      </c>
      <c r="D139" s="81">
        <f t="shared" si="33"/>
        <v>15000.643535657657</v>
      </c>
      <c r="E139" s="82">
        <f t="shared" si="34"/>
        <v>15000.643535657657</v>
      </c>
      <c r="F139" s="185">
        <v>0.0147</v>
      </c>
      <c r="G139" s="82">
        <f t="shared" si="32"/>
        <v>18.37578833118063</v>
      </c>
      <c r="H139" s="83">
        <f t="shared" si="35"/>
        <v>4974.805060864291</v>
      </c>
    </row>
    <row r="140" spans="1:8" ht="15">
      <c r="A140" s="66">
        <v>2011</v>
      </c>
      <c r="B140" s="71">
        <v>8</v>
      </c>
      <c r="C140" s="3" t="s">
        <v>45</v>
      </c>
      <c r="D140" s="81">
        <f t="shared" si="33"/>
        <v>15000.643535657657</v>
      </c>
      <c r="E140" s="82">
        <f t="shared" si="34"/>
        <v>15000.643535657657</v>
      </c>
      <c r="F140" s="185">
        <v>0.0147</v>
      </c>
      <c r="G140" s="82">
        <f t="shared" si="32"/>
        <v>18.37578833118063</v>
      </c>
      <c r="H140" s="83">
        <f t="shared" si="35"/>
        <v>4993.180849195472</v>
      </c>
    </row>
    <row r="141" spans="1:8" ht="15">
      <c r="A141" s="66">
        <v>2011</v>
      </c>
      <c r="B141" s="71">
        <v>9</v>
      </c>
      <c r="C141" s="3" t="s">
        <v>68</v>
      </c>
      <c r="D141" s="81">
        <f t="shared" si="33"/>
        <v>15000.643535657657</v>
      </c>
      <c r="E141" s="82">
        <f t="shared" si="34"/>
        <v>15000.643535657657</v>
      </c>
      <c r="F141" s="185">
        <v>0.0147</v>
      </c>
      <c r="G141" s="82">
        <f t="shared" si="32"/>
        <v>18.37578833118063</v>
      </c>
      <c r="H141" s="83">
        <f t="shared" si="35"/>
        <v>5011.556637526653</v>
      </c>
    </row>
    <row r="142" spans="1:8" ht="15">
      <c r="A142" s="66">
        <v>2011</v>
      </c>
      <c r="B142" s="71">
        <v>10</v>
      </c>
      <c r="C142" s="3" t="s">
        <v>47</v>
      </c>
      <c r="D142" s="81">
        <f t="shared" si="33"/>
        <v>15000.643535657657</v>
      </c>
      <c r="E142" s="82">
        <f t="shared" si="34"/>
        <v>15000.643535657657</v>
      </c>
      <c r="F142" s="185">
        <v>0.0147</v>
      </c>
      <c r="G142" s="82">
        <f t="shared" si="32"/>
        <v>18.37578833118063</v>
      </c>
      <c r="H142" s="83">
        <f t="shared" si="35"/>
        <v>5029.932425857834</v>
      </c>
    </row>
    <row r="143" spans="1:8" ht="15">
      <c r="A143" s="66">
        <v>2011</v>
      </c>
      <c r="B143" s="71">
        <v>11</v>
      </c>
      <c r="C143" s="3" t="s">
        <v>48</v>
      </c>
      <c r="D143" s="81">
        <f t="shared" si="33"/>
        <v>15000.643535657657</v>
      </c>
      <c r="E143" s="82">
        <f t="shared" si="34"/>
        <v>15000.643535657657</v>
      </c>
      <c r="F143" s="185">
        <v>0.0147</v>
      </c>
      <c r="G143" s="82">
        <f t="shared" si="32"/>
        <v>18.37578833118063</v>
      </c>
      <c r="H143" s="83">
        <f t="shared" si="35"/>
        <v>5048.3082141890145</v>
      </c>
    </row>
    <row r="144" spans="1:8" ht="15">
      <c r="A144" s="66">
        <v>2011</v>
      </c>
      <c r="B144" s="71">
        <v>12</v>
      </c>
      <c r="C144" s="3" t="s">
        <v>49</v>
      </c>
      <c r="D144" s="81">
        <f t="shared" si="33"/>
        <v>15000.643535657657</v>
      </c>
      <c r="E144" s="82">
        <f t="shared" si="34"/>
        <v>15000.643535657657</v>
      </c>
      <c r="F144" s="185">
        <v>0.0147</v>
      </c>
      <c r="G144" s="82">
        <f t="shared" si="32"/>
        <v>18.37578833118063</v>
      </c>
      <c r="H144" s="83">
        <f t="shared" si="35"/>
        <v>5066.6840025201955</v>
      </c>
    </row>
    <row r="145" spans="1:8" ht="15">
      <c r="A145" s="51"/>
      <c r="B145" s="79"/>
      <c r="C145" s="79"/>
      <c r="D145" s="84"/>
      <c r="E145" s="80"/>
      <c r="F145" s="80"/>
      <c r="G145" s="80">
        <f>SUM(G133:G144)</f>
        <v>220.5094599741675</v>
      </c>
      <c r="H145" s="85"/>
    </row>
    <row r="146" spans="4:8" ht="15">
      <c r="D146" s="81"/>
      <c r="E146" s="82"/>
      <c r="F146" s="3"/>
      <c r="G146" s="3"/>
      <c r="H146" s="53"/>
    </row>
    <row r="147" spans="1:8" ht="15">
      <c r="A147" s="66">
        <v>2012</v>
      </c>
      <c r="B147" s="71">
        <v>1</v>
      </c>
      <c r="C147" s="3" t="s">
        <v>39</v>
      </c>
      <c r="D147" s="81">
        <f>E143</f>
        <v>15000.643535657657</v>
      </c>
      <c r="E147" s="82">
        <f>D147</f>
        <v>15000.643535657657</v>
      </c>
      <c r="F147" s="185">
        <v>0.0147</v>
      </c>
      <c r="G147" s="82">
        <f>D147*F147/12</f>
        <v>18.37578833118063</v>
      </c>
      <c r="H147" s="83">
        <f>H144+G147</f>
        <v>5085.059790851376</v>
      </c>
    </row>
    <row r="148" spans="1:8" ht="15">
      <c r="A148" s="66">
        <v>2012</v>
      </c>
      <c r="B148" s="71">
        <v>2</v>
      </c>
      <c r="C148" s="3" t="s">
        <v>40</v>
      </c>
      <c r="D148" s="81">
        <f>E147</f>
        <v>15000.643535657657</v>
      </c>
      <c r="E148" s="82">
        <f>D148</f>
        <v>15000.643535657657</v>
      </c>
      <c r="F148" s="185">
        <v>0.0147</v>
      </c>
      <c r="G148" s="82">
        <f>D148*F148/12</f>
        <v>18.37578833118063</v>
      </c>
      <c r="H148" s="83">
        <f>H147+G148</f>
        <v>5103.435579182557</v>
      </c>
    </row>
    <row r="149" spans="1:8" ht="15">
      <c r="A149" s="66">
        <v>2012</v>
      </c>
      <c r="B149" s="71">
        <v>3</v>
      </c>
      <c r="C149" s="3" t="s">
        <v>41</v>
      </c>
      <c r="D149" s="81">
        <f>E148</f>
        <v>15000.643535657657</v>
      </c>
      <c r="E149" s="82">
        <f>D149</f>
        <v>15000.643535657657</v>
      </c>
      <c r="F149" s="185">
        <v>0.0147</v>
      </c>
      <c r="G149" s="82">
        <f>D149*F149/12</f>
        <v>18.37578833118063</v>
      </c>
      <c r="H149" s="83">
        <f aca="true" t="shared" si="36" ref="H149:H158">H148+G149</f>
        <v>5121.811367513738</v>
      </c>
    </row>
    <row r="150" spans="1:8" ht="15">
      <c r="A150" s="66">
        <v>2012</v>
      </c>
      <c r="B150" s="71">
        <v>4</v>
      </c>
      <c r="C150" s="3" t="s">
        <v>42</v>
      </c>
      <c r="D150" s="81">
        <f>E149</f>
        <v>15000.643535657657</v>
      </c>
      <c r="E150" s="82">
        <f>D150</f>
        <v>15000.643535657657</v>
      </c>
      <c r="F150" s="185">
        <v>0.0147</v>
      </c>
      <c r="G150" s="82">
        <f>D150*F150/12</f>
        <v>18.37578833118063</v>
      </c>
      <c r="H150" s="83">
        <f t="shared" si="36"/>
        <v>5140.187155844919</v>
      </c>
    </row>
    <row r="151" spans="1:8" ht="15" hidden="1">
      <c r="A151" s="66">
        <v>2012</v>
      </c>
      <c r="B151" s="71">
        <v>5</v>
      </c>
      <c r="C151" s="3" t="s">
        <v>35</v>
      </c>
      <c r="D151" s="81">
        <v>0</v>
      </c>
      <c r="E151" s="82">
        <v>0</v>
      </c>
      <c r="F151" s="3"/>
      <c r="G151" s="82">
        <f aca="true" t="shared" si="37" ref="G151:G158">SUM(D151:F151)</f>
        <v>0</v>
      </c>
      <c r="H151" s="83">
        <f t="shared" si="36"/>
        <v>5140.187155844919</v>
      </c>
    </row>
    <row r="152" spans="1:8" ht="15" hidden="1">
      <c r="A152" s="66">
        <v>2012</v>
      </c>
      <c r="B152" s="71">
        <v>6</v>
      </c>
      <c r="C152" s="3" t="s">
        <v>36</v>
      </c>
      <c r="D152" s="81">
        <v>0</v>
      </c>
      <c r="E152" s="82">
        <v>0</v>
      </c>
      <c r="F152" s="3"/>
      <c r="G152" s="82">
        <f t="shared" si="37"/>
        <v>0</v>
      </c>
      <c r="H152" s="83">
        <f t="shared" si="36"/>
        <v>5140.187155844919</v>
      </c>
    </row>
    <row r="153" spans="1:8" ht="15" hidden="1">
      <c r="A153" s="66">
        <v>2012</v>
      </c>
      <c r="B153" s="71">
        <v>7</v>
      </c>
      <c r="C153" s="3" t="s">
        <v>44</v>
      </c>
      <c r="D153" s="81">
        <v>0</v>
      </c>
      <c r="E153" s="82">
        <v>0</v>
      </c>
      <c r="F153" s="3"/>
      <c r="G153" s="82">
        <f t="shared" si="37"/>
        <v>0</v>
      </c>
      <c r="H153" s="83">
        <f t="shared" si="36"/>
        <v>5140.187155844919</v>
      </c>
    </row>
    <row r="154" spans="1:8" ht="15" hidden="1">
      <c r="A154" s="66">
        <v>2012</v>
      </c>
      <c r="B154" s="71">
        <v>8</v>
      </c>
      <c r="C154" s="3" t="s">
        <v>45</v>
      </c>
      <c r="D154" s="81">
        <v>0</v>
      </c>
      <c r="E154" s="82">
        <v>0</v>
      </c>
      <c r="F154" s="3"/>
      <c r="G154" s="82">
        <f t="shared" si="37"/>
        <v>0</v>
      </c>
      <c r="H154" s="83">
        <f t="shared" si="36"/>
        <v>5140.187155844919</v>
      </c>
    </row>
    <row r="155" spans="1:8" ht="15" hidden="1">
      <c r="A155" s="66">
        <v>2012</v>
      </c>
      <c r="B155" s="71">
        <v>9</v>
      </c>
      <c r="C155" s="3" t="s">
        <v>68</v>
      </c>
      <c r="D155" s="81">
        <v>0</v>
      </c>
      <c r="E155" s="82">
        <v>0</v>
      </c>
      <c r="F155" s="3"/>
      <c r="G155" s="82">
        <f t="shared" si="37"/>
        <v>0</v>
      </c>
      <c r="H155" s="83">
        <f t="shared" si="36"/>
        <v>5140.187155844919</v>
      </c>
    </row>
    <row r="156" spans="1:8" ht="15" hidden="1">
      <c r="A156" s="66">
        <v>2012</v>
      </c>
      <c r="B156" s="71">
        <v>10</v>
      </c>
      <c r="C156" s="3" t="s">
        <v>47</v>
      </c>
      <c r="D156" s="81">
        <v>0</v>
      </c>
      <c r="E156" s="82">
        <v>0</v>
      </c>
      <c r="F156" s="3"/>
      <c r="G156" s="82">
        <f t="shared" si="37"/>
        <v>0</v>
      </c>
      <c r="H156" s="83">
        <f t="shared" si="36"/>
        <v>5140.187155844919</v>
      </c>
    </row>
    <row r="157" spans="1:8" ht="15" hidden="1">
      <c r="A157" s="66">
        <v>2012</v>
      </c>
      <c r="B157" s="71">
        <v>11</v>
      </c>
      <c r="C157" s="3" t="s">
        <v>48</v>
      </c>
      <c r="D157" s="81">
        <v>0</v>
      </c>
      <c r="E157" s="82">
        <v>0</v>
      </c>
      <c r="F157" s="3"/>
      <c r="G157" s="82">
        <f t="shared" si="37"/>
        <v>0</v>
      </c>
      <c r="H157" s="83">
        <f t="shared" si="36"/>
        <v>5140.187155844919</v>
      </c>
    </row>
    <row r="158" spans="1:8" ht="15" hidden="1">
      <c r="A158" s="66">
        <v>2012</v>
      </c>
      <c r="B158" s="71">
        <v>12</v>
      </c>
      <c r="C158" s="3" t="s">
        <v>49</v>
      </c>
      <c r="D158" s="81">
        <v>0</v>
      </c>
      <c r="E158" s="82">
        <v>0</v>
      </c>
      <c r="F158" s="3"/>
      <c r="G158" s="82">
        <f t="shared" si="37"/>
        <v>0</v>
      </c>
      <c r="H158" s="83">
        <f t="shared" si="36"/>
        <v>5140.187155844919</v>
      </c>
    </row>
    <row r="159" spans="1:8" ht="15">
      <c r="A159" s="51"/>
      <c r="B159" s="79"/>
      <c r="C159" s="79"/>
      <c r="D159" s="84"/>
      <c r="E159" s="80"/>
      <c r="F159" s="80"/>
      <c r="G159" s="80">
        <f>SUM(G147:G158)</f>
        <v>73.50315332472252</v>
      </c>
      <c r="H159" s="85"/>
    </row>
    <row r="161" spans="1:9" ht="15">
      <c r="A161" s="199" t="s">
        <v>107</v>
      </c>
      <c r="B161" s="200"/>
      <c r="C161" s="200"/>
      <c r="D161" s="201"/>
      <c r="E161" s="201"/>
      <c r="F161" s="200"/>
      <c r="G161" s="200"/>
      <c r="H161" s="201">
        <f>H65</f>
        <v>2801.9618447242806</v>
      </c>
      <c r="I161" s="200"/>
    </row>
    <row r="162" spans="1:9" ht="15">
      <c r="A162" s="66" t="s">
        <v>105</v>
      </c>
      <c r="B162" s="3"/>
      <c r="C162" s="3"/>
      <c r="D162" s="82"/>
      <c r="E162" s="82"/>
      <c r="F162" s="3"/>
      <c r="G162" s="3"/>
      <c r="H162" s="82">
        <f>H130-H65</f>
        <v>2044.2126978217434</v>
      </c>
      <c r="I162" s="3"/>
    </row>
    <row r="163" spans="1:9" ht="15">
      <c r="A163" s="66" t="s">
        <v>106</v>
      </c>
      <c r="B163" s="3"/>
      <c r="C163" s="3"/>
      <c r="D163" s="82"/>
      <c r="E163" s="82"/>
      <c r="F163" s="3"/>
      <c r="G163" s="3"/>
      <c r="H163" s="82">
        <f>H150-H130</f>
        <v>294.0126132988953</v>
      </c>
      <c r="I163" s="3"/>
    </row>
    <row r="164" spans="1:9" ht="15">
      <c r="A164" s="207" t="s">
        <v>108</v>
      </c>
      <c r="B164" s="208"/>
      <c r="C164" s="208"/>
      <c r="D164" s="209"/>
      <c r="E164" s="209"/>
      <c r="F164" s="208"/>
      <c r="G164" s="208"/>
      <c r="H164" s="209">
        <f>SUM(H161:H163)</f>
        <v>5140.187155844919</v>
      </c>
      <c r="I164" s="208"/>
    </row>
  </sheetData>
  <sheetProtection/>
  <printOptions/>
  <pageMargins left="0.2" right="0.2" top="1" bottom="0.75" header="0.3" footer="0.3"/>
  <pageSetup fitToHeight="3" fitToWidth="1" horizontalDpi="600" verticalDpi="600" orientation="portrait" scale="78" r:id="rId1"/>
  <headerFooter alignWithMargins="0">
    <oddHeader>&amp;C&amp;F&amp;A&amp;RWoodstock Hydro
EB-2011-0207
September 2011
</oddHeader>
    <oddFooter>&amp;C&amp;P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3">
      <selection activeCell="O38" sqref="O38"/>
    </sheetView>
  </sheetViews>
  <sheetFormatPr defaultColWidth="9.140625" defaultRowHeight="15"/>
  <cols>
    <col min="1" max="1" width="11.00390625" style="0" bestFit="1" customWidth="1"/>
    <col min="2" max="2" width="11.00390625" style="0" customWidth="1"/>
    <col min="3" max="3" width="11.00390625" style="0" bestFit="1" customWidth="1"/>
    <col min="4" max="4" width="14.00390625" style="0" customWidth="1"/>
    <col min="7" max="7" width="12.8515625" style="0" customWidth="1"/>
    <col min="8" max="8" width="9.8515625" style="0" customWidth="1"/>
    <col min="9" max="9" width="6.421875" style="0" bestFit="1" customWidth="1"/>
  </cols>
  <sheetData>
    <row r="1" spans="1:2" ht="15">
      <c r="A1" s="3"/>
      <c r="B1" s="3"/>
    </row>
    <row r="2" spans="1:10" ht="15">
      <c r="A2" s="88"/>
      <c r="B2" s="3"/>
      <c r="C2" s="3"/>
      <c r="D2" s="3"/>
      <c r="E2" s="3"/>
      <c r="F2" s="3"/>
      <c r="G2" s="3"/>
      <c r="H2" s="3"/>
      <c r="I2" s="3"/>
      <c r="J2" s="3"/>
    </row>
    <row r="3" spans="1:10" ht="45">
      <c r="A3" s="118" t="s">
        <v>30</v>
      </c>
      <c r="B3" s="118" t="s">
        <v>31</v>
      </c>
      <c r="C3" s="118" t="s">
        <v>0</v>
      </c>
      <c r="D3" s="118" t="s">
        <v>1</v>
      </c>
      <c r="E3" s="118" t="s">
        <v>8</v>
      </c>
      <c r="F3" s="118" t="s">
        <v>2</v>
      </c>
      <c r="G3" s="118" t="s">
        <v>111</v>
      </c>
      <c r="H3" s="118" t="s">
        <v>4</v>
      </c>
      <c r="I3" s="118" t="s">
        <v>50</v>
      </c>
      <c r="J3" s="20"/>
    </row>
    <row r="4" spans="1:9" ht="15">
      <c r="A4" s="36">
        <v>2002</v>
      </c>
      <c r="B4" s="36" t="s">
        <v>39</v>
      </c>
      <c r="C4" s="211">
        <f>'[2]6-2 DEMAND, RATES (Input)'!$H$16</f>
        <v>1516</v>
      </c>
      <c r="D4" s="211">
        <f>'[2]6-2 DEMAND, RATES (Input)'!$H$54</f>
        <v>279</v>
      </c>
      <c r="E4" s="36"/>
      <c r="F4" s="211">
        <f>'[2]6-2 DEMAND, RATES (Input)'!$H$66</f>
        <v>22</v>
      </c>
      <c r="G4" s="36">
        <v>1</v>
      </c>
      <c r="H4" s="211">
        <v>44</v>
      </c>
      <c r="I4" s="211">
        <f>'[2]6-2 DEMAND, RATES (Input)'!$H$103</f>
        <v>626</v>
      </c>
    </row>
    <row r="5" spans="1:9" ht="15">
      <c r="A5" s="36">
        <v>2002</v>
      </c>
      <c r="B5" s="36" t="s">
        <v>40</v>
      </c>
      <c r="C5" s="211">
        <f>'[2]6-2 DEMAND, RATES (Input)'!$H$16</f>
        <v>1516</v>
      </c>
      <c r="D5" s="211">
        <f>'[2]6-2 DEMAND, RATES (Input)'!$H$54</f>
        <v>279</v>
      </c>
      <c r="E5" s="36"/>
      <c r="F5" s="211">
        <f>'[2]6-2 DEMAND, RATES (Input)'!$H$66</f>
        <v>22</v>
      </c>
      <c r="G5" s="36">
        <v>1</v>
      </c>
      <c r="H5" s="211">
        <v>44</v>
      </c>
      <c r="I5" s="211">
        <f>'[2]6-2 DEMAND, RATES (Input)'!$H$103</f>
        <v>626</v>
      </c>
    </row>
    <row r="6" spans="1:9" ht="15">
      <c r="A6" s="110">
        <v>2002</v>
      </c>
      <c r="B6" s="110" t="s">
        <v>41</v>
      </c>
      <c r="C6" s="211">
        <f>'[2]6-2 DEMAND, RATES (Input)'!$H$16</f>
        <v>1516</v>
      </c>
      <c r="D6" s="211">
        <f>'[2]6-2 DEMAND, RATES (Input)'!$H$54</f>
        <v>279</v>
      </c>
      <c r="E6" s="36"/>
      <c r="F6" s="211">
        <f>'[2]6-2 DEMAND, RATES (Input)'!$H$66</f>
        <v>22</v>
      </c>
      <c r="G6" s="36">
        <v>1</v>
      </c>
      <c r="H6" s="211">
        <v>44</v>
      </c>
      <c r="I6" s="211">
        <f>'[2]6-2 DEMAND, RATES (Input)'!$H$103</f>
        <v>626</v>
      </c>
    </row>
    <row r="7" spans="1:9" ht="15">
      <c r="A7" s="110">
        <v>2002</v>
      </c>
      <c r="B7" s="110" t="s">
        <v>42</v>
      </c>
      <c r="C7" s="211">
        <f>'[2]6-2 DEMAND, RATES (Input)'!$H$16</f>
        <v>1516</v>
      </c>
      <c r="D7" s="211">
        <f>'[2]6-2 DEMAND, RATES (Input)'!$H$54</f>
        <v>279</v>
      </c>
      <c r="E7" s="36"/>
      <c r="F7" s="211">
        <f>'[2]6-2 DEMAND, RATES (Input)'!$H$66</f>
        <v>22</v>
      </c>
      <c r="G7" s="36">
        <v>1</v>
      </c>
      <c r="H7" s="211">
        <v>44</v>
      </c>
      <c r="I7" s="211">
        <f>'[2]6-2 DEMAND, RATES (Input)'!$H$103</f>
        <v>626</v>
      </c>
    </row>
    <row r="8" spans="1:9" ht="15">
      <c r="A8" s="110">
        <v>2002</v>
      </c>
      <c r="B8" s="110" t="s">
        <v>35</v>
      </c>
      <c r="C8" s="211">
        <f>'[2]6-2 DEMAND, RATES (Input)'!$H$16</f>
        <v>1516</v>
      </c>
      <c r="D8" s="211">
        <f>'[2]6-2 DEMAND, RATES (Input)'!$H$54</f>
        <v>279</v>
      </c>
      <c r="E8" s="36"/>
      <c r="F8" s="211">
        <f>'[2]6-2 DEMAND, RATES (Input)'!$H$66</f>
        <v>22</v>
      </c>
      <c r="G8" s="36">
        <v>1</v>
      </c>
      <c r="H8" s="211">
        <v>44</v>
      </c>
      <c r="I8" s="211">
        <f>'[2]6-2 DEMAND, RATES (Input)'!$H$103</f>
        <v>626</v>
      </c>
    </row>
    <row r="9" spans="1:9" ht="15">
      <c r="A9" s="110">
        <v>2002</v>
      </c>
      <c r="B9" s="110" t="s">
        <v>43</v>
      </c>
      <c r="C9" s="211">
        <f>'[2]6-2 DEMAND, RATES (Input)'!$H$16</f>
        <v>1516</v>
      </c>
      <c r="D9" s="211">
        <f>'[2]6-2 DEMAND, RATES (Input)'!$H$54</f>
        <v>279</v>
      </c>
      <c r="E9" s="36"/>
      <c r="F9" s="211">
        <f>'[2]6-2 DEMAND, RATES (Input)'!$H$66</f>
        <v>22</v>
      </c>
      <c r="G9" s="36">
        <v>1</v>
      </c>
      <c r="H9" s="211">
        <v>44</v>
      </c>
      <c r="I9" s="211">
        <f>'[2]6-2 DEMAND, RATES (Input)'!$H$103</f>
        <v>626</v>
      </c>
    </row>
    <row r="10" spans="1:9" ht="15">
      <c r="A10" s="110">
        <v>2002</v>
      </c>
      <c r="B10" s="110" t="s">
        <v>44</v>
      </c>
      <c r="C10" s="211">
        <f>'[2]6-2 DEMAND, RATES (Input)'!$H$16</f>
        <v>1516</v>
      </c>
      <c r="D10" s="211">
        <f>'[2]6-2 DEMAND, RATES (Input)'!$H$54</f>
        <v>279</v>
      </c>
      <c r="E10" s="36"/>
      <c r="F10" s="211">
        <f>'[2]6-2 DEMAND, RATES (Input)'!$H$66</f>
        <v>22</v>
      </c>
      <c r="G10" s="36">
        <v>1</v>
      </c>
      <c r="H10" s="211">
        <v>44</v>
      </c>
      <c r="I10" s="211">
        <f>'[2]6-2 DEMAND, RATES (Input)'!$H$103</f>
        <v>626</v>
      </c>
    </row>
    <row r="11" spans="1:9" ht="15">
      <c r="A11" s="110">
        <v>2002</v>
      </c>
      <c r="B11" s="110" t="s">
        <v>45</v>
      </c>
      <c r="C11" s="211">
        <f>'[2]6-2 DEMAND, RATES (Input)'!$H$16</f>
        <v>1516</v>
      </c>
      <c r="D11" s="211">
        <f>'[2]6-2 DEMAND, RATES (Input)'!$H$54</f>
        <v>279</v>
      </c>
      <c r="E11" s="36"/>
      <c r="F11" s="211">
        <f>'[2]6-2 DEMAND, RATES (Input)'!$H$66</f>
        <v>22</v>
      </c>
      <c r="G11" s="36">
        <v>1</v>
      </c>
      <c r="H11" s="211">
        <v>44</v>
      </c>
      <c r="I11" s="211">
        <f>'[2]6-2 DEMAND, RATES (Input)'!$H$103</f>
        <v>626</v>
      </c>
    </row>
    <row r="12" spans="1:9" ht="15">
      <c r="A12" s="110">
        <v>2002</v>
      </c>
      <c r="B12" s="110" t="s">
        <v>46</v>
      </c>
      <c r="C12" s="211">
        <f>'[2]6-2 DEMAND, RATES (Input)'!$H$16</f>
        <v>1516</v>
      </c>
      <c r="D12" s="211">
        <f>'[2]6-2 DEMAND, RATES (Input)'!$H$54</f>
        <v>279</v>
      </c>
      <c r="E12" s="36"/>
      <c r="F12" s="211">
        <f>'[2]6-2 DEMAND, RATES (Input)'!$H$66</f>
        <v>22</v>
      </c>
      <c r="G12" s="36">
        <v>1</v>
      </c>
      <c r="H12" s="211">
        <v>44</v>
      </c>
      <c r="I12" s="211">
        <f>'[2]6-2 DEMAND, RATES (Input)'!$H$103</f>
        <v>626</v>
      </c>
    </row>
    <row r="13" spans="1:9" ht="15">
      <c r="A13" s="110">
        <v>2002</v>
      </c>
      <c r="B13" s="110" t="s">
        <v>47</v>
      </c>
      <c r="C13" s="211">
        <f>'[2]6-2 DEMAND, RATES (Input)'!$H$16</f>
        <v>1516</v>
      </c>
      <c r="D13" s="211">
        <f>'[2]6-2 DEMAND, RATES (Input)'!$H$54</f>
        <v>279</v>
      </c>
      <c r="E13" s="36"/>
      <c r="F13" s="211">
        <f>'[2]6-2 DEMAND, RATES (Input)'!$H$66</f>
        <v>22</v>
      </c>
      <c r="G13" s="36">
        <v>1</v>
      </c>
      <c r="H13" s="211">
        <v>44</v>
      </c>
      <c r="I13" s="211">
        <f>'[2]6-2 DEMAND, RATES (Input)'!$H$103</f>
        <v>626</v>
      </c>
    </row>
    <row r="14" spans="1:9" ht="15">
      <c r="A14" s="110">
        <v>2002</v>
      </c>
      <c r="B14" s="110" t="s">
        <v>48</v>
      </c>
      <c r="C14" s="211">
        <f>'[2]6-2 DEMAND, RATES (Input)'!$H$16</f>
        <v>1516</v>
      </c>
      <c r="D14" s="211">
        <f>'[2]6-2 DEMAND, RATES (Input)'!$H$54</f>
        <v>279</v>
      </c>
      <c r="E14" s="36"/>
      <c r="F14" s="211">
        <f>'[2]6-2 DEMAND, RATES (Input)'!$H$66</f>
        <v>22</v>
      </c>
      <c r="G14" s="36">
        <v>1</v>
      </c>
      <c r="H14" s="211">
        <v>44</v>
      </c>
      <c r="I14" s="211">
        <f>'[2]6-2 DEMAND, RATES (Input)'!$H$103</f>
        <v>626</v>
      </c>
    </row>
    <row r="15" spans="1:9" ht="15">
      <c r="A15" s="110">
        <v>2002</v>
      </c>
      <c r="B15" s="110" t="s">
        <v>49</v>
      </c>
      <c r="C15" s="211">
        <f>'[2]6-2 DEMAND, RATES (Input)'!$H$16</f>
        <v>1516</v>
      </c>
      <c r="D15" s="211">
        <f>'[2]6-2 DEMAND, RATES (Input)'!$H$54</f>
        <v>279</v>
      </c>
      <c r="E15" s="36"/>
      <c r="F15" s="211">
        <f>'[2]6-2 DEMAND, RATES (Input)'!$H$66</f>
        <v>22</v>
      </c>
      <c r="G15" s="36">
        <v>1</v>
      </c>
      <c r="H15" s="211">
        <v>44</v>
      </c>
      <c r="I15" s="211">
        <f>'[2]6-2 DEMAND, RATES (Input)'!$H$103</f>
        <v>626</v>
      </c>
    </row>
    <row r="16" spans="1:9" ht="15">
      <c r="A16" s="110">
        <v>2002</v>
      </c>
      <c r="B16" s="110" t="s">
        <v>38</v>
      </c>
      <c r="C16" s="110"/>
      <c r="D16" s="110"/>
      <c r="E16" s="110"/>
      <c r="F16" s="110"/>
      <c r="G16" s="110"/>
      <c r="H16" s="110"/>
      <c r="I16" s="110"/>
    </row>
    <row r="17" spans="1:9" ht="15">
      <c r="A17" s="110">
        <v>2003</v>
      </c>
      <c r="B17" s="110" t="s">
        <v>39</v>
      </c>
      <c r="C17" s="212">
        <f>'[1]Summary'!$B$12</f>
        <v>1502</v>
      </c>
      <c r="D17" s="212">
        <f>'[1]Summary'!$B$16</f>
        <v>270</v>
      </c>
      <c r="E17" s="110"/>
      <c r="F17" s="212">
        <f>'[1]Summary'!$B$20</f>
        <v>21.5</v>
      </c>
      <c r="G17" s="110">
        <v>1</v>
      </c>
      <c r="H17" s="212">
        <v>44</v>
      </c>
      <c r="I17" s="212">
        <f>'[1]Summary'!$B$35</f>
        <v>621.5</v>
      </c>
    </row>
    <row r="18" spans="1:9" ht="15">
      <c r="A18" s="110">
        <v>2003</v>
      </c>
      <c r="B18" s="110" t="s">
        <v>40</v>
      </c>
      <c r="C18" s="212">
        <f>'[1]Summary'!$B$12</f>
        <v>1502</v>
      </c>
      <c r="D18" s="212">
        <f>'[1]Summary'!$B$16</f>
        <v>270</v>
      </c>
      <c r="E18" s="110"/>
      <c r="F18" s="212">
        <f>'[1]Summary'!$B$20</f>
        <v>21.5</v>
      </c>
      <c r="G18" s="110">
        <v>1</v>
      </c>
      <c r="H18" s="212">
        <v>44</v>
      </c>
      <c r="I18" s="212">
        <f>I17</f>
        <v>621.5</v>
      </c>
    </row>
    <row r="19" spans="1:9" ht="15">
      <c r="A19" s="110">
        <v>2003</v>
      </c>
      <c r="B19" s="110" t="s">
        <v>41</v>
      </c>
      <c r="C19" s="212">
        <f>'[1]Summary'!$B$12</f>
        <v>1502</v>
      </c>
      <c r="D19" s="212">
        <f>'[1]Summary'!$B$16</f>
        <v>270</v>
      </c>
      <c r="E19" s="110"/>
      <c r="F19" s="212">
        <f>'[1]Summary'!$B$20</f>
        <v>21.5</v>
      </c>
      <c r="G19" s="110">
        <v>1</v>
      </c>
      <c r="H19" s="212">
        <v>44</v>
      </c>
      <c r="I19" s="212">
        <f>I18</f>
        <v>621.5</v>
      </c>
    </row>
    <row r="20" spans="1:9" ht="15">
      <c r="A20" s="110">
        <v>2003</v>
      </c>
      <c r="B20" s="110" t="s">
        <v>42</v>
      </c>
      <c r="C20" s="212">
        <f>'[1]Summary'!$B$12</f>
        <v>1502</v>
      </c>
      <c r="D20" s="212">
        <f>'[1]Summary'!$B$16</f>
        <v>270</v>
      </c>
      <c r="E20" s="110"/>
      <c r="F20" s="212">
        <f>'[1]Summary'!$B$20</f>
        <v>21.5</v>
      </c>
      <c r="G20" s="110">
        <v>1</v>
      </c>
      <c r="H20" s="212">
        <v>44</v>
      </c>
      <c r="I20" s="212">
        <f aca="true" t="shared" si="0" ref="I20:I28">I19</f>
        <v>621.5</v>
      </c>
    </row>
    <row r="21" spans="1:9" ht="15">
      <c r="A21" s="110">
        <v>2003</v>
      </c>
      <c r="B21" s="110" t="s">
        <v>35</v>
      </c>
      <c r="C21" s="212">
        <f>'[1]Summary'!$B$12</f>
        <v>1502</v>
      </c>
      <c r="D21" s="212">
        <f>'[1]Summary'!$B$16</f>
        <v>270</v>
      </c>
      <c r="E21" s="110"/>
      <c r="F21" s="212">
        <f>'[1]Summary'!$B$20</f>
        <v>21.5</v>
      </c>
      <c r="G21" s="110">
        <v>1</v>
      </c>
      <c r="H21" s="212">
        <v>44</v>
      </c>
      <c r="I21" s="212">
        <f t="shared" si="0"/>
        <v>621.5</v>
      </c>
    </row>
    <row r="22" spans="1:9" ht="15">
      <c r="A22" s="110">
        <v>2003</v>
      </c>
      <c r="B22" s="110" t="s">
        <v>43</v>
      </c>
      <c r="C22" s="212">
        <f>'[1]Summary'!$B$12</f>
        <v>1502</v>
      </c>
      <c r="D22" s="212">
        <f>'[1]Summary'!$B$16</f>
        <v>270</v>
      </c>
      <c r="E22" s="110"/>
      <c r="F22" s="212">
        <f>'[1]Summary'!$B$20</f>
        <v>21.5</v>
      </c>
      <c r="G22" s="110">
        <v>1</v>
      </c>
      <c r="H22" s="212">
        <v>44</v>
      </c>
      <c r="I22" s="212">
        <f t="shared" si="0"/>
        <v>621.5</v>
      </c>
    </row>
    <row r="23" spans="1:9" ht="15">
      <c r="A23" s="110">
        <v>2003</v>
      </c>
      <c r="B23" s="110" t="s">
        <v>44</v>
      </c>
      <c r="C23" s="212">
        <f>'[1]Summary'!$B$12</f>
        <v>1502</v>
      </c>
      <c r="D23" s="212">
        <f>'[1]Summary'!$B$16</f>
        <v>270</v>
      </c>
      <c r="E23" s="110"/>
      <c r="F23" s="212">
        <f>'[1]Summary'!$B$20</f>
        <v>21.5</v>
      </c>
      <c r="G23" s="110">
        <v>1</v>
      </c>
      <c r="H23" s="212">
        <v>44</v>
      </c>
      <c r="I23" s="212">
        <f t="shared" si="0"/>
        <v>621.5</v>
      </c>
    </row>
    <row r="24" spans="1:9" ht="15">
      <c r="A24" s="110">
        <v>2003</v>
      </c>
      <c r="B24" s="110" t="s">
        <v>45</v>
      </c>
      <c r="C24" s="212">
        <f>'[1]Summary'!$B$12</f>
        <v>1502</v>
      </c>
      <c r="D24" s="212">
        <f>'[1]Summary'!$B$16</f>
        <v>270</v>
      </c>
      <c r="E24" s="110"/>
      <c r="F24" s="212">
        <f>'[1]Summary'!$B$20</f>
        <v>21.5</v>
      </c>
      <c r="G24" s="110">
        <v>1</v>
      </c>
      <c r="H24" s="212">
        <v>44</v>
      </c>
      <c r="I24" s="212">
        <f t="shared" si="0"/>
        <v>621.5</v>
      </c>
    </row>
    <row r="25" spans="1:9" ht="15">
      <c r="A25" s="110">
        <v>2003</v>
      </c>
      <c r="B25" s="110" t="s">
        <v>46</v>
      </c>
      <c r="C25" s="212">
        <f>'[1]Summary'!$B$12</f>
        <v>1502</v>
      </c>
      <c r="D25" s="212">
        <f>'[1]Summary'!$B$16</f>
        <v>270</v>
      </c>
      <c r="E25" s="110"/>
      <c r="F25" s="212">
        <f>'[1]Summary'!$B$20</f>
        <v>21.5</v>
      </c>
      <c r="G25" s="110">
        <v>1</v>
      </c>
      <c r="H25" s="212">
        <v>44</v>
      </c>
      <c r="I25" s="212">
        <f t="shared" si="0"/>
        <v>621.5</v>
      </c>
    </row>
    <row r="26" spans="1:9" ht="15">
      <c r="A26" s="110">
        <v>2003</v>
      </c>
      <c r="B26" s="110" t="s">
        <v>47</v>
      </c>
      <c r="C26" s="212">
        <f>'[1]Summary'!$B$12</f>
        <v>1502</v>
      </c>
      <c r="D26" s="212">
        <f>'[1]Summary'!$B$16</f>
        <v>270</v>
      </c>
      <c r="E26" s="110"/>
      <c r="F26" s="212">
        <f>'[1]Summary'!$B$20</f>
        <v>21.5</v>
      </c>
      <c r="G26" s="110">
        <v>1</v>
      </c>
      <c r="H26" s="212">
        <v>44</v>
      </c>
      <c r="I26" s="212">
        <f t="shared" si="0"/>
        <v>621.5</v>
      </c>
    </row>
    <row r="27" spans="1:9" ht="15">
      <c r="A27" s="110">
        <v>2003</v>
      </c>
      <c r="B27" s="110" t="s">
        <v>48</v>
      </c>
      <c r="C27" s="212">
        <f>'[1]Summary'!$B$12</f>
        <v>1502</v>
      </c>
      <c r="D27" s="212">
        <f>'[1]Summary'!$B$16</f>
        <v>270</v>
      </c>
      <c r="E27" s="110"/>
      <c r="F27" s="212">
        <f>'[1]Summary'!$B$20</f>
        <v>21.5</v>
      </c>
      <c r="G27" s="110">
        <v>1</v>
      </c>
      <c r="H27" s="212">
        <v>44</v>
      </c>
      <c r="I27" s="212">
        <f t="shared" si="0"/>
        <v>621.5</v>
      </c>
    </row>
    <row r="28" spans="1:9" ht="15">
      <c r="A28" s="111">
        <v>2003</v>
      </c>
      <c r="B28" s="111" t="s">
        <v>49</v>
      </c>
      <c r="C28" s="212">
        <f>'[1]Summary'!$B$12</f>
        <v>1502</v>
      </c>
      <c r="D28" s="212">
        <f>'[1]Summary'!$B$16</f>
        <v>270</v>
      </c>
      <c r="E28" s="110"/>
      <c r="F28" s="212">
        <f>'[1]Summary'!$B$20</f>
        <v>21.5</v>
      </c>
      <c r="G28" s="110">
        <v>1</v>
      </c>
      <c r="H28" s="212">
        <v>44</v>
      </c>
      <c r="I28" s="212">
        <f t="shared" si="0"/>
        <v>621.5</v>
      </c>
    </row>
    <row r="29" spans="1:9" ht="15">
      <c r="A29" s="110">
        <v>2004</v>
      </c>
      <c r="B29" s="110" t="s">
        <v>39</v>
      </c>
      <c r="C29" s="212">
        <f>'[1]Summary'!$C$12</f>
        <v>1481.5</v>
      </c>
      <c r="D29" s="212">
        <f>'[1]Summary'!$C$16</f>
        <v>254.5</v>
      </c>
      <c r="E29" s="110"/>
      <c r="F29" s="212">
        <f>'[1]Summary'!$C$20</f>
        <v>21</v>
      </c>
      <c r="G29" s="110">
        <v>1</v>
      </c>
      <c r="H29" s="212">
        <v>44</v>
      </c>
      <c r="I29" s="212">
        <f>'[1]Summary'!$C$35</f>
        <v>617.5</v>
      </c>
    </row>
    <row r="30" spans="1:9" ht="15">
      <c r="A30" s="110">
        <v>2004</v>
      </c>
      <c r="B30" s="110" t="s">
        <v>40</v>
      </c>
      <c r="C30" s="212">
        <f>'[1]Summary'!$C$12</f>
        <v>1481.5</v>
      </c>
      <c r="D30" s="212">
        <f>'[1]Summary'!$C$16</f>
        <v>254.5</v>
      </c>
      <c r="E30" s="110"/>
      <c r="F30" s="212">
        <f>'[1]Summary'!$C$20</f>
        <v>21</v>
      </c>
      <c r="G30" s="110">
        <v>1</v>
      </c>
      <c r="H30" s="212">
        <v>44</v>
      </c>
      <c r="I30" s="212">
        <f>I29</f>
        <v>617.5</v>
      </c>
    </row>
    <row r="31" spans="1:9" ht="15">
      <c r="A31" s="112">
        <v>2004</v>
      </c>
      <c r="B31" s="112" t="s">
        <v>41</v>
      </c>
      <c r="C31" s="212">
        <f>'[1]Summary'!$C$12</f>
        <v>1481.5</v>
      </c>
      <c r="D31" s="212">
        <f>'[1]Summary'!$C$16</f>
        <v>254.5</v>
      </c>
      <c r="E31" s="112"/>
      <c r="F31" s="212">
        <f>'[1]Summary'!$C$20</f>
        <v>21</v>
      </c>
      <c r="G31" s="112">
        <v>1</v>
      </c>
      <c r="H31" s="212">
        <v>44</v>
      </c>
      <c r="I31" s="212">
        <f>I30</f>
        <v>617.5</v>
      </c>
    </row>
    <row r="32" spans="1:9" ht="15">
      <c r="A32" s="113"/>
      <c r="B32" s="113"/>
      <c r="C32" s="113"/>
      <c r="D32" s="113"/>
      <c r="E32" s="113"/>
      <c r="F32" s="113"/>
      <c r="G32" s="113"/>
      <c r="H32" s="113"/>
      <c r="I32" s="113"/>
    </row>
  </sheetData>
  <sheetProtection/>
  <printOptions/>
  <pageMargins left="0.7" right="0.7" top="0.75" bottom="0.75" header="0.3" footer="0.3"/>
  <pageSetup fitToHeight="1" fitToWidth="1" horizontalDpi="600" verticalDpi="600" orientation="portrait" scale="98" r:id="rId1"/>
  <headerFooter alignWithMargins="0">
    <oddHeader>&amp;C&amp;F&amp;A&amp;RWoodstock Hydro
EB-2011-0207
September 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peitel</dc:creator>
  <cp:keywords/>
  <dc:description/>
  <cp:lastModifiedBy>bbacon</cp:lastModifiedBy>
  <cp:lastPrinted>2011-09-17T01:00:43Z</cp:lastPrinted>
  <dcterms:created xsi:type="dcterms:W3CDTF">2011-09-05T15:48:41Z</dcterms:created>
  <dcterms:modified xsi:type="dcterms:W3CDTF">2011-11-19T11:22:42Z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