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05" windowHeight="5655" activeTab="0"/>
  </bookViews>
  <sheets>
    <sheet name="Variance Calc" sheetId="1" r:id="rId1"/>
    <sheet name="Cons Stats" sheetId="2" r:id="rId2"/>
    <sheet name="Sheet3" sheetId="3" r:id="rId3"/>
  </sheets>
  <definedNames>
    <definedName name="_xlnm.Print_Area" localSheetId="1">'Cons Stats'!$A$1:$T$56</definedName>
    <definedName name="_xlnm.Print_Area" localSheetId="0">'Variance Calc'!$A$1:$AF$62</definedName>
  </definedNames>
  <calcPr fullCalcOnLoad="1"/>
</workbook>
</file>

<file path=xl/sharedStrings.xml><?xml version="1.0" encoding="utf-8"?>
<sst xmlns="http://schemas.openxmlformats.org/spreadsheetml/2006/main" count="246" uniqueCount="147">
  <si>
    <t>Res</t>
  </si>
  <si>
    <t>&lt; 50kW</t>
  </si>
  <si>
    <t>&gt; 50kW</t>
  </si>
  <si>
    <t>Total</t>
  </si>
  <si>
    <t>Street Lights</t>
  </si>
  <si>
    <t>&gt; 50 TOU</t>
  </si>
  <si>
    <t>Volum kwh</t>
  </si>
  <si>
    <t>Volum kW</t>
  </si>
  <si>
    <t>Serv Chg / Customer / Month</t>
  </si>
  <si>
    <t>PILS BILLED</t>
  </si>
  <si>
    <t>PILS APPROVED</t>
  </si>
  <si>
    <t>Approved</t>
  </si>
  <si>
    <t>Balance in 1562</t>
  </si>
  <si>
    <t>Entry 1</t>
  </si>
  <si>
    <t>Entry 3a done thru Billing</t>
  </si>
  <si>
    <t>Entry 3b</t>
  </si>
  <si>
    <t>SC Component</t>
  </si>
  <si>
    <t>Vol Component</t>
  </si>
  <si>
    <t>Entry 4.</t>
  </si>
  <si>
    <t>Cumulative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</si>
  <si>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</si>
  <si>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</si>
  <si>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</si>
  <si>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</si>
  <si>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</si>
  <si>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</si>
  <si>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</si>
  <si>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</si>
  <si>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</si>
  <si>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Carrying Charges</t>
  </si>
  <si>
    <t xml:space="preserve">  Account Balance</t>
  </si>
  <si>
    <t>DR 1562 Deferred PILS</t>
  </si>
  <si>
    <t xml:space="preserve">            CR 1563 Deferred PILS contra account - recovery of PILS</t>
  </si>
  <si>
    <t>DR 1563 Deferred PILS contra account - recovery of PILS</t>
  </si>
  <si>
    <t xml:space="preserve">            CR 1562 Deferred PILS</t>
  </si>
  <si>
    <t>DR 1562-sub acct  PILS Interest Receivable</t>
  </si>
  <si>
    <t xml:space="preserve">                  CR 1563-sub acct  Interest contra acct</t>
  </si>
  <si>
    <t>Large User</t>
  </si>
  <si>
    <t>Unmetered</t>
  </si>
  <si>
    <t xml:space="preserve"> </t>
  </si>
  <si>
    <t>Tot Kwh</t>
  </si>
  <si>
    <t xml:space="preserve">COLLUS Power Corp calcuation of  monthly PILS variance during 2003 </t>
  </si>
  <si>
    <t>Filename - 1562 Pils Variance 2003 COLLUS</t>
  </si>
  <si>
    <t>MONTH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</si>
  <si>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</si>
  <si>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</si>
  <si>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</si>
  <si>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</si>
  <si>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</si>
  <si>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</si>
  <si>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</si>
  <si>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</si>
  <si>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</si>
  <si>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</si>
  <si>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</si>
  <si>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</si>
  <si>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</si>
  <si>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0N01 Res</t>
  </si>
  <si>
    <t>0N02&lt;50</t>
  </si>
  <si>
    <t>0N03&gt;50 NI</t>
  </si>
  <si>
    <t>0N04&gt;50 I</t>
  </si>
  <si>
    <t>0N011&gt;1M</t>
  </si>
  <si>
    <t>0N21&gt;LU</t>
  </si>
  <si>
    <t>0N30UNM</t>
  </si>
  <si>
    <t>RAB Res</t>
  </si>
  <si>
    <t>Summary</t>
  </si>
  <si>
    <t>Sheet</t>
  </si>
  <si>
    <t>Difference</t>
  </si>
  <si>
    <t>SChrg 10</t>
  </si>
  <si>
    <t>Basic 30</t>
  </si>
  <si>
    <t>RAB TH</t>
  </si>
  <si>
    <t>003&gt;50 D</t>
  </si>
  <si>
    <t>004&gt;50 D</t>
  </si>
  <si>
    <t>0011&gt;1M</t>
  </si>
  <si>
    <t>0021 LU</t>
  </si>
  <si>
    <t>0RAJ&gt;50</t>
  </si>
  <si>
    <t>REK&gt;50</t>
  </si>
  <si>
    <t>RES</t>
  </si>
  <si>
    <t>M + O</t>
  </si>
  <si>
    <t>GS&lt;50</t>
  </si>
  <si>
    <t>Total #</t>
  </si>
  <si>
    <t>of bills</t>
  </si>
  <si>
    <t>N</t>
  </si>
  <si>
    <t>LU</t>
  </si>
  <si>
    <t>S</t>
  </si>
  <si>
    <t>1 M</t>
  </si>
  <si>
    <t>R</t>
  </si>
  <si>
    <t>GS&gt;50</t>
  </si>
  <si>
    <t>V - W:Z</t>
  </si>
  <si>
    <t>KWHS</t>
  </si>
  <si>
    <t>TOTAL KWH CONSUMPTION - RES &amp; Gs&lt;50 USED FOR VOLUMETRIC CHARGE</t>
  </si>
  <si>
    <t>TOTAL # OF BILLS USED TO CALCULATE SERVICE CHARGE</t>
  </si>
  <si>
    <t>Schrg 10</t>
  </si>
  <si>
    <t>TOTAL DEMAND ( KW) USED FOR VOLUMETRIC CHARGE</t>
  </si>
  <si>
    <t>011 1M</t>
  </si>
  <si>
    <t>021 LU</t>
  </si>
  <si>
    <t>RA&gt;50</t>
  </si>
  <si>
    <t>RE&gt;50</t>
  </si>
  <si>
    <t>Total &gt;50</t>
  </si>
  <si>
    <t>KW</t>
  </si>
  <si>
    <t>(Bold &amp; Italic figures are used for Variance Calc worksheet)</t>
  </si>
  <si>
    <t>(1M Cust)</t>
  </si>
  <si>
    <t>SC Billed &amp; Volume</t>
  </si>
  <si>
    <t>(# of Bills, kWh&amp;kW)</t>
  </si>
  <si>
    <t>Total Pils Charge</t>
  </si>
  <si>
    <t>Serv Chg / Connection / Month</t>
  </si>
  <si>
    <t>KWHs</t>
  </si>
  <si>
    <t>St. Light</t>
  </si>
  <si>
    <t>kWhs</t>
  </si>
  <si>
    <t>St. light Cg</t>
  </si>
  <si>
    <t xml:space="preserve"># of </t>
  </si>
  <si>
    <t>connection</t>
  </si>
  <si>
    <t>St. Lig Dem</t>
  </si>
  <si>
    <t>Interest Calculation on cumulative monthly balances (Ending balance from Dec. 31/02 carrired forward into Jan. as starting point)</t>
  </si>
  <si>
    <t>Balance in 1562 for the end of the month</t>
  </si>
  <si>
    <t>Jan  (Beg. 132443.42 + H37)</t>
  </si>
  <si>
    <t>Feb. (Cumul last month +J37)</t>
  </si>
  <si>
    <t>March</t>
  </si>
  <si>
    <t xml:space="preserve">RA &lt;50 </t>
  </si>
  <si>
    <t>RA&lt;50</t>
  </si>
  <si>
    <t>PILS portion of rate</t>
  </si>
  <si>
    <t>(PILS amount per month)</t>
  </si>
  <si>
    <t>Rate approval for yearly amount of $321990 divide by 12 for monthly</t>
  </si>
  <si>
    <t>PILS Variance Account - 1562 calculation</t>
  </si>
  <si>
    <t>PILS rate portion</t>
  </si>
  <si>
    <t>Balance in 1562 at Dec. 31/03</t>
  </si>
  <si>
    <t>plus interest from 2002 &amp; 03</t>
  </si>
  <si>
    <t>MONTHLY CONSUMPTION DATA ( before loss adjustment ) to CALCULATE PILS VARIANCE</t>
  </si>
  <si>
    <t>SChrg 11</t>
  </si>
  <si>
    <t xml:space="preserve">Total of </t>
  </si>
  <si>
    <t xml:space="preserve">Bold &amp; </t>
  </si>
  <si>
    <t>Italic #'s</t>
  </si>
  <si>
    <t>Bold &amp;</t>
  </si>
  <si>
    <t>All Bold &amp;</t>
  </si>
  <si>
    <t>Italic lines</t>
  </si>
  <si>
    <t>*see note</t>
  </si>
  <si>
    <t>Note:  Beginning a/c balance no int.</t>
  </si>
  <si>
    <t>January Note</t>
  </si>
  <si>
    <t>Jan-Dec.</t>
  </si>
  <si>
    <t>This matches  with the 'Totals' column variance to cross-check numbers</t>
  </si>
  <si>
    <t>Corrected in July 2004 for interest correction from 2002</t>
  </si>
  <si>
    <t>2002 $11,623.35  and 2003 $3,853.34</t>
  </si>
  <si>
    <t>Recorded at yearend as 41,965.81.  Error not corrected at yearend because impacts balance sheet accounts only. Correction to interest for 2003 reduces overall impact.</t>
  </si>
  <si>
    <t>NOTES FOR PILs 2011 REVIEW</t>
  </si>
  <si>
    <t>1. The PILs portion of Distribution Service Rates is the same so the 2001 + 2002 portions are added together and Total used in calc</t>
  </si>
  <si>
    <t xml:space="preserve">2. The Cons Stats worksheet is the monthly customer and volumetric usage detail. </t>
  </si>
  <si>
    <t>3. The Total PILs portion of service charge and volumetric is combined with the monthly statistics to determine the PILs recovery.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</si>
</sst>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%"/>
    <numFmt numFmtId="170" formatCode="0.0000%"/>
    <numFmt numFmtId="171" formatCode="0.00000%"/>
    <numFmt numFmtId="172" formatCode="0.0000E+00"/>
    <numFmt numFmtId="173" formatCode="0.000E+00"/>
    <numFmt numFmtId="174" formatCode="0.0E+00"/>
    <numFmt numFmtId="175" formatCode="0E+00"/>
    <numFmt numFmtId="176" formatCode="0.0"/>
    <numFmt numFmtId="177" formatCode="0.0000"/>
    <numFmt numFmtId="178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4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4" fontId="1" fillId="33" borderId="0" xfId="44" applyFont="1" applyFill="1" applyAlignment="1">
      <alignment/>
    </xf>
    <xf numFmtId="171" fontId="0" fillId="0" borderId="0" xfId="59" applyNumberFormat="1" applyFont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Border="1" applyAlignment="1">
      <alignment/>
    </xf>
    <xf numFmtId="44" fontId="0" fillId="33" borderId="0" xfId="44" applyFont="1" applyFill="1" applyAlignment="1">
      <alignment/>
    </xf>
    <xf numFmtId="0" fontId="0" fillId="33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8" fontId="0" fillId="0" borderId="0" xfId="59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0" fontId="46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0" fillId="10" borderId="0" xfId="0" applyFont="1" applyFill="1" applyAlignment="1">
      <alignment/>
    </xf>
    <xf numFmtId="43" fontId="0" fillId="10" borderId="0" xfId="42" applyFont="1" applyFill="1" applyAlignment="1">
      <alignment/>
    </xf>
    <xf numFmtId="0" fontId="1" fillId="10" borderId="0" xfId="0" applyFont="1" applyFill="1" applyAlignment="1">
      <alignment/>
    </xf>
    <xf numFmtId="165" fontId="47" fillId="10" borderId="0" xfId="0" applyNumberFormat="1" applyFont="1" applyFill="1" applyAlignment="1">
      <alignment/>
    </xf>
    <xf numFmtId="0" fontId="47" fillId="10" borderId="0" xfId="0" applyFont="1" applyFill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47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47" fillId="10" borderId="17" xfId="0" applyFont="1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47" fillId="10" borderId="0" xfId="0" applyFont="1" applyFill="1" applyAlignment="1">
      <alignment horizontal="center"/>
    </xf>
    <xf numFmtId="44" fontId="46" fillId="10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2"/>
  <sheetViews>
    <sheetView tabSelected="1" zoomScale="75" zoomScaleNormal="75" zoomScalePageLayoutView="0" workbookViewId="0" topLeftCell="A1">
      <pane xSplit="2" topLeftCell="L1" activePane="topRight" state="frozen"/>
      <selection pane="topLeft" activeCell="A1" sqref="A1"/>
      <selection pane="topRight" activeCell="G30" sqref="G30:AD31"/>
    </sheetView>
  </sheetViews>
  <sheetFormatPr defaultColWidth="9.140625" defaultRowHeight="12.75"/>
  <cols>
    <col min="2" max="2" width="11.57421875" style="0" bestFit="1" customWidth="1"/>
    <col min="3" max="3" width="25.57421875" style="0" bestFit="1" customWidth="1"/>
    <col min="4" max="4" width="16.57421875" style="0" customWidth="1"/>
    <col min="5" max="5" width="14.140625" style="0" customWidth="1"/>
    <col min="6" max="6" width="17.8515625" style="0" customWidth="1"/>
    <col min="7" max="7" width="17.28125" style="0" customWidth="1"/>
    <col min="8" max="8" width="14.57421875" style="0" bestFit="1" customWidth="1"/>
    <col min="9" max="10" width="13.7109375" style="0" customWidth="1"/>
    <col min="11" max="11" width="12.28125" style="0" customWidth="1"/>
    <col min="12" max="12" width="13.421875" style="0" customWidth="1"/>
    <col min="13" max="13" width="12.57421875" style="0" customWidth="1"/>
    <col min="14" max="14" width="13.00390625" style="0" customWidth="1"/>
    <col min="15" max="15" width="12.421875" style="0" customWidth="1"/>
    <col min="16" max="16" width="12.57421875" style="0" customWidth="1"/>
    <col min="17" max="17" width="12.7109375" style="0" customWidth="1"/>
    <col min="18" max="18" width="13.00390625" style="0" customWidth="1"/>
    <col min="19" max="19" width="13.57421875" style="0" customWidth="1"/>
    <col min="20" max="20" width="13.8515625" style="0" customWidth="1"/>
    <col min="21" max="21" width="12.57421875" style="0" customWidth="1"/>
    <col min="22" max="22" width="12.8515625" style="0" customWidth="1"/>
    <col min="23" max="23" width="13.140625" style="0" customWidth="1"/>
    <col min="24" max="24" width="12.28125" style="0" customWidth="1"/>
    <col min="25" max="26" width="13.28125" style="0" customWidth="1"/>
    <col min="27" max="27" width="12.57421875" style="0" customWidth="1"/>
    <col min="28" max="29" width="13.00390625" style="0" customWidth="1"/>
    <col min="30" max="30" width="12.8515625" style="0" customWidth="1"/>
    <col min="31" max="31" width="13.57421875" style="0" customWidth="1"/>
    <col min="32" max="32" width="13.7109375" style="0" customWidth="1"/>
  </cols>
  <sheetData>
    <row r="2" spans="3:19" s="38" customFormat="1" ht="23.25">
      <c r="C2" s="38" t="s">
        <v>41</v>
      </c>
      <c r="L2" s="38" t="s">
        <v>42</v>
      </c>
      <c r="S2" s="38" t="s">
        <v>140</v>
      </c>
    </row>
    <row r="3" spans="7:32" s="39" customFormat="1" ht="18">
      <c r="G3" s="40">
        <v>37622</v>
      </c>
      <c r="H3" s="40">
        <v>37622</v>
      </c>
      <c r="I3" s="40">
        <v>37653</v>
      </c>
      <c r="J3" s="40">
        <v>37653</v>
      </c>
      <c r="K3" s="40">
        <v>37681</v>
      </c>
      <c r="L3" s="40">
        <v>37681</v>
      </c>
      <c r="M3" s="40">
        <v>37712</v>
      </c>
      <c r="N3" s="40">
        <v>37712</v>
      </c>
      <c r="O3" s="40">
        <v>37742</v>
      </c>
      <c r="P3" s="40">
        <v>37742</v>
      </c>
      <c r="Q3" s="40">
        <v>37773</v>
      </c>
      <c r="R3" s="40">
        <v>37773</v>
      </c>
      <c r="S3" s="40">
        <v>37803</v>
      </c>
      <c r="T3" s="40">
        <v>37803</v>
      </c>
      <c r="U3" s="40">
        <v>37834</v>
      </c>
      <c r="V3" s="40">
        <v>37834</v>
      </c>
      <c r="W3" s="40">
        <v>37865</v>
      </c>
      <c r="X3" s="40">
        <v>37865</v>
      </c>
      <c r="Y3" s="40">
        <v>37895</v>
      </c>
      <c r="Z3" s="40">
        <v>37895</v>
      </c>
      <c r="AA3" s="40">
        <v>37926</v>
      </c>
      <c r="AB3" s="40">
        <v>37926</v>
      </c>
      <c r="AC3" s="40">
        <v>37956</v>
      </c>
      <c r="AD3" s="40">
        <v>37956</v>
      </c>
      <c r="AE3" s="46" t="s">
        <v>56</v>
      </c>
      <c r="AF3" s="46" t="s">
        <v>56</v>
      </c>
    </row>
    <row r="4" spans="1:8" ht="15.75">
      <c r="A4" s="48" t="s">
        <v>123</v>
      </c>
      <c r="B4" s="49"/>
      <c r="C4" s="49"/>
      <c r="D4" s="50" t="s">
        <v>120</v>
      </c>
      <c r="E4" s="50" t="s">
        <v>124</v>
      </c>
      <c r="F4" s="49"/>
      <c r="G4" t="s">
        <v>102</v>
      </c>
      <c r="H4" t="s">
        <v>104</v>
      </c>
    </row>
    <row r="5" spans="1:7" ht="12.75">
      <c r="A5" s="49"/>
      <c r="B5" s="49"/>
      <c r="C5" s="49"/>
      <c r="D5" s="49">
        <v>2001</v>
      </c>
      <c r="E5" s="49">
        <v>2002</v>
      </c>
      <c r="F5" s="68" t="s">
        <v>3</v>
      </c>
      <c r="G5" t="s">
        <v>103</v>
      </c>
    </row>
    <row r="6" spans="1:32" ht="12.75">
      <c r="A6" s="49"/>
      <c r="B6" s="49" t="s">
        <v>0</v>
      </c>
      <c r="C6" s="49" t="s">
        <v>8</v>
      </c>
      <c r="D6" s="49">
        <v>0.1989</v>
      </c>
      <c r="E6" s="49">
        <v>0.6972</v>
      </c>
      <c r="F6" s="56">
        <f>SUM(D6:E6)</f>
        <v>0.8961</v>
      </c>
      <c r="G6" s="3">
        <f>SUM('Cons Stats'!M25)</f>
        <v>14315.829396325458</v>
      </c>
      <c r="H6" s="2">
        <f>G6*F6</f>
        <v>12828.414722047242</v>
      </c>
      <c r="I6" s="3">
        <f>SUM('Cons Stats'!M26)</f>
        <v>11485.409448818897</v>
      </c>
      <c r="J6" s="2">
        <f>I6*F6</f>
        <v>10292.075407086613</v>
      </c>
      <c r="K6" s="3">
        <f>SUM('Cons Stats'!M27)</f>
        <v>10748.998687664041</v>
      </c>
      <c r="L6" s="2">
        <f>K6*F6</f>
        <v>9632.177724015748</v>
      </c>
      <c r="M6" s="3">
        <f>SUM('Cons Stats'!M28)</f>
        <v>12020.754593175852</v>
      </c>
      <c r="N6" s="2">
        <f>M6*F6</f>
        <v>10771.79819094488</v>
      </c>
      <c r="O6" s="3">
        <f>SUM('Cons Stats'!M29)</f>
        <v>11617.610236220473</v>
      </c>
      <c r="P6" s="2">
        <f>O6*F6</f>
        <v>10410.540532677165</v>
      </c>
      <c r="Q6" s="3">
        <f>SUM('Cons Stats'!M30)</f>
        <v>13746.20341207349</v>
      </c>
      <c r="R6" s="2">
        <f>Q6*F6</f>
        <v>12317.972877559054</v>
      </c>
      <c r="S6" s="3">
        <f>SUM('Cons Stats'!M31)</f>
        <v>9228.66404199475</v>
      </c>
      <c r="T6" s="2">
        <f>S6*F6</f>
        <v>8269.805848031496</v>
      </c>
      <c r="U6" s="3">
        <f>SUM('Cons Stats'!M32)</f>
        <v>10064.233595800524</v>
      </c>
      <c r="V6" s="2">
        <f aca="true" t="shared" si="0" ref="V6:V19">U6*F6</f>
        <v>9018.55972519685</v>
      </c>
      <c r="W6" s="3">
        <f>SUM('Cons Stats'!M33)</f>
        <v>14959.767716535433</v>
      </c>
      <c r="X6" s="2">
        <f>W6*F6</f>
        <v>13405.447850787401</v>
      </c>
      <c r="Y6" s="13">
        <f>'Cons Stats'!B34</f>
        <v>9603.278215223096</v>
      </c>
      <c r="Z6" s="2">
        <f>Y6*F6</f>
        <v>8605.497608661417</v>
      </c>
      <c r="AA6" s="13">
        <f>'Cons Stats'!B35</f>
        <v>11591.05905511811</v>
      </c>
      <c r="AB6" s="2">
        <f>AA6*F6</f>
        <v>10386.748019291339</v>
      </c>
      <c r="AC6" s="13">
        <f>'Cons Stats'!B36</f>
        <v>11581.972440944883</v>
      </c>
      <c r="AD6" s="2">
        <f>AC6*F6</f>
        <v>10378.60550433071</v>
      </c>
      <c r="AE6" s="44">
        <f>AC6+AA6+Y6+W6+U6+S6+Q6+O6+M6+K6+I6+G6</f>
        <v>140963.78083989501</v>
      </c>
      <c r="AF6" s="44">
        <f>AD6+AB6+Z6+X6+V6+T6+R6+P6+N6+L6+J6+H6</f>
        <v>126317.64401062993</v>
      </c>
    </row>
    <row r="7" spans="1:32" ht="12.75">
      <c r="A7" s="49"/>
      <c r="B7" s="49"/>
      <c r="C7" s="49" t="s">
        <v>6</v>
      </c>
      <c r="D7" s="49">
        <v>0.000296</v>
      </c>
      <c r="E7" s="49">
        <v>0.001038</v>
      </c>
      <c r="F7" s="56">
        <f aca="true" t="shared" si="1" ref="F7:F19">SUM(D7:E7)</f>
        <v>0.0013340000000000001</v>
      </c>
      <c r="G7">
        <f>SUM('Cons Stats'!B6+'Cons Stats'!I6)</f>
        <v>14584631</v>
      </c>
      <c r="H7" s="2">
        <f>G7*F7</f>
        <v>19455.897754</v>
      </c>
      <c r="I7">
        <f>SUM('Cons Stats'!B7+'Cons Stats'!I7)</f>
        <v>12695518</v>
      </c>
      <c r="J7" s="2">
        <f aca="true" t="shared" si="2" ref="J7:J19">I7*F7</f>
        <v>16935.821012</v>
      </c>
      <c r="K7">
        <f>SUM('Cons Stats'!B8+'Cons Stats'!I8)</f>
        <v>12223050</v>
      </c>
      <c r="L7" s="2">
        <f aca="true" t="shared" si="3" ref="L7:L19">K7*F7</f>
        <v>16305.548700000001</v>
      </c>
      <c r="M7">
        <f>SUM('Cons Stats'!B9+'Cons Stats'!I9)</f>
        <v>13609385</v>
      </c>
      <c r="N7" s="2">
        <f aca="true" t="shared" si="4" ref="N7:N19">M7*F7</f>
        <v>18154.91959</v>
      </c>
      <c r="O7">
        <f>SUM('Cons Stats'!B10+'Cons Stats'!I10)</f>
        <v>9356994</v>
      </c>
      <c r="P7" s="2">
        <f aca="true" t="shared" si="5" ref="P7:P19">O7*F7</f>
        <v>12482.229996000002</v>
      </c>
      <c r="Q7">
        <f>SUM('Cons Stats'!B11+'Cons Stats'!I11)</f>
        <v>7991008</v>
      </c>
      <c r="R7" s="2">
        <f aca="true" t="shared" si="6" ref="R7:R19">Q7*F7</f>
        <v>10660.004672000001</v>
      </c>
      <c r="S7">
        <f>SUM('Cons Stats'!B12+'Cons Stats'!I12)</f>
        <v>6452486</v>
      </c>
      <c r="T7" s="2">
        <f aca="true" t="shared" si="7" ref="T7:T19">S7*F7</f>
        <v>8607.616324</v>
      </c>
      <c r="U7">
        <f>SUM('Cons Stats'!B13+'Cons Stats'!I13)</f>
        <v>6182456</v>
      </c>
      <c r="V7" s="2">
        <f t="shared" si="0"/>
        <v>8247.396304</v>
      </c>
      <c r="W7">
        <f>SUM('Cons Stats'!B14+'Cons Stats'!I14)</f>
        <v>8691301</v>
      </c>
      <c r="X7" s="2">
        <f>W7*F7</f>
        <v>11594.195534</v>
      </c>
      <c r="Y7">
        <f>SUM('Cons Stats'!B15+'Cons Stats'!I15)</f>
        <v>5734457</v>
      </c>
      <c r="Z7" s="2">
        <f aca="true" t="shared" si="8" ref="Z7:Z19">Y7*F7</f>
        <v>7649.765638000001</v>
      </c>
      <c r="AA7">
        <f>SUM('Cons Stats'!B16+'Cons Stats'!I16)</f>
        <v>6989431</v>
      </c>
      <c r="AB7" s="2">
        <f aca="true" t="shared" si="9" ref="AB7:AB19">AA7*F7</f>
        <v>9323.900954</v>
      </c>
      <c r="AC7">
        <f>SUM('Cons Stats'!B17+'Cons Stats'!I17)</f>
        <v>8817128</v>
      </c>
      <c r="AD7" s="2">
        <f aca="true" t="shared" si="10" ref="AD7:AD19">AC7*F7</f>
        <v>11762.048752</v>
      </c>
      <c r="AE7" s="44">
        <f aca="true" t="shared" si="11" ref="AE7:AE23">AC7+AA7+Y7+W7+U7+S7+Q7+O7+M7+K7+I7+G7</f>
        <v>113327845</v>
      </c>
      <c r="AF7" s="44">
        <f aca="true" t="shared" si="12" ref="AF7:AF23">AD7+AB7+Z7+X7+V7+T7+R7+P7+N7+L7+J7+H7</f>
        <v>151179.34523</v>
      </c>
    </row>
    <row r="8" spans="1:32" ht="12.75">
      <c r="A8" s="49"/>
      <c r="B8" s="49" t="s">
        <v>1</v>
      </c>
      <c r="C8" s="49" t="s">
        <v>8</v>
      </c>
      <c r="D8" s="49">
        <v>0.3324</v>
      </c>
      <c r="E8" s="49">
        <v>1.1651</v>
      </c>
      <c r="F8" s="56">
        <f t="shared" si="1"/>
        <v>1.4975</v>
      </c>
      <c r="G8" s="3">
        <f>SUM('Cons Stats'!N25)</f>
        <v>2041.2613981762918</v>
      </c>
      <c r="H8" s="2">
        <f aca="true" t="shared" si="13" ref="H8:H19">G8*F8</f>
        <v>3056.788943768997</v>
      </c>
      <c r="I8" s="3">
        <f>SUM('Cons Stats'!N26)</f>
        <v>1487.4323708206687</v>
      </c>
      <c r="J8" s="2">
        <f t="shared" si="2"/>
        <v>2227.4299753039513</v>
      </c>
      <c r="K8" s="3">
        <f>SUM('Cons Stats'!N27)</f>
        <v>1459.3297872340424</v>
      </c>
      <c r="L8" s="2">
        <f t="shared" si="3"/>
        <v>2185.3463563829787</v>
      </c>
      <c r="M8" s="3">
        <f>SUM('Cons Stats'!N28)</f>
        <v>1572.6686930091184</v>
      </c>
      <c r="N8" s="2">
        <f t="shared" si="4"/>
        <v>2355.071367781155</v>
      </c>
      <c r="O8" s="3">
        <f>SUM('Cons Stats'!N29)</f>
        <v>1514.9104024297646</v>
      </c>
      <c r="P8" s="2">
        <f t="shared" si="5"/>
        <v>2268.578327638573</v>
      </c>
      <c r="Q8" s="3">
        <f>SUM('Cons Stats'!N30)</f>
        <v>1751.298632218845</v>
      </c>
      <c r="R8" s="2">
        <f t="shared" si="6"/>
        <v>2622.5697017477205</v>
      </c>
      <c r="S8" s="3">
        <f>SUM('Cons Stats'!N31)</f>
        <v>1253.2674772036473</v>
      </c>
      <c r="T8" s="2">
        <f t="shared" si="7"/>
        <v>1876.768047112462</v>
      </c>
      <c r="U8" s="3">
        <f>SUM('Cons Stats'!N32)</f>
        <v>1306.8016717325227</v>
      </c>
      <c r="V8" s="2">
        <f t="shared" si="0"/>
        <v>1956.9355034194527</v>
      </c>
      <c r="W8" s="3">
        <f>SUM('Cons Stats'!N33)</f>
        <v>1910.7993920972644</v>
      </c>
      <c r="X8" s="2">
        <f>W8*F8</f>
        <v>2861.4220896656534</v>
      </c>
      <c r="Y8" s="13">
        <f>'Cons Stats'!C34</f>
        <v>1272.5995440729482</v>
      </c>
      <c r="Z8" s="2">
        <f t="shared" si="8"/>
        <v>1905.71781724924</v>
      </c>
      <c r="AA8" s="13">
        <f>'Cons Stats'!C35</f>
        <v>1500.4992401215804</v>
      </c>
      <c r="AB8" s="2">
        <f t="shared" si="9"/>
        <v>2246.997612082067</v>
      </c>
      <c r="AC8" s="13">
        <f>'Cons Stats'!C36</f>
        <v>1522.8343465045593</v>
      </c>
      <c r="AD8" s="2">
        <f t="shared" si="10"/>
        <v>2280.444433890578</v>
      </c>
      <c r="AE8" s="44">
        <f t="shared" si="11"/>
        <v>18593.702955621255</v>
      </c>
      <c r="AF8" s="44">
        <f t="shared" si="12"/>
        <v>27844.070176042827</v>
      </c>
    </row>
    <row r="9" spans="1:32" ht="12.75">
      <c r="A9" s="49"/>
      <c r="B9" s="49"/>
      <c r="C9" s="49" t="s">
        <v>6</v>
      </c>
      <c r="D9" s="49">
        <v>0.000165</v>
      </c>
      <c r="E9" s="49">
        <v>0.000579</v>
      </c>
      <c r="F9" s="56">
        <f t="shared" si="1"/>
        <v>0.000744</v>
      </c>
      <c r="G9">
        <f>SUM('Cons Stats'!C6)</f>
        <v>5682783</v>
      </c>
      <c r="H9" s="2">
        <f t="shared" si="13"/>
        <v>4227.990552</v>
      </c>
      <c r="I9">
        <f>SUM('Cons Stats'!C7+'Cons Stats'!J7)</f>
        <v>4394504</v>
      </c>
      <c r="J9" s="2">
        <f t="shared" si="2"/>
        <v>3269.510976</v>
      </c>
      <c r="K9">
        <f>SUM('Cons Stats'!C8+'Cons Stats'!J8)</f>
        <v>4297471</v>
      </c>
      <c r="L9" s="2">
        <f t="shared" si="3"/>
        <v>3197.318424</v>
      </c>
      <c r="M9">
        <f>SUM('Cons Stats'!C9+'Cons Stats'!J9)</f>
        <v>4968874</v>
      </c>
      <c r="N9" s="2">
        <f t="shared" si="4"/>
        <v>3696.842256</v>
      </c>
      <c r="O9">
        <f>SUM('Cons Stats'!C10+'Cons Stats'!J10)</f>
        <v>3451893</v>
      </c>
      <c r="P9" s="2">
        <f t="shared" si="5"/>
        <v>2568.208392</v>
      </c>
      <c r="Q9">
        <f>SUM('Cons Stats'!C11+'Cons Stats'!J11)</f>
        <v>3686229</v>
      </c>
      <c r="R9" s="2">
        <f t="shared" si="6"/>
        <v>2742.554376</v>
      </c>
      <c r="S9">
        <f>SUM('Cons Stats'!C12+'Cons Stats'!J12)</f>
        <v>3237029</v>
      </c>
      <c r="T9" s="2">
        <f t="shared" si="7"/>
        <v>2408.349576</v>
      </c>
      <c r="U9">
        <f>SUM('Cons Stats'!C13+'Cons Stats'!J13)</f>
        <v>3274129</v>
      </c>
      <c r="V9" s="2">
        <f t="shared" si="0"/>
        <v>2435.951976</v>
      </c>
      <c r="W9">
        <f>SUM('Cons Stats'!C14+'Cons Stats'!J14)</f>
        <v>3913011</v>
      </c>
      <c r="X9" s="2">
        <f aca="true" t="shared" si="14" ref="X9:X19">W9*F9</f>
        <v>2911.2801839999997</v>
      </c>
      <c r="Y9">
        <f>SUM('Cons Stats'!C15+'Cons Stats'!J15)</f>
        <v>3039146</v>
      </c>
      <c r="Z9" s="2">
        <f t="shared" si="8"/>
        <v>2261.124624</v>
      </c>
      <c r="AA9">
        <f>SUM('Cons Stats'!C16+'Cons Stats'!J16)</f>
        <v>3209459</v>
      </c>
      <c r="AB9" s="2">
        <f t="shared" si="9"/>
        <v>2387.837496</v>
      </c>
      <c r="AC9">
        <f>SUM('Cons Stats'!C17+'Cons Stats'!J17)</f>
        <v>3515160</v>
      </c>
      <c r="AD9" s="2">
        <f t="shared" si="10"/>
        <v>2615.27904</v>
      </c>
      <c r="AE9" s="44">
        <f t="shared" si="11"/>
        <v>46669688</v>
      </c>
      <c r="AF9" s="44">
        <f t="shared" si="12"/>
        <v>34722.247872</v>
      </c>
    </row>
    <row r="10" spans="1:32" ht="12.75">
      <c r="A10" s="49"/>
      <c r="B10" s="49" t="s">
        <v>2</v>
      </c>
      <c r="C10" s="49" t="s">
        <v>8</v>
      </c>
      <c r="D10" s="49">
        <v>1.2037</v>
      </c>
      <c r="E10" s="49">
        <v>4.2194</v>
      </c>
      <c r="F10" s="56">
        <f t="shared" si="1"/>
        <v>5.4231</v>
      </c>
      <c r="G10" s="3">
        <f>SUM('Cons Stats'!Q25)</f>
        <v>100.98945479021836</v>
      </c>
      <c r="H10" s="2">
        <f t="shared" si="13"/>
        <v>547.6759122728332</v>
      </c>
      <c r="I10" s="3">
        <f>SUM('Cons Stats'!Q26)</f>
        <v>107.43325106573843</v>
      </c>
      <c r="J10" s="2">
        <f t="shared" si="2"/>
        <v>582.621263854606</v>
      </c>
      <c r="K10" s="3">
        <f>SUM('Cons Stats'!Q27)</f>
        <v>101.5999551267671</v>
      </c>
      <c r="L10" s="2">
        <f t="shared" si="3"/>
        <v>550.9867166479706</v>
      </c>
      <c r="M10" s="3">
        <f>SUM('Cons Stats'!Q28)</f>
        <v>91.99999999999977</v>
      </c>
      <c r="N10" s="2">
        <f t="shared" si="4"/>
        <v>498.92519999999877</v>
      </c>
      <c r="O10" s="3">
        <f>SUM('Cons Stats'!Q29)</f>
        <v>113.5999551267671</v>
      </c>
      <c r="P10" s="2">
        <f t="shared" si="5"/>
        <v>616.0639166479706</v>
      </c>
      <c r="Q10" s="3">
        <f>SUM('Cons Stats'!Q30)</f>
        <v>122.99999999999955</v>
      </c>
      <c r="R10" s="2">
        <f t="shared" si="6"/>
        <v>667.0412999999975</v>
      </c>
      <c r="S10" s="3">
        <f>SUM('Cons Stats'!Q31)</f>
        <v>86.76665918779577</v>
      </c>
      <c r="T10" s="2">
        <f t="shared" si="7"/>
        <v>470.5442694413352</v>
      </c>
      <c r="U10" s="3">
        <f>SUM('Cons Stats'!Q32)</f>
        <v>103.71460623737948</v>
      </c>
      <c r="V10" s="2">
        <f t="shared" si="0"/>
        <v>562.4546810859326</v>
      </c>
      <c r="W10" s="3">
        <f>'Cons Stats'!Q33</f>
        <v>136.8478797397379</v>
      </c>
      <c r="X10" s="2">
        <f t="shared" si="14"/>
        <v>742.1397366165726</v>
      </c>
      <c r="Y10" s="13">
        <f>'Cons Stats'!Q34</f>
        <v>98.36661431456128</v>
      </c>
      <c r="Z10" s="2">
        <f t="shared" si="8"/>
        <v>533.4519860892972</v>
      </c>
      <c r="AA10" s="13">
        <f>'Cons Stats'!Q35</f>
        <v>119.81489791339482</v>
      </c>
      <c r="AB10" s="2">
        <f t="shared" si="9"/>
        <v>649.7681728741314</v>
      </c>
      <c r="AC10" s="13">
        <f>'Cons Stats'!Q36</f>
        <v>117.26609827238167</v>
      </c>
      <c r="AD10" s="2">
        <f t="shared" si="10"/>
        <v>635.945777540953</v>
      </c>
      <c r="AE10" s="44">
        <f t="shared" si="11"/>
        <v>1301.3993717747412</v>
      </c>
      <c r="AF10" s="44">
        <f t="shared" si="12"/>
        <v>7057.618933071599</v>
      </c>
    </row>
    <row r="11" spans="1:32" ht="12.75">
      <c r="A11" s="49"/>
      <c r="B11" s="49"/>
      <c r="C11" s="49" t="s">
        <v>7</v>
      </c>
      <c r="D11" s="49">
        <v>0.017125</v>
      </c>
      <c r="E11" s="49">
        <v>0.060029</v>
      </c>
      <c r="F11" s="56">
        <f t="shared" si="1"/>
        <v>0.077154</v>
      </c>
      <c r="G11">
        <f>SUM('Cons Stats'!I43)</f>
        <v>17647</v>
      </c>
      <c r="H11" s="2">
        <f t="shared" si="13"/>
        <v>1361.536638</v>
      </c>
      <c r="I11">
        <f>SUM('Cons Stats'!I44)</f>
        <v>18673</v>
      </c>
      <c r="J11" s="2">
        <f t="shared" si="2"/>
        <v>1440.696642</v>
      </c>
      <c r="K11">
        <f>SUM('Cons Stats'!I45)</f>
        <v>18985</v>
      </c>
      <c r="L11" s="2">
        <f t="shared" si="3"/>
        <v>1464.76869</v>
      </c>
      <c r="M11">
        <f>SUM('Cons Stats'!I46)</f>
        <v>16176</v>
      </c>
      <c r="N11" s="2">
        <f t="shared" si="4"/>
        <v>1248.043104</v>
      </c>
      <c r="O11">
        <f>SUM('Cons Stats'!I47)</f>
        <v>19755</v>
      </c>
      <c r="P11" s="2">
        <f t="shared" si="5"/>
        <v>1524.17727</v>
      </c>
      <c r="Q11">
        <f>SUM('Cons Stats'!I48)</f>
        <v>17278</v>
      </c>
      <c r="R11" s="2">
        <f t="shared" si="6"/>
        <v>1333.066812</v>
      </c>
      <c r="S11" s="13">
        <f>SUM('Cons Stats'!I49)</f>
        <v>15718.759999999998</v>
      </c>
      <c r="T11" s="2">
        <f t="shared" si="7"/>
        <v>1212.76520904</v>
      </c>
      <c r="U11" s="13">
        <f>SUM('Cons Stats'!I50)</f>
        <v>16571.449999999997</v>
      </c>
      <c r="V11" s="2">
        <f t="shared" si="0"/>
        <v>1278.5536532999997</v>
      </c>
      <c r="W11" s="3">
        <f>SUM('Cons Stats'!I51)</f>
        <v>18269.91</v>
      </c>
      <c r="X11" s="2">
        <f t="shared" si="14"/>
        <v>1409.59663614</v>
      </c>
      <c r="Y11" s="3">
        <f>SUM('Cons Stats'!I52)</f>
        <v>16557.99</v>
      </c>
      <c r="Z11" s="2">
        <f t="shared" si="8"/>
        <v>1277.51516046</v>
      </c>
      <c r="AA11" s="3">
        <f>SUM('Cons Stats'!I53)</f>
        <v>19347</v>
      </c>
      <c r="AB11" s="2">
        <f t="shared" si="9"/>
        <v>1492.698438</v>
      </c>
      <c r="AC11" s="3">
        <f>SUM('Cons Stats'!I54)</f>
        <v>18451</v>
      </c>
      <c r="AD11" s="2">
        <f t="shared" si="10"/>
        <v>1423.568454</v>
      </c>
      <c r="AE11" s="44">
        <f t="shared" si="11"/>
        <v>213430.11</v>
      </c>
      <c r="AF11" s="44">
        <f t="shared" si="12"/>
        <v>16466.986706940002</v>
      </c>
    </row>
    <row r="12" spans="1:32" ht="12.75">
      <c r="A12" s="49"/>
      <c r="B12" s="49" t="s">
        <v>5</v>
      </c>
      <c r="C12" s="49" t="s">
        <v>8</v>
      </c>
      <c r="D12" s="49">
        <v>58.8478</v>
      </c>
      <c r="E12" s="49">
        <v>206.278</v>
      </c>
      <c r="F12" s="56">
        <f t="shared" si="1"/>
        <v>265.12579999999997</v>
      </c>
      <c r="G12" s="3">
        <f>SUM('Cons Stats'!P25)</f>
        <v>1</v>
      </c>
      <c r="H12" s="2">
        <f t="shared" si="13"/>
        <v>265.12579999999997</v>
      </c>
      <c r="I12" s="3">
        <f>SUM('Cons Stats'!P26)</f>
        <v>1</v>
      </c>
      <c r="J12" s="2">
        <f t="shared" si="2"/>
        <v>265.12579999999997</v>
      </c>
      <c r="K12" s="3">
        <f>SUM('Cons Stats'!P27)</f>
        <v>1</v>
      </c>
      <c r="L12" s="2">
        <f t="shared" si="3"/>
        <v>265.12579999999997</v>
      </c>
      <c r="M12" s="3">
        <f>SUM('Cons Stats'!P28)</f>
        <v>1</v>
      </c>
      <c r="N12" s="2">
        <f t="shared" si="4"/>
        <v>265.12579999999997</v>
      </c>
      <c r="O12" s="3">
        <f>SUM('Cons Stats'!P29)</f>
        <v>1</v>
      </c>
      <c r="P12" s="2">
        <f t="shared" si="5"/>
        <v>265.12579999999997</v>
      </c>
      <c r="Q12" s="3">
        <f>SUM('Cons Stats'!P30)</f>
        <v>1</v>
      </c>
      <c r="R12" s="2">
        <f t="shared" si="6"/>
        <v>265.12579999999997</v>
      </c>
      <c r="S12" s="3">
        <f>SUM('Cons Stats'!P31)</f>
        <v>1</v>
      </c>
      <c r="T12" s="2">
        <f t="shared" si="7"/>
        <v>265.12579999999997</v>
      </c>
      <c r="U12" s="3">
        <f>SUM('Cons Stats'!P32)</f>
        <v>1</v>
      </c>
      <c r="V12" s="2">
        <f t="shared" si="0"/>
        <v>265.12579999999997</v>
      </c>
      <c r="W12" s="3">
        <f>'Cons Stats'!P33</f>
        <v>1</v>
      </c>
      <c r="X12" s="2">
        <f t="shared" si="14"/>
        <v>265.12579999999997</v>
      </c>
      <c r="Y12" s="3">
        <f>'Cons Stats'!P34</f>
        <v>1</v>
      </c>
      <c r="Z12" s="2">
        <f t="shared" si="8"/>
        <v>265.12579999999997</v>
      </c>
      <c r="AA12" s="3">
        <f>'Cons Stats'!P35</f>
        <v>1</v>
      </c>
      <c r="AB12" s="2">
        <f t="shared" si="9"/>
        <v>265.12579999999997</v>
      </c>
      <c r="AC12" s="3">
        <f>'Cons Stats'!P36</f>
        <v>1</v>
      </c>
      <c r="AD12" s="2">
        <f t="shared" si="10"/>
        <v>265.12579999999997</v>
      </c>
      <c r="AE12" s="44">
        <f t="shared" si="11"/>
        <v>12</v>
      </c>
      <c r="AF12" s="44">
        <f t="shared" si="12"/>
        <v>3181.509599999999</v>
      </c>
    </row>
    <row r="13" spans="1:32" ht="12.75">
      <c r="A13" s="49"/>
      <c r="B13" s="49" t="s">
        <v>101</v>
      </c>
      <c r="C13" s="49" t="s">
        <v>7</v>
      </c>
      <c r="D13" s="49">
        <v>0.034237</v>
      </c>
      <c r="E13" s="49">
        <v>0.12001</v>
      </c>
      <c r="F13" s="56">
        <f t="shared" si="1"/>
        <v>0.154247</v>
      </c>
      <c r="G13">
        <f>SUM('Cons Stats'!D43)</f>
        <v>4277</v>
      </c>
      <c r="H13" s="2">
        <f t="shared" si="13"/>
        <v>659.714419</v>
      </c>
      <c r="I13" s="13">
        <f>SUM('Cons Stats'!D44)</f>
        <v>4245</v>
      </c>
      <c r="J13" s="2">
        <f t="shared" si="2"/>
        <v>654.778515</v>
      </c>
      <c r="K13" s="13">
        <f>SUM('Cons Stats'!D45)</f>
        <v>4308</v>
      </c>
      <c r="L13" s="2">
        <f t="shared" si="3"/>
        <v>664.496076</v>
      </c>
      <c r="M13" s="13">
        <f>SUM('Cons Stats'!D46)</f>
        <v>4253</v>
      </c>
      <c r="N13" s="2">
        <f t="shared" si="4"/>
        <v>656.012491</v>
      </c>
      <c r="O13" s="13">
        <f>SUM('Cons Stats'!D47)</f>
        <v>4213</v>
      </c>
      <c r="P13" s="2">
        <f t="shared" si="5"/>
        <v>649.842611</v>
      </c>
      <c r="Q13" s="13">
        <f>SUM('Cons Stats'!D48)</f>
        <v>4301</v>
      </c>
      <c r="R13" s="2">
        <f t="shared" si="6"/>
        <v>663.416347</v>
      </c>
      <c r="S13" s="13">
        <f>SUM('Cons Stats'!D49)</f>
        <v>4293</v>
      </c>
      <c r="T13" s="2">
        <f t="shared" si="7"/>
        <v>662.182371</v>
      </c>
      <c r="U13" s="13">
        <f>SUM('Cons Stats'!D50)</f>
        <v>4364</v>
      </c>
      <c r="V13" s="2">
        <f t="shared" si="0"/>
        <v>673.133908</v>
      </c>
      <c r="W13" s="3">
        <f>'Cons Stats'!D51</f>
        <v>4316.4</v>
      </c>
      <c r="X13" s="2">
        <f t="shared" si="14"/>
        <v>665.7917507999999</v>
      </c>
      <c r="Y13" s="13">
        <f>'Cons Stats'!D52</f>
        <v>4348</v>
      </c>
      <c r="Z13" s="2">
        <f t="shared" si="8"/>
        <v>670.6659559999999</v>
      </c>
      <c r="AA13" s="13">
        <f>'Cons Stats'!D53</f>
        <v>4316</v>
      </c>
      <c r="AB13" s="2">
        <f t="shared" si="9"/>
        <v>665.730052</v>
      </c>
      <c r="AC13" s="13">
        <f>'Cons Stats'!D54</f>
        <v>4221</v>
      </c>
      <c r="AD13" s="2">
        <f t="shared" si="10"/>
        <v>651.076587</v>
      </c>
      <c r="AE13" s="44">
        <f t="shared" si="11"/>
        <v>51455.4</v>
      </c>
      <c r="AF13" s="44">
        <f t="shared" si="12"/>
        <v>7936.841083800001</v>
      </c>
    </row>
    <row r="14" spans="1:32" ht="12.75">
      <c r="A14" s="49"/>
      <c r="B14" s="49" t="s">
        <v>37</v>
      </c>
      <c r="C14" s="49" t="s">
        <v>8</v>
      </c>
      <c r="D14" s="49">
        <v>148.8326</v>
      </c>
      <c r="E14" s="49">
        <v>521.6998</v>
      </c>
      <c r="F14" s="56">
        <f t="shared" si="1"/>
        <v>670.5324</v>
      </c>
      <c r="G14">
        <f>SUM('Cons Stats'!O25)</f>
        <v>2</v>
      </c>
      <c r="H14" s="2">
        <f t="shared" si="13"/>
        <v>1341.0648</v>
      </c>
      <c r="I14">
        <f>SUM('Cons Stats'!O26)</f>
        <v>2</v>
      </c>
      <c r="J14" s="2">
        <f t="shared" si="2"/>
        <v>1341.0648</v>
      </c>
      <c r="K14">
        <f>SUM('Cons Stats'!O27)</f>
        <v>2</v>
      </c>
      <c r="L14" s="2">
        <f t="shared" si="3"/>
        <v>1341.0648</v>
      </c>
      <c r="M14">
        <f>SUM('Cons Stats'!O28)</f>
        <v>2</v>
      </c>
      <c r="N14" s="2">
        <f t="shared" si="4"/>
        <v>1341.0648</v>
      </c>
      <c r="O14">
        <f>SUM('Cons Stats'!O29)</f>
        <v>2</v>
      </c>
      <c r="P14" s="2">
        <f t="shared" si="5"/>
        <v>1341.0648</v>
      </c>
      <c r="Q14">
        <f>SUM('Cons Stats'!O30)</f>
        <v>2</v>
      </c>
      <c r="R14" s="2">
        <f t="shared" si="6"/>
        <v>1341.0648</v>
      </c>
      <c r="S14" s="3">
        <f>SUM('Cons Stats'!O31)</f>
        <v>2</v>
      </c>
      <c r="T14" s="2">
        <f t="shared" si="7"/>
        <v>1341.0648</v>
      </c>
      <c r="U14">
        <f>SUM('Cons Stats'!O32)</f>
        <v>2</v>
      </c>
      <c r="V14" s="2">
        <f t="shared" si="0"/>
        <v>1341.0648</v>
      </c>
      <c r="W14" s="3">
        <f>'Cons Stats'!O33</f>
        <v>2</v>
      </c>
      <c r="X14" s="2">
        <f t="shared" si="14"/>
        <v>1341.0648</v>
      </c>
      <c r="Y14">
        <f>'Cons Stats'!O34</f>
        <v>2</v>
      </c>
      <c r="Z14" s="2">
        <f t="shared" si="8"/>
        <v>1341.0648</v>
      </c>
      <c r="AA14">
        <f>'Cons Stats'!O35</f>
        <v>2</v>
      </c>
      <c r="AB14" s="2">
        <f t="shared" si="9"/>
        <v>1341.0648</v>
      </c>
      <c r="AC14">
        <f>'Cons Stats'!O36</f>
        <v>2</v>
      </c>
      <c r="AD14" s="2">
        <f t="shared" si="10"/>
        <v>1341.0648</v>
      </c>
      <c r="AE14" s="44">
        <f t="shared" si="11"/>
        <v>24</v>
      </c>
      <c r="AF14" s="44">
        <f t="shared" si="12"/>
        <v>16092.777600000001</v>
      </c>
    </row>
    <row r="15" spans="1:32" ht="12.75">
      <c r="A15" s="49"/>
      <c r="B15" s="49"/>
      <c r="C15" s="49" t="s">
        <v>7</v>
      </c>
      <c r="D15" s="49">
        <v>0.036573</v>
      </c>
      <c r="E15" s="49">
        <v>0.128197</v>
      </c>
      <c r="F15" s="56">
        <f t="shared" si="1"/>
        <v>0.16477</v>
      </c>
      <c r="G15">
        <f>SUM('Cons Stats'!E43)</f>
        <v>15297</v>
      </c>
      <c r="H15" s="2">
        <f t="shared" si="13"/>
        <v>2520.48669</v>
      </c>
      <c r="I15" s="13">
        <f>SUM('Cons Stats'!E44)</f>
        <v>14969</v>
      </c>
      <c r="J15" s="2">
        <f t="shared" si="2"/>
        <v>2466.44213</v>
      </c>
      <c r="K15" s="13">
        <f>SUM('Cons Stats'!E45)</f>
        <v>16247</v>
      </c>
      <c r="L15" s="2">
        <f t="shared" si="3"/>
        <v>2677.01819</v>
      </c>
      <c r="M15" s="13">
        <f>SUM('Cons Stats'!E46)</f>
        <v>15646</v>
      </c>
      <c r="N15" s="2">
        <f t="shared" si="4"/>
        <v>2577.99142</v>
      </c>
      <c r="O15" s="13">
        <f>SUM('Cons Stats'!E47)</f>
        <v>15981</v>
      </c>
      <c r="P15" s="2">
        <f t="shared" si="5"/>
        <v>2633.18937</v>
      </c>
      <c r="Q15" s="13">
        <f>SUM('Cons Stats'!E48)</f>
        <v>15819</v>
      </c>
      <c r="R15" s="2">
        <f t="shared" si="6"/>
        <v>2606.49663</v>
      </c>
      <c r="S15" s="13">
        <f>SUM('Cons Stats'!E49)</f>
        <v>16316</v>
      </c>
      <c r="T15" s="2">
        <f t="shared" si="7"/>
        <v>2688.38732</v>
      </c>
      <c r="U15" s="13">
        <f>SUM('Cons Stats'!E50)</f>
        <v>15774</v>
      </c>
      <c r="V15" s="2">
        <f t="shared" si="0"/>
        <v>2599.08198</v>
      </c>
      <c r="W15" s="3">
        <f>'Cons Stats'!E51</f>
        <v>15745.75</v>
      </c>
      <c r="X15" s="2">
        <f t="shared" si="14"/>
        <v>2594.4272275</v>
      </c>
      <c r="Y15" s="13">
        <f>'Cons Stats'!E52</f>
        <v>15774</v>
      </c>
      <c r="Z15" s="2">
        <f t="shared" si="8"/>
        <v>2599.08198</v>
      </c>
      <c r="AA15" s="13">
        <f>'Cons Stats'!E53</f>
        <v>16102</v>
      </c>
      <c r="AB15" s="2">
        <f t="shared" si="9"/>
        <v>2653.12654</v>
      </c>
      <c r="AC15" s="13">
        <f>'Cons Stats'!E54</f>
        <v>16124</v>
      </c>
      <c r="AD15" s="2">
        <f t="shared" si="10"/>
        <v>2656.75148</v>
      </c>
      <c r="AE15" s="44">
        <f t="shared" si="11"/>
        <v>189794.75</v>
      </c>
      <c r="AF15" s="44">
        <f t="shared" si="12"/>
        <v>31272.480957499996</v>
      </c>
    </row>
    <row r="16" spans="1:32" ht="12.75">
      <c r="A16" s="49"/>
      <c r="B16" s="49" t="s">
        <v>38</v>
      </c>
      <c r="C16" s="49" t="s">
        <v>8</v>
      </c>
      <c r="D16" s="49">
        <v>0</v>
      </c>
      <c r="E16" s="49">
        <v>0</v>
      </c>
      <c r="F16" s="56">
        <f t="shared" si="1"/>
        <v>0</v>
      </c>
      <c r="G16" s="3">
        <v>0</v>
      </c>
      <c r="H16" s="2">
        <f t="shared" si="13"/>
        <v>0</v>
      </c>
      <c r="I16" s="3">
        <v>0</v>
      </c>
      <c r="J16" s="2">
        <f t="shared" si="2"/>
        <v>0</v>
      </c>
      <c r="K16" s="3">
        <v>0</v>
      </c>
      <c r="L16" s="2">
        <f t="shared" si="3"/>
        <v>0</v>
      </c>
      <c r="M16" s="3">
        <v>0</v>
      </c>
      <c r="N16" s="2">
        <f t="shared" si="4"/>
        <v>0</v>
      </c>
      <c r="O16" s="3">
        <v>0</v>
      </c>
      <c r="P16" s="2">
        <f t="shared" si="5"/>
        <v>0</v>
      </c>
      <c r="Q16" s="3">
        <v>0</v>
      </c>
      <c r="R16" s="2">
        <f t="shared" si="6"/>
        <v>0</v>
      </c>
      <c r="S16" s="3">
        <v>0</v>
      </c>
      <c r="T16" s="2">
        <f t="shared" si="7"/>
        <v>0</v>
      </c>
      <c r="U16" s="3">
        <v>0</v>
      </c>
      <c r="V16" s="2">
        <f t="shared" si="0"/>
        <v>0</v>
      </c>
      <c r="W16" s="3">
        <f>SUM('Cons Stats'!M43)</f>
        <v>0</v>
      </c>
      <c r="X16" s="2">
        <f t="shared" si="14"/>
        <v>0</v>
      </c>
      <c r="Z16" s="2">
        <f t="shared" si="8"/>
        <v>0</v>
      </c>
      <c r="AB16" s="2">
        <f t="shared" si="9"/>
        <v>0</v>
      </c>
      <c r="AD16" s="2">
        <f t="shared" si="10"/>
        <v>0</v>
      </c>
      <c r="AE16" s="44">
        <f t="shared" si="11"/>
        <v>0</v>
      </c>
      <c r="AF16" s="44">
        <f t="shared" si="12"/>
        <v>0</v>
      </c>
    </row>
    <row r="17" spans="1:32" ht="12.75">
      <c r="A17" s="49"/>
      <c r="B17" s="49"/>
      <c r="C17" s="49" t="s">
        <v>7</v>
      </c>
      <c r="D17" s="49">
        <v>0.00024</v>
      </c>
      <c r="E17" s="49">
        <v>0.000825</v>
      </c>
      <c r="F17" s="56">
        <f t="shared" si="1"/>
        <v>0.001065</v>
      </c>
      <c r="G17">
        <f>SUM('Cons Stats'!H6)</f>
        <v>74890</v>
      </c>
      <c r="H17" s="2">
        <f t="shared" si="13"/>
        <v>79.75785</v>
      </c>
      <c r="I17">
        <f>SUM('Cons Stats'!H7)</f>
        <v>69805</v>
      </c>
      <c r="J17" s="2">
        <f t="shared" si="2"/>
        <v>74.342325</v>
      </c>
      <c r="K17">
        <f>SUM('Cons Stats'!H8)</f>
        <v>69802</v>
      </c>
      <c r="L17" s="2">
        <f t="shared" si="3"/>
        <v>74.33913</v>
      </c>
      <c r="M17">
        <f>SUM('Cons Stats'!H9)</f>
        <v>69788</v>
      </c>
      <c r="N17" s="2">
        <f t="shared" si="4"/>
        <v>74.32422</v>
      </c>
      <c r="O17">
        <f>SUM('Cons Stats'!H10)</f>
        <v>70631</v>
      </c>
      <c r="P17" s="2">
        <f t="shared" si="5"/>
        <v>75.222015</v>
      </c>
      <c r="Q17">
        <f>SUM('Cons Stats'!H11)</f>
        <v>82171</v>
      </c>
      <c r="R17" s="2">
        <f t="shared" si="6"/>
        <v>87.512115</v>
      </c>
      <c r="S17">
        <f>SUM('Cons Stats'!H12)</f>
        <v>73250</v>
      </c>
      <c r="T17" s="2">
        <f t="shared" si="7"/>
        <v>78.01125</v>
      </c>
      <c r="U17">
        <f>SUM('Cons Stats'!H13)</f>
        <v>70318</v>
      </c>
      <c r="V17" s="2">
        <f t="shared" si="0"/>
        <v>74.88867</v>
      </c>
      <c r="W17" s="3">
        <f>'Cons Stats'!H14</f>
        <v>87589</v>
      </c>
      <c r="X17" s="2">
        <f t="shared" si="14"/>
        <v>93.282285</v>
      </c>
      <c r="Y17">
        <f>'Cons Stats'!H15</f>
        <v>73269</v>
      </c>
      <c r="Z17" s="2">
        <f t="shared" si="8"/>
        <v>78.031485</v>
      </c>
      <c r="AA17">
        <f>'Cons Stats'!H16</f>
        <v>77662</v>
      </c>
      <c r="AB17" s="2">
        <f t="shared" si="9"/>
        <v>82.71003</v>
      </c>
      <c r="AC17">
        <f>'Cons Stats'!H17</f>
        <v>77671</v>
      </c>
      <c r="AD17" s="2">
        <f t="shared" si="10"/>
        <v>82.719615</v>
      </c>
      <c r="AE17" s="44">
        <f t="shared" si="11"/>
        <v>896846</v>
      </c>
      <c r="AF17" s="44">
        <f t="shared" si="12"/>
        <v>955.1409899999999</v>
      </c>
    </row>
    <row r="18" spans="1:32" ht="12.75">
      <c r="A18" s="49"/>
      <c r="B18" s="49" t="s">
        <v>4</v>
      </c>
      <c r="C18" s="49" t="s">
        <v>105</v>
      </c>
      <c r="D18" s="49">
        <v>0.01</v>
      </c>
      <c r="E18" s="49">
        <v>0.0349</v>
      </c>
      <c r="F18" s="56">
        <f t="shared" si="1"/>
        <v>0.0449</v>
      </c>
      <c r="G18" s="3">
        <f>SUM('Cons Stats'!J43)</f>
        <v>2479.0000000000005</v>
      </c>
      <c r="H18" s="2">
        <f t="shared" si="13"/>
        <v>111.30710000000002</v>
      </c>
      <c r="I18" s="3">
        <f>SUM('Cons Stats'!J44)</f>
        <v>2479.0000000000005</v>
      </c>
      <c r="J18" s="2">
        <f t="shared" si="2"/>
        <v>111.30710000000002</v>
      </c>
      <c r="K18" s="3">
        <f>SUM('Cons Stats'!J45)</f>
        <v>2479.0000000000005</v>
      </c>
      <c r="L18" s="2">
        <f t="shared" si="3"/>
        <v>111.30710000000002</v>
      </c>
      <c r="M18" s="3">
        <f>SUM('Cons Stats'!J46)</f>
        <v>2479.0000000000005</v>
      </c>
      <c r="N18" s="2">
        <f t="shared" si="4"/>
        <v>111.30710000000002</v>
      </c>
      <c r="O18" s="3">
        <f>SUM('Cons Stats'!J47)</f>
        <v>2431.34693877551</v>
      </c>
      <c r="P18" s="2">
        <f t="shared" si="5"/>
        <v>109.1674775510204</v>
      </c>
      <c r="Q18" s="3">
        <f>SUM('Cons Stats'!J48)</f>
        <v>2431.34693877551</v>
      </c>
      <c r="R18" s="2">
        <f t="shared" si="6"/>
        <v>109.1674775510204</v>
      </c>
      <c r="S18" s="3">
        <f>SUM('Cons Stats'!J49)</f>
        <v>2431.34693877551</v>
      </c>
      <c r="T18" s="2">
        <f t="shared" si="7"/>
        <v>109.1674775510204</v>
      </c>
      <c r="U18" s="3">
        <f>SUM('Cons Stats'!J50)</f>
        <v>2431.34693877551</v>
      </c>
      <c r="V18" s="2">
        <f t="shared" si="0"/>
        <v>109.1674775510204</v>
      </c>
      <c r="W18" s="3">
        <f>'Cons Stats'!J51</f>
        <v>2431.34693877551</v>
      </c>
      <c r="X18" s="2">
        <f t="shared" si="14"/>
        <v>109.1674775510204</v>
      </c>
      <c r="Y18" s="13">
        <f>'Cons Stats'!J52</f>
        <v>2459.7551020408164</v>
      </c>
      <c r="Z18" s="2">
        <f t="shared" si="8"/>
        <v>110.44300408163267</v>
      </c>
      <c r="AA18" s="13">
        <f>'Cons Stats'!J53</f>
        <v>2459.7551020408164</v>
      </c>
      <c r="AB18" s="2">
        <f t="shared" si="9"/>
        <v>110.44300408163267</v>
      </c>
      <c r="AC18" s="13">
        <f>'Cons Stats'!J54</f>
        <v>2459.7551020408164</v>
      </c>
      <c r="AD18" s="2">
        <f t="shared" si="10"/>
        <v>110.44300408163267</v>
      </c>
      <c r="AE18" s="44">
        <f t="shared" si="11"/>
        <v>29452</v>
      </c>
      <c r="AF18" s="44">
        <f t="shared" si="12"/>
        <v>1322.3948</v>
      </c>
    </row>
    <row r="19" spans="1:32" ht="12.75">
      <c r="A19" s="49"/>
      <c r="B19" s="49"/>
      <c r="C19" s="49" t="s">
        <v>7</v>
      </c>
      <c r="D19" s="49">
        <v>0.035493</v>
      </c>
      <c r="E19" s="49">
        <v>0.124414</v>
      </c>
      <c r="F19" s="56">
        <f t="shared" si="1"/>
        <v>0.159907</v>
      </c>
      <c r="G19">
        <f>SUM('Cons Stats'!F43)</f>
        <v>433</v>
      </c>
      <c r="H19" s="2">
        <f t="shared" si="13"/>
        <v>69.23973099999999</v>
      </c>
      <c r="I19" s="13">
        <f>SUM('Cons Stats'!F44)</f>
        <v>433</v>
      </c>
      <c r="J19" s="2">
        <f t="shared" si="2"/>
        <v>69.23973099999999</v>
      </c>
      <c r="K19" s="13">
        <f>SUM('Cons Stats'!F45)</f>
        <v>433</v>
      </c>
      <c r="L19" s="2">
        <f t="shared" si="3"/>
        <v>69.23973099999999</v>
      </c>
      <c r="M19" s="13">
        <f>SUM('Cons Stats'!F46)</f>
        <v>433</v>
      </c>
      <c r="N19" s="2">
        <f t="shared" si="4"/>
        <v>69.23973099999999</v>
      </c>
      <c r="O19" s="13">
        <f>SUM('Cons Stats'!F47)</f>
        <v>434</v>
      </c>
      <c r="P19" s="2">
        <f t="shared" si="5"/>
        <v>69.399638</v>
      </c>
      <c r="Q19" s="13">
        <f>SUM('Cons Stats'!F48)</f>
        <v>434</v>
      </c>
      <c r="R19" s="2">
        <f t="shared" si="6"/>
        <v>69.399638</v>
      </c>
      <c r="S19" s="13">
        <f>SUM('Cons Stats'!F49)</f>
        <v>434</v>
      </c>
      <c r="T19" s="2">
        <f t="shared" si="7"/>
        <v>69.399638</v>
      </c>
      <c r="U19" s="13">
        <f>SUM('Cons Stats'!F49)</f>
        <v>434</v>
      </c>
      <c r="V19" s="2">
        <f t="shared" si="0"/>
        <v>69.399638</v>
      </c>
      <c r="W19" s="3">
        <f>'Cons Stats'!F51</f>
        <v>434</v>
      </c>
      <c r="X19" s="2">
        <f t="shared" si="14"/>
        <v>69.399638</v>
      </c>
      <c r="Y19" s="13">
        <f>'Cons Stats'!F52</f>
        <v>440</v>
      </c>
      <c r="Z19" s="2">
        <f t="shared" si="8"/>
        <v>70.35907999999999</v>
      </c>
      <c r="AA19" s="13">
        <f>'Cons Stats'!F53</f>
        <v>440</v>
      </c>
      <c r="AB19" s="2">
        <f t="shared" si="9"/>
        <v>70.35907999999999</v>
      </c>
      <c r="AC19" s="13">
        <f>'Cons Stats'!F54</f>
        <v>440</v>
      </c>
      <c r="AD19" s="2">
        <f t="shared" si="10"/>
        <v>70.35907999999999</v>
      </c>
      <c r="AE19" s="44">
        <f t="shared" si="11"/>
        <v>5222</v>
      </c>
      <c r="AF19" s="44">
        <f t="shared" si="12"/>
        <v>835.0343539999999</v>
      </c>
    </row>
    <row r="20" spans="6:32" ht="12.75">
      <c r="F20" t="s">
        <v>40</v>
      </c>
      <c r="K20" s="12"/>
      <c r="L20" s="12"/>
      <c r="W20" s="3" t="s">
        <v>39</v>
      </c>
      <c r="X20" s="2" t="s">
        <v>39</v>
      </c>
      <c r="AE20" s="44" t="s">
        <v>39</v>
      </c>
      <c r="AF20" s="44" t="s">
        <v>39</v>
      </c>
    </row>
    <row r="21" spans="3:32" ht="12.75">
      <c r="C21" t="s">
        <v>39</v>
      </c>
      <c r="F21" s="1" t="s">
        <v>9</v>
      </c>
      <c r="G21" s="44">
        <f aca="true" t="shared" si="15" ref="G21:V21">SUM(G6:G20)</f>
        <v>20398898.080249295</v>
      </c>
      <c r="H21" s="2">
        <f t="shared" si="15"/>
        <v>46525.000912089075</v>
      </c>
      <c r="I21" s="44">
        <f t="shared" si="15"/>
        <v>17213709.275070705</v>
      </c>
      <c r="J21" s="2">
        <f t="shared" si="15"/>
        <v>39730.455677245176</v>
      </c>
      <c r="K21" s="44">
        <f t="shared" si="15"/>
        <v>16645087.928430025</v>
      </c>
      <c r="L21" s="2">
        <f t="shared" si="15"/>
        <v>38538.73743804671</v>
      </c>
      <c r="M21" s="44">
        <f t="shared" si="15"/>
        <v>18700722.423286185</v>
      </c>
      <c r="N21" s="2">
        <f t="shared" si="15"/>
        <v>41820.66527072604</v>
      </c>
      <c r="O21" s="44">
        <f t="shared" si="15"/>
        <v>12935581.467532553</v>
      </c>
      <c r="P21" s="2">
        <f t="shared" si="15"/>
        <v>35012.810146514734</v>
      </c>
      <c r="Q21" s="44">
        <f t="shared" si="15"/>
        <v>11815294.848983068</v>
      </c>
      <c r="R21" s="2">
        <f t="shared" si="15"/>
        <v>35485.392546857795</v>
      </c>
      <c r="S21" s="44">
        <f t="shared" si="15"/>
        <v>9812529.805117162</v>
      </c>
      <c r="T21" s="2">
        <f t="shared" si="15"/>
        <v>28059.187930176315</v>
      </c>
      <c r="U21" s="44">
        <f t="shared" si="15"/>
        <v>9577955.546812544</v>
      </c>
      <c r="V21" s="2">
        <f t="shared" si="15"/>
        <v>28631.71411655326</v>
      </c>
      <c r="W21" s="44">
        <f aca="true" t="shared" si="16" ref="W21:AD21">SUM(W6:W20)</f>
        <v>12750108.821927149</v>
      </c>
      <c r="X21" s="2">
        <f t="shared" si="16"/>
        <v>38062.34101006065</v>
      </c>
      <c r="Y21" s="44">
        <f t="shared" si="16"/>
        <v>8897428.98947565</v>
      </c>
      <c r="Z21" s="2">
        <f t="shared" si="16"/>
        <v>27367.84493954159</v>
      </c>
      <c r="AA21" s="44">
        <f t="shared" si="16"/>
        <v>10332431.128295192</v>
      </c>
      <c r="AB21" s="2">
        <f t="shared" si="16"/>
        <v>31676.50999832917</v>
      </c>
      <c r="AC21" s="44">
        <f t="shared" si="16"/>
        <v>12464879.827987762</v>
      </c>
      <c r="AD21" s="2">
        <f t="shared" si="16"/>
        <v>34273.432327843875</v>
      </c>
      <c r="AE21" s="44">
        <f t="shared" si="11"/>
        <v>161544628.14316732</v>
      </c>
      <c r="AF21" s="44">
        <f t="shared" si="12"/>
        <v>425184.0923139844</v>
      </c>
    </row>
    <row r="22" spans="31:32" ht="12.75">
      <c r="AE22" s="44">
        <f t="shared" si="11"/>
        <v>0</v>
      </c>
      <c r="AF22" s="44">
        <f t="shared" si="12"/>
        <v>0</v>
      </c>
    </row>
    <row r="23" spans="1:32" ht="12.75">
      <c r="A23" t="s">
        <v>121</v>
      </c>
      <c r="C23" t="s">
        <v>122</v>
      </c>
      <c r="F23" s="1" t="s">
        <v>10</v>
      </c>
      <c r="G23" s="13">
        <f>'Cons Stats'!S43</f>
        <v>20398898.08024929</v>
      </c>
      <c r="H23" s="2">
        <f>(321990)/12</f>
        <v>26832.5</v>
      </c>
      <c r="I23" s="13">
        <f>'Cons Stats'!S44</f>
        <v>17213709.275070705</v>
      </c>
      <c r="J23" s="2">
        <f>(321990)/12</f>
        <v>26832.5</v>
      </c>
      <c r="K23" s="13">
        <f>'Cons Stats'!S45</f>
        <v>16645087.928430025</v>
      </c>
      <c r="L23" s="2">
        <f>(321990)/12</f>
        <v>26832.5</v>
      </c>
      <c r="M23" s="13">
        <f>'Cons Stats'!S46</f>
        <v>18700722.423286185</v>
      </c>
      <c r="N23" s="2">
        <f>(321990)/12</f>
        <v>26832.5</v>
      </c>
      <c r="O23" s="13">
        <f>'Cons Stats'!S47</f>
        <v>12935581.467532553</v>
      </c>
      <c r="P23" s="2">
        <f>(321990)/12</f>
        <v>26832.5</v>
      </c>
      <c r="Q23" s="13">
        <f>'Cons Stats'!S48</f>
        <v>11815294.848983068</v>
      </c>
      <c r="R23" s="2">
        <f>(321990)/12</f>
        <v>26832.5</v>
      </c>
      <c r="S23" s="13">
        <f>'Cons Stats'!S49</f>
        <v>9812529.805117162</v>
      </c>
      <c r="T23" s="2">
        <f>(321990)/12</f>
        <v>26832.5</v>
      </c>
      <c r="U23" s="13">
        <f>'Cons Stats'!S50</f>
        <v>9577955.546812546</v>
      </c>
      <c r="V23" s="2">
        <f>(321990)/12</f>
        <v>26832.5</v>
      </c>
      <c r="W23" s="13">
        <f>'Cons Stats'!S51</f>
        <v>12750108.821927149</v>
      </c>
      <c r="X23" s="2">
        <f>(321990)/12</f>
        <v>26832.5</v>
      </c>
      <c r="Y23" s="13">
        <f>'Cons Stats'!S52</f>
        <v>8897429.98947565</v>
      </c>
      <c r="Z23" s="2">
        <f>(321990)/12</f>
        <v>26832.5</v>
      </c>
      <c r="AA23" s="13">
        <f>'Cons Stats'!S53</f>
        <v>10332432.128295194</v>
      </c>
      <c r="AB23" s="2">
        <f>(321990)/12</f>
        <v>26832.5</v>
      </c>
      <c r="AC23" s="13">
        <f>'Cons Stats'!S54</f>
        <v>12464880.827987762</v>
      </c>
      <c r="AD23" s="2">
        <f>(321990)/12</f>
        <v>26832.5</v>
      </c>
      <c r="AE23" s="44">
        <f t="shared" si="11"/>
        <v>161544631.1431673</v>
      </c>
      <c r="AF23" s="44">
        <f t="shared" si="12"/>
        <v>321990</v>
      </c>
    </row>
    <row r="24" spans="7:21" ht="12.75">
      <c r="G24" s="44">
        <f>G21-G23</f>
        <v>0</v>
      </c>
      <c r="I24" s="44">
        <f>I21-I23</f>
        <v>0</v>
      </c>
      <c r="K24" s="44">
        <f>K21-K23</f>
        <v>0</v>
      </c>
      <c r="L24" s="12"/>
      <c r="M24" s="44">
        <f>M21-M23</f>
        <v>0</v>
      </c>
      <c r="N24" s="12"/>
      <c r="O24" s="44">
        <f>O21-O23</f>
        <v>0</v>
      </c>
      <c r="P24" s="12"/>
      <c r="Q24" s="44">
        <f>Q21-Q23</f>
        <v>0</v>
      </c>
      <c r="R24" s="12"/>
      <c r="S24" s="44">
        <f>S21-S23</f>
        <v>0</v>
      </c>
      <c r="U24" s="44">
        <f>U21-U23</f>
        <v>0</v>
      </c>
    </row>
    <row r="25" spans="11:18" ht="12.75">
      <c r="K25" s="12"/>
      <c r="L25" s="12"/>
      <c r="M25" s="12"/>
      <c r="N25" s="12"/>
      <c r="O25" s="12"/>
      <c r="P25" s="12"/>
      <c r="Q25" s="12"/>
      <c r="R25" s="12"/>
    </row>
    <row r="26" spans="1:31" ht="15">
      <c r="A26" s="41" t="s">
        <v>13</v>
      </c>
      <c r="B26" t="s">
        <v>11</v>
      </c>
      <c r="C26" s="10" t="s">
        <v>31</v>
      </c>
      <c r="D26" s="10"/>
      <c r="E26" s="10"/>
      <c r="F26" s="10"/>
      <c r="G26" s="33">
        <f>H23</f>
        <v>26832.5</v>
      </c>
      <c r="H26" s="34"/>
      <c r="I26" s="33">
        <f>J23</f>
        <v>26832.5</v>
      </c>
      <c r="J26" s="34"/>
      <c r="K26" s="33">
        <f>L23</f>
        <v>26832.5</v>
      </c>
      <c r="L26" s="34"/>
      <c r="M26" s="33">
        <f>N23</f>
        <v>26832.5</v>
      </c>
      <c r="N26" s="34"/>
      <c r="O26" s="33">
        <f>P23</f>
        <v>26832.5</v>
      </c>
      <c r="P26" s="34"/>
      <c r="Q26" s="33">
        <f>R23</f>
        <v>26832.5</v>
      </c>
      <c r="R26" s="34"/>
      <c r="S26" s="33">
        <f>T23</f>
        <v>26832.5</v>
      </c>
      <c r="T26" s="34"/>
      <c r="U26" s="33">
        <f>V23</f>
        <v>26832.5</v>
      </c>
      <c r="V26" s="34"/>
      <c r="W26" s="33">
        <f>X23</f>
        <v>26832.5</v>
      </c>
      <c r="X26" s="34"/>
      <c r="Y26" s="33">
        <f>Z23</f>
        <v>26832.5</v>
      </c>
      <c r="Z26" s="34"/>
      <c r="AA26" s="33">
        <f>AB23</f>
        <v>26832.5</v>
      </c>
      <c r="AB26" s="34"/>
      <c r="AC26" s="33">
        <f>AD23</f>
        <v>26832.5</v>
      </c>
      <c r="AD26" s="34"/>
      <c r="AE26" s="44">
        <f>AC26+AA26+Y26+W26+U26+S26+Q26+O26+M26+K26+I26+G26</f>
        <v>321990</v>
      </c>
    </row>
    <row r="27" spans="3:32" ht="12.75">
      <c r="C27" s="10" t="s">
        <v>32</v>
      </c>
      <c r="D27" s="10"/>
      <c r="E27" s="10"/>
      <c r="F27" s="10"/>
      <c r="G27" s="34"/>
      <c r="H27" s="33">
        <f>H23</f>
        <v>26832.5</v>
      </c>
      <c r="I27" s="34"/>
      <c r="J27" s="33">
        <f>J23</f>
        <v>26832.5</v>
      </c>
      <c r="K27" s="34"/>
      <c r="L27" s="33">
        <f>L23</f>
        <v>26832.5</v>
      </c>
      <c r="M27" s="34"/>
      <c r="N27" s="33">
        <f>N23</f>
        <v>26832.5</v>
      </c>
      <c r="O27" s="34"/>
      <c r="P27" s="33">
        <f>P23</f>
        <v>26832.5</v>
      </c>
      <c r="Q27" s="34"/>
      <c r="R27" s="33">
        <f>R23</f>
        <v>26832.5</v>
      </c>
      <c r="S27" s="34"/>
      <c r="T27" s="33">
        <f>T23</f>
        <v>26832.5</v>
      </c>
      <c r="U27" s="34"/>
      <c r="V27" s="33">
        <f>V23</f>
        <v>26832.5</v>
      </c>
      <c r="W27" s="34"/>
      <c r="X27" s="33">
        <f>X23</f>
        <v>26832.5</v>
      </c>
      <c r="Y27" s="34"/>
      <c r="Z27" s="33">
        <f>Z23</f>
        <v>26832.5</v>
      </c>
      <c r="AA27" s="34"/>
      <c r="AB27" s="33">
        <f>AB23</f>
        <v>26832.5</v>
      </c>
      <c r="AC27" s="34"/>
      <c r="AD27" s="33">
        <f>AD23</f>
        <v>26832.5</v>
      </c>
      <c r="AF27" s="44">
        <f>AD27+AB27+Z27+X27+V27+T27+R27+P27+N27+L27+J27+H27</f>
        <v>321990</v>
      </c>
    </row>
    <row r="28" spans="7:30" ht="12.75">
      <c r="G28" s="31"/>
      <c r="H28" s="35"/>
      <c r="I28" s="31"/>
      <c r="J28" s="35"/>
      <c r="K28" s="31"/>
      <c r="L28" s="35"/>
      <c r="M28" s="31"/>
      <c r="N28" s="35"/>
      <c r="O28" s="31"/>
      <c r="P28" s="35"/>
      <c r="Q28" s="31"/>
      <c r="R28" s="35"/>
      <c r="S28" s="31"/>
      <c r="T28" s="35"/>
      <c r="U28" s="31"/>
      <c r="V28" s="35"/>
      <c r="W28" s="31"/>
      <c r="X28" s="35"/>
      <c r="Y28" s="31"/>
      <c r="Z28" s="35"/>
      <c r="AA28" s="31"/>
      <c r="AB28" s="35"/>
      <c r="AC28" s="31"/>
      <c r="AD28" s="35"/>
    </row>
    <row r="29" spans="1:32" ht="15">
      <c r="A29" s="51" t="s">
        <v>14</v>
      </c>
      <c r="B29" s="49"/>
      <c r="C29" s="49"/>
      <c r="D29" s="49"/>
      <c r="E29" s="49"/>
      <c r="F29" s="49"/>
      <c r="G29" s="52"/>
      <c r="H29" s="53"/>
      <c r="I29" s="52"/>
      <c r="J29" s="53"/>
      <c r="K29" s="52"/>
      <c r="L29" s="53"/>
      <c r="M29" s="52"/>
      <c r="N29" s="53"/>
      <c r="O29" s="52"/>
      <c r="P29" s="53"/>
      <c r="Q29" s="52"/>
      <c r="R29" s="53"/>
      <c r="S29" s="52"/>
      <c r="T29" s="53"/>
      <c r="U29" s="52"/>
      <c r="V29" s="53"/>
      <c r="W29" s="52"/>
      <c r="X29" s="53"/>
      <c r="Y29" s="52"/>
      <c r="Z29" s="53"/>
      <c r="AA29" s="52"/>
      <c r="AB29" s="53"/>
      <c r="AC29" s="52"/>
      <c r="AD29" s="53"/>
      <c r="AE29" s="49"/>
      <c r="AF29" s="49"/>
    </row>
    <row r="30" spans="1:32" ht="15">
      <c r="A30" s="51" t="s">
        <v>15</v>
      </c>
      <c r="B30" s="49"/>
      <c r="C30" s="54" t="s">
        <v>33</v>
      </c>
      <c r="D30" s="54"/>
      <c r="E30" s="54"/>
      <c r="F30" s="54"/>
      <c r="G30" s="69">
        <f>H21</f>
        <v>46525.000912089075</v>
      </c>
      <c r="H30" s="50"/>
      <c r="I30" s="69">
        <f>J21</f>
        <v>39730.455677245176</v>
      </c>
      <c r="J30" s="50"/>
      <c r="K30" s="69">
        <f>L21</f>
        <v>38538.73743804671</v>
      </c>
      <c r="L30" s="50"/>
      <c r="M30" s="69">
        <f>N21</f>
        <v>41820.66527072604</v>
      </c>
      <c r="N30" s="50"/>
      <c r="O30" s="69">
        <f>P21</f>
        <v>35012.810146514734</v>
      </c>
      <c r="P30" s="50"/>
      <c r="Q30" s="69">
        <f>R21</f>
        <v>35485.392546857795</v>
      </c>
      <c r="R30" s="50"/>
      <c r="S30" s="69">
        <f>T21</f>
        <v>28059.187930176315</v>
      </c>
      <c r="T30" s="50"/>
      <c r="U30" s="69">
        <f>V21</f>
        <v>28631.71411655326</v>
      </c>
      <c r="V30" s="50"/>
      <c r="W30" s="69">
        <f>X21</f>
        <v>38062.34101006065</v>
      </c>
      <c r="X30" s="50"/>
      <c r="Y30" s="69">
        <f>Z21</f>
        <v>27367.84493954159</v>
      </c>
      <c r="Z30" s="50"/>
      <c r="AA30" s="69">
        <f>AB21</f>
        <v>31676.50999832917</v>
      </c>
      <c r="AB30" s="50"/>
      <c r="AC30" s="69">
        <f>AD21</f>
        <v>34273.432327843875</v>
      </c>
      <c r="AD30" s="50"/>
      <c r="AE30" s="55">
        <f>AC30+AA30+Y30+W30+U30+S30+Q30+O30+M30+K30+I30+G30</f>
        <v>425184.0923139844</v>
      </c>
      <c r="AF30" s="56"/>
    </row>
    <row r="31" spans="1:32" ht="12.75">
      <c r="A31" s="49"/>
      <c r="B31" s="49"/>
      <c r="C31" s="54" t="s">
        <v>34</v>
      </c>
      <c r="D31" s="54"/>
      <c r="E31" s="54"/>
      <c r="F31" s="54"/>
      <c r="G31" s="50"/>
      <c r="H31" s="69">
        <f>H21</f>
        <v>46525.000912089075</v>
      </c>
      <c r="I31" s="50"/>
      <c r="J31" s="69">
        <f>J21</f>
        <v>39730.455677245176</v>
      </c>
      <c r="K31" s="50"/>
      <c r="L31" s="69">
        <f>L21</f>
        <v>38538.73743804671</v>
      </c>
      <c r="M31" s="50"/>
      <c r="N31" s="69">
        <f>N21</f>
        <v>41820.66527072604</v>
      </c>
      <c r="O31" s="50"/>
      <c r="P31" s="69">
        <f>P21</f>
        <v>35012.810146514734</v>
      </c>
      <c r="Q31" s="50"/>
      <c r="R31" s="69">
        <f>R21</f>
        <v>35485.392546857795</v>
      </c>
      <c r="S31" s="50"/>
      <c r="T31" s="69">
        <f>T21</f>
        <v>28059.187930176315</v>
      </c>
      <c r="U31" s="50"/>
      <c r="V31" s="69">
        <f>V21</f>
        <v>28631.71411655326</v>
      </c>
      <c r="W31" s="50"/>
      <c r="X31" s="69">
        <f>X21</f>
        <v>38062.34101006065</v>
      </c>
      <c r="Y31" s="50"/>
      <c r="Z31" s="69">
        <f>Z21</f>
        <v>27367.84493954159</v>
      </c>
      <c r="AA31" s="50"/>
      <c r="AB31" s="69">
        <f>AB21</f>
        <v>31676.50999832917</v>
      </c>
      <c r="AC31" s="50"/>
      <c r="AD31" s="69">
        <f>AD21</f>
        <v>34273.432327843875</v>
      </c>
      <c r="AE31" s="56"/>
      <c r="AF31" s="55">
        <f>AD31+AB31+Z31+X31+V31+T31+R31+P31+N31+L31+J31+H31</f>
        <v>425184.0923139844</v>
      </c>
    </row>
    <row r="33" spans="7:32" ht="12.75">
      <c r="G33" t="s">
        <v>16</v>
      </c>
      <c r="H33" s="6">
        <f>H6+H8+H10+H12+H14+H16+H18</f>
        <v>18150.377278089076</v>
      </c>
      <c r="J33" s="6">
        <f>J6+J8+J10+J12+J14+J16+J18</f>
        <v>14819.624346245171</v>
      </c>
      <c r="L33" s="6">
        <f>L6+L8+L10+L12+L14+L16+L18</f>
        <v>14086.008497046698</v>
      </c>
      <c r="N33" s="6">
        <f>N6+N8+N10+N12+N14+N16+N18</f>
        <v>15343.292458726035</v>
      </c>
      <c r="P33" s="6">
        <f>P6+P8+P10+P12+P14+P16+P18</f>
        <v>15010.54085451473</v>
      </c>
      <c r="R33" s="6">
        <f>R6+R8+R10+R12+R14+R16+R18</f>
        <v>17322.94195685779</v>
      </c>
      <c r="T33" s="6">
        <f>T6+T8+T10+T12+T14+T16+T18</f>
        <v>12332.476242136314</v>
      </c>
      <c r="V33" s="6">
        <f>V6+V8+V10+V12+V14+V16+V18</f>
        <v>13253.307987253254</v>
      </c>
      <c r="X33" s="6">
        <f>X6+X8+X10+X12+X14+X16+X18</f>
        <v>18724.36775462065</v>
      </c>
      <c r="Z33" s="6">
        <f>Z6+Z8+Z10+Z12+Z14+Z16+Z18</f>
        <v>12761.301016081588</v>
      </c>
      <c r="AB33" s="6">
        <f>AB6+AB8+AB10+AB12+AB14+AB16+AB18</f>
        <v>15000.14740832917</v>
      </c>
      <c r="AD33" s="6">
        <f>AD6+AD8+AD10+AD12+AD14+AD16+AD18</f>
        <v>15011.629319843874</v>
      </c>
      <c r="AF33" s="6">
        <f>AF6+AF8+AF10+AF12+AF14+AF16+AF18</f>
        <v>181816.01511974435</v>
      </c>
    </row>
    <row r="34" spans="7:32" ht="12.75">
      <c r="G34" t="s">
        <v>17</v>
      </c>
      <c r="H34" s="6">
        <f>H7+H9+H11+H13+H15+H17+H19</f>
        <v>28374.623634000007</v>
      </c>
      <c r="J34" s="6">
        <f>J7+J9+J11+J13+J15+J17+J19</f>
        <v>24910.831331</v>
      </c>
      <c r="L34" s="6">
        <f>L7+L9+L11+L13+L15+L17+L19</f>
        <v>24452.728941</v>
      </c>
      <c r="N34" s="6">
        <f>N7+N9+N11+N13+N15+N17+N19</f>
        <v>26477.372812</v>
      </c>
      <c r="P34" s="6">
        <f>P7+P9+P11+P13+P15+P17+P19</f>
        <v>20002.269292</v>
      </c>
      <c r="R34" s="6">
        <f>R7+R9+R11+R13+R15+R17+R19</f>
        <v>18162.45059</v>
      </c>
      <c r="T34" s="6">
        <f>T7+T9+T11+T13+T15+T17+T19</f>
        <v>15726.711688040003</v>
      </c>
      <c r="V34" s="6">
        <f>V7+V9+V11+V13+V15+V17+V19</f>
        <v>15378.4061293</v>
      </c>
      <c r="X34" s="6">
        <f>X7+X9+X11+X13+X15+X17+X19</f>
        <v>19337.97325544</v>
      </c>
      <c r="Z34" s="6">
        <f>Z7+Z9+Z11+Z13+Z15+Z17+Z19</f>
        <v>14606.54392346</v>
      </c>
      <c r="AB34" s="6">
        <f>AB7+AB9+AB11+AB13+AB15+AB17+AB19</f>
        <v>16676.362589999997</v>
      </c>
      <c r="AD34" s="6">
        <f>AD7+AD9+AD11+AD13+AD15+AD17+AD19</f>
        <v>19261.803008</v>
      </c>
      <c r="AF34" s="6">
        <f>AF7+AF9+AF11+AF13+AF15+AF17+AF19</f>
        <v>243368.07719424</v>
      </c>
    </row>
    <row r="35" spans="8:32" ht="13.5" thickBot="1">
      <c r="H35" s="7">
        <f>SUM(H33:H34)</f>
        <v>46525.00091208908</v>
      </c>
      <c r="J35" s="7">
        <f>SUM(J33:J34)</f>
        <v>39730.455677245176</v>
      </c>
      <c r="L35" s="7">
        <f>SUM(L33:L34)</f>
        <v>38538.7374380467</v>
      </c>
      <c r="N35" s="7">
        <f>SUM(N33:N34)</f>
        <v>41820.66527072604</v>
      </c>
      <c r="P35" s="7">
        <f>SUM(P33:P34)</f>
        <v>35012.810146514734</v>
      </c>
      <c r="R35" s="7">
        <f>SUM(R33:R34)</f>
        <v>35485.392546857795</v>
      </c>
      <c r="T35" s="7">
        <f>SUM(T33:T34)</f>
        <v>28059.18793017632</v>
      </c>
      <c r="V35" s="7">
        <f>SUM(V33:V34)</f>
        <v>28631.714116553252</v>
      </c>
      <c r="X35" s="7">
        <f>SUM(X33:X34)</f>
        <v>38062.34101006065</v>
      </c>
      <c r="Z35" s="7">
        <f>SUM(Z33:Z34)</f>
        <v>27367.84493954159</v>
      </c>
      <c r="AB35" s="7">
        <f>SUM(AB33:AB34)</f>
        <v>31676.509998329166</v>
      </c>
      <c r="AD35" s="7">
        <f>SUM(AD33:AD34)</f>
        <v>34273.432327843875</v>
      </c>
      <c r="AF35" s="7">
        <f>SUM(AF33:AF34)</f>
        <v>425184.09231398435</v>
      </c>
    </row>
    <row r="36" spans="8:30" ht="13.5" thickTop="1">
      <c r="H36" s="30"/>
      <c r="J36" s="30"/>
      <c r="L36" s="30"/>
      <c r="N36" s="30"/>
      <c r="P36" s="30"/>
      <c r="R36" s="30"/>
      <c r="T36" s="30"/>
      <c r="V36" s="30"/>
      <c r="X36" s="30"/>
      <c r="Z36" s="30"/>
      <c r="AB36" s="30"/>
      <c r="AD36" s="30"/>
    </row>
    <row r="37" spans="5:32" ht="12.75">
      <c r="E37" t="s">
        <v>114</v>
      </c>
      <c r="H37" s="5">
        <f>G26-H31</f>
        <v>-19692.500912089075</v>
      </c>
      <c r="J37" s="5">
        <f>I26-J31</f>
        <v>-12897.955677245176</v>
      </c>
      <c r="L37" s="5">
        <f>K26-L31</f>
        <v>-11706.237438046708</v>
      </c>
      <c r="N37" s="5">
        <f>M26-N31</f>
        <v>-14988.165270726036</v>
      </c>
      <c r="P37" s="5">
        <f>O26-P31</f>
        <v>-8180.310146514734</v>
      </c>
      <c r="R37" s="5">
        <f>Q26-R31</f>
        <v>-8652.892546857795</v>
      </c>
      <c r="T37" s="5">
        <f>S26-T31</f>
        <v>-1226.6879301763147</v>
      </c>
      <c r="V37" s="5">
        <f>U26-V31</f>
        <v>-1799.2141165532594</v>
      </c>
      <c r="X37" s="5">
        <f>W26-X31</f>
        <v>-11229.841010060649</v>
      </c>
      <c r="Z37" s="5">
        <f>Y26-Z31</f>
        <v>-535.3449395415882</v>
      </c>
      <c r="AB37" s="5">
        <f>AA26-AB31</f>
        <v>-4844.009998329169</v>
      </c>
      <c r="AD37" s="5">
        <f>AC26-AD31</f>
        <v>-7440.932327843875</v>
      </c>
      <c r="AE37" s="47" t="s">
        <v>67</v>
      </c>
      <c r="AF37" s="44">
        <f>AF31-AF27</f>
        <v>103194.09231398441</v>
      </c>
    </row>
    <row r="39" spans="1:2" ht="15">
      <c r="A39" s="41" t="s">
        <v>18</v>
      </c>
      <c r="B39" t="s">
        <v>113</v>
      </c>
    </row>
    <row r="40" ht="13.5" thickBot="1"/>
    <row r="41" spans="5:23" ht="13.5" thickTop="1">
      <c r="E41" t="s">
        <v>19</v>
      </c>
      <c r="K41" s="57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</row>
    <row r="42" spans="3:23" ht="12.75">
      <c r="C42" t="s">
        <v>115</v>
      </c>
      <c r="D42" s="5">
        <f>H37</f>
        <v>-19692.500912089075</v>
      </c>
      <c r="E42" s="5">
        <f>(122830.1+D42)</f>
        <v>103137.59908791093</v>
      </c>
      <c r="F42" s="8">
        <v>0.0725</v>
      </c>
      <c r="G42" s="5">
        <f>E42*F42*(1/12)</f>
        <v>623.1229944894618</v>
      </c>
      <c r="K42" s="60"/>
      <c r="L42" s="61" t="s">
        <v>143</v>
      </c>
      <c r="M42" s="61"/>
      <c r="N42" s="61"/>
      <c r="O42" s="61"/>
      <c r="P42" s="61"/>
      <c r="Q42" s="61"/>
      <c r="R42" s="61"/>
      <c r="S42" s="61"/>
      <c r="T42" s="61"/>
      <c r="U42" s="62"/>
      <c r="V42" s="62"/>
      <c r="W42" s="63"/>
    </row>
    <row r="43" spans="3:23" ht="12.75">
      <c r="C43" t="s">
        <v>116</v>
      </c>
      <c r="D43" s="5">
        <f>J37</f>
        <v>-12897.955677245176</v>
      </c>
      <c r="E43" s="5">
        <f aca="true" t="shared" si="17" ref="E43:E53">(E42+D43)</f>
        <v>90239.64341066575</v>
      </c>
      <c r="F43" s="8">
        <v>0.0725</v>
      </c>
      <c r="G43" s="5">
        <f>E43*F43*(1/12)</f>
        <v>545.1978456061055</v>
      </c>
      <c r="K43" s="60"/>
      <c r="L43" s="61"/>
      <c r="M43" s="61"/>
      <c r="N43" s="61"/>
      <c r="O43" s="61"/>
      <c r="P43" s="61"/>
      <c r="Q43" s="61"/>
      <c r="R43" s="61"/>
      <c r="S43" s="61"/>
      <c r="T43" s="61"/>
      <c r="U43" s="62"/>
      <c r="V43" s="62"/>
      <c r="W43" s="63"/>
    </row>
    <row r="44" spans="3:23" ht="12.75">
      <c r="C44" t="s">
        <v>117</v>
      </c>
      <c r="D44" s="5">
        <f>L37</f>
        <v>-11706.237438046708</v>
      </c>
      <c r="E44" s="5">
        <f t="shared" si="17"/>
        <v>78533.40597261905</v>
      </c>
      <c r="F44" s="8">
        <v>0.0725</v>
      </c>
      <c r="G44" s="5">
        <f>E44*F44*(1/12)</f>
        <v>474.47266108457336</v>
      </c>
      <c r="K44" s="60"/>
      <c r="L44" s="61" t="s">
        <v>144</v>
      </c>
      <c r="M44" s="61"/>
      <c r="N44" s="61"/>
      <c r="O44" s="61"/>
      <c r="P44" s="61"/>
      <c r="Q44" s="61"/>
      <c r="R44" s="61"/>
      <c r="S44" s="61"/>
      <c r="T44" s="61"/>
      <c r="U44" s="62"/>
      <c r="V44" s="62"/>
      <c r="W44" s="63"/>
    </row>
    <row r="45" spans="3:23" ht="12.75">
      <c r="C45" t="s">
        <v>20</v>
      </c>
      <c r="D45" s="5">
        <f>N37</f>
        <v>-14988.165270726036</v>
      </c>
      <c r="E45" s="5">
        <f t="shared" si="17"/>
        <v>63545.24070189301</v>
      </c>
      <c r="F45" s="8">
        <v>0.0725</v>
      </c>
      <c r="G45" s="5">
        <f>E45*F45*(1/12)</f>
        <v>383.9191625739369</v>
      </c>
      <c r="K45" s="60"/>
      <c r="L45" s="61"/>
      <c r="M45" s="61"/>
      <c r="N45" s="61"/>
      <c r="O45" s="61"/>
      <c r="P45" s="61"/>
      <c r="Q45" s="61"/>
      <c r="R45" s="61"/>
      <c r="S45" s="61"/>
      <c r="T45" s="61"/>
      <c r="U45" s="62"/>
      <c r="V45" s="62"/>
      <c r="W45" s="63"/>
    </row>
    <row r="46" spans="3:23" ht="12.75">
      <c r="C46" t="s">
        <v>21</v>
      </c>
      <c r="D46" s="5">
        <f>P37</f>
        <v>-8180.310146514734</v>
      </c>
      <c r="E46" s="5">
        <f t="shared" si="17"/>
        <v>55364.930555378276</v>
      </c>
      <c r="F46" s="8">
        <v>0.0725</v>
      </c>
      <c r="G46" s="5">
        <f aca="true" t="shared" si="18" ref="G46:G53">E46*F46*(1/12)</f>
        <v>334.49645543874374</v>
      </c>
      <c r="K46" s="60"/>
      <c r="L46" s="61" t="s">
        <v>145</v>
      </c>
      <c r="M46" s="61"/>
      <c r="N46" s="61"/>
      <c r="O46" s="61"/>
      <c r="P46" s="61"/>
      <c r="Q46" s="61"/>
      <c r="R46" s="61"/>
      <c r="S46" s="61"/>
      <c r="T46" s="61"/>
      <c r="U46" s="62"/>
      <c r="V46" s="62"/>
      <c r="W46" s="63"/>
    </row>
    <row r="47" spans="3:23" ht="12.75">
      <c r="C47" t="s">
        <v>22</v>
      </c>
      <c r="D47" s="5">
        <f>R37</f>
        <v>-8652.892546857795</v>
      </c>
      <c r="E47" s="5">
        <f t="shared" si="17"/>
        <v>46712.03800852048</v>
      </c>
      <c r="F47" s="8">
        <v>0.0725</v>
      </c>
      <c r="G47" s="5">
        <f t="shared" si="18"/>
        <v>282.2185629681445</v>
      </c>
      <c r="K47" s="60"/>
      <c r="L47" s="61"/>
      <c r="M47" s="61"/>
      <c r="N47" s="61"/>
      <c r="O47" s="61"/>
      <c r="P47" s="61"/>
      <c r="Q47" s="61"/>
      <c r="R47" s="61"/>
      <c r="S47" s="61"/>
      <c r="T47" s="61"/>
      <c r="U47" s="62"/>
      <c r="V47" s="62"/>
      <c r="W47" s="63"/>
    </row>
    <row r="48" spans="3:23" ht="12.75">
      <c r="C48" t="s">
        <v>23</v>
      </c>
      <c r="D48" s="5">
        <f>T37</f>
        <v>-1226.6879301763147</v>
      </c>
      <c r="E48" s="5">
        <f t="shared" si="17"/>
        <v>45485.35007834417</v>
      </c>
      <c r="F48" s="8">
        <v>0.0725</v>
      </c>
      <c r="G48" s="5">
        <f t="shared" si="18"/>
        <v>274.807323389996</v>
      </c>
      <c r="K48" s="60"/>
      <c r="L48" s="61" t="s">
        <v>146</v>
      </c>
      <c r="M48" s="61"/>
      <c r="N48" s="61"/>
      <c r="O48" s="61"/>
      <c r="P48" s="61"/>
      <c r="Q48" s="61"/>
      <c r="R48" s="61"/>
      <c r="S48" s="61"/>
      <c r="T48" s="61"/>
      <c r="U48" s="62"/>
      <c r="V48" s="62"/>
      <c r="W48" s="63"/>
    </row>
    <row r="49" spans="3:23" ht="12.75">
      <c r="C49" t="s">
        <v>24</v>
      </c>
      <c r="D49" s="5">
        <f>V37</f>
        <v>-1799.2141165532594</v>
      </c>
      <c r="E49" s="5">
        <f t="shared" si="17"/>
        <v>43686.13596179091</v>
      </c>
      <c r="F49" s="8">
        <v>0.0725</v>
      </c>
      <c r="G49" s="5">
        <f t="shared" si="18"/>
        <v>263.93707143582003</v>
      </c>
      <c r="K49" s="60"/>
      <c r="L49" s="61"/>
      <c r="M49" s="61"/>
      <c r="N49" s="61"/>
      <c r="O49" s="61"/>
      <c r="P49" s="61"/>
      <c r="Q49" s="61"/>
      <c r="R49" s="61"/>
      <c r="S49" s="61"/>
      <c r="T49" s="61"/>
      <c r="U49" s="62"/>
      <c r="V49" s="62"/>
      <c r="W49" s="63"/>
    </row>
    <row r="50" spans="3:23" ht="12.75">
      <c r="C50" t="s">
        <v>25</v>
      </c>
      <c r="D50" s="5">
        <f>X37</f>
        <v>-11229.841010060649</v>
      </c>
      <c r="E50" s="5">
        <f t="shared" si="17"/>
        <v>32456.294951730262</v>
      </c>
      <c r="F50" s="8">
        <v>0.0725</v>
      </c>
      <c r="G50" s="5">
        <f t="shared" si="18"/>
        <v>196.0901153333703</v>
      </c>
      <c r="K50" s="60"/>
      <c r="L50" s="61"/>
      <c r="M50" s="61"/>
      <c r="N50" s="61"/>
      <c r="O50" s="61"/>
      <c r="P50" s="61"/>
      <c r="Q50" s="61"/>
      <c r="R50" s="61"/>
      <c r="S50" s="61"/>
      <c r="T50" s="61"/>
      <c r="U50" s="62"/>
      <c r="V50" s="62"/>
      <c r="W50" s="63"/>
    </row>
    <row r="51" spans="3:23" ht="13.5" thickBot="1">
      <c r="C51" t="s">
        <v>26</v>
      </c>
      <c r="D51" s="5">
        <f>Z37</f>
        <v>-535.3449395415882</v>
      </c>
      <c r="E51" s="5">
        <f t="shared" si="17"/>
        <v>31920.950012188674</v>
      </c>
      <c r="F51" s="8">
        <v>0.0725</v>
      </c>
      <c r="G51" s="5">
        <f t="shared" si="18"/>
        <v>192.85573965697324</v>
      </c>
      <c r="K51" s="64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66"/>
      <c r="W51" s="67"/>
    </row>
    <row r="52" spans="3:7" ht="13.5" thickTop="1">
      <c r="C52" t="s">
        <v>27</v>
      </c>
      <c r="D52" s="5">
        <f>AB37</f>
        <v>-4844.009998329169</v>
      </c>
      <c r="E52" s="5">
        <f t="shared" si="17"/>
        <v>27076.940013859505</v>
      </c>
      <c r="F52" s="8">
        <v>0.0725</v>
      </c>
      <c r="G52" s="5">
        <f t="shared" si="18"/>
        <v>163.5898459170678</v>
      </c>
    </row>
    <row r="53" spans="3:7" ht="12.75">
      <c r="C53" t="s">
        <v>28</v>
      </c>
      <c r="D53" s="5">
        <f>AD37</f>
        <v>-7440.932327843875</v>
      </c>
      <c r="E53" s="5">
        <f t="shared" si="17"/>
        <v>19636.00768601563</v>
      </c>
      <c r="F53" s="8">
        <v>0.0725</v>
      </c>
      <c r="G53" s="5">
        <f t="shared" si="18"/>
        <v>118.63421310301108</v>
      </c>
    </row>
    <row r="54" spans="3:12" ht="12.75">
      <c r="C54" t="s">
        <v>39</v>
      </c>
      <c r="D54" s="5" t="s">
        <v>39</v>
      </c>
      <c r="E54" s="5" t="s">
        <v>39</v>
      </c>
      <c r="F54" s="8" t="s">
        <v>39</v>
      </c>
      <c r="G54" s="5" t="s">
        <v>39</v>
      </c>
      <c r="J54" t="s">
        <v>137</v>
      </c>
      <c r="L54" t="s">
        <v>138</v>
      </c>
    </row>
    <row r="55" spans="3:13" ht="12.75">
      <c r="C55" t="s">
        <v>30</v>
      </c>
      <c r="D55" s="5"/>
      <c r="E55" s="5">
        <f>E53</f>
        <v>19636.00768601563</v>
      </c>
      <c r="F55" t="s">
        <v>135</v>
      </c>
      <c r="H55" t="s">
        <v>136</v>
      </c>
      <c r="J55" s="5">
        <f>E42-D42</f>
        <v>122830.1</v>
      </c>
      <c r="K55" t="s">
        <v>67</v>
      </c>
      <c r="L55" s="44">
        <f>J55-E53</f>
        <v>103194.09231398438</v>
      </c>
      <c r="M55" t="s">
        <v>139</v>
      </c>
    </row>
    <row r="56" spans="5:7" ht="12.75">
      <c r="E56" s="5" t="s">
        <v>29</v>
      </c>
      <c r="G56" s="5">
        <f>SUM(G42:G55)</f>
        <v>3853.341990997204</v>
      </c>
    </row>
    <row r="57" ht="12.75">
      <c r="D57" s="5"/>
    </row>
    <row r="58" spans="3:8" ht="12.75">
      <c r="C58" s="10" t="s">
        <v>35</v>
      </c>
      <c r="D58" s="10"/>
      <c r="E58" s="10"/>
      <c r="F58" s="10"/>
      <c r="G58" s="11">
        <f>G56</f>
        <v>3853.341990997204</v>
      </c>
      <c r="H58" s="10"/>
    </row>
    <row r="59" spans="3:8" ht="12.75">
      <c r="C59" s="10" t="s">
        <v>36</v>
      </c>
      <c r="D59" s="10"/>
      <c r="E59" s="10"/>
      <c r="F59" s="10"/>
      <c r="G59" s="10"/>
      <c r="H59" s="11">
        <f>G56</f>
        <v>3853.341990997204</v>
      </c>
    </row>
    <row r="61" spans="3:5" ht="12.75">
      <c r="C61" t="s">
        <v>125</v>
      </c>
      <c r="D61" s="5" t="s">
        <v>39</v>
      </c>
      <c r="E61" t="s">
        <v>141</v>
      </c>
    </row>
    <row r="62" spans="3:9" ht="12.75">
      <c r="C62" t="s">
        <v>12</v>
      </c>
      <c r="D62" s="9">
        <f>E55</f>
        <v>19636.00768601563</v>
      </c>
      <c r="E62" t="s">
        <v>126</v>
      </c>
      <c r="G62" s="9">
        <f>D62+G58+11623.35</f>
        <v>35112.69967701283</v>
      </c>
      <c r="I62" t="s">
        <v>142</v>
      </c>
    </row>
  </sheetData>
  <sheetProtection/>
  <printOptions horizontalCentered="1" verticalCentered="1"/>
  <pageMargins left="0.52" right="0.17" top="0.54" bottom="0.52" header="0.5" footer="0.5"/>
  <pageSetup fitToHeight="1" fitToWidth="1" horizontalDpi="600" verticalDpi="600" orientation="landscape" paperSize="17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zoomScale="75" zoomScaleNormal="75" zoomScalePageLayoutView="0" workbookViewId="0" topLeftCell="A11">
      <selection activeCell="G40" sqref="G40"/>
    </sheetView>
  </sheetViews>
  <sheetFormatPr defaultColWidth="9.140625" defaultRowHeight="12.75"/>
  <cols>
    <col min="1" max="1" width="9.421875" style="0" customWidth="1"/>
    <col min="2" max="2" width="15.57421875" style="0" bestFit="1" customWidth="1"/>
    <col min="3" max="3" width="14.140625" style="0" bestFit="1" customWidth="1"/>
    <col min="4" max="4" width="10.7109375" style="0" customWidth="1"/>
    <col min="5" max="5" width="9.28125" style="0" bestFit="1" customWidth="1"/>
    <col min="6" max="6" width="9.8515625" style="0" customWidth="1"/>
    <col min="7" max="7" width="9.28125" style="0" bestFit="1" customWidth="1"/>
    <col min="8" max="8" width="11.28125" style="0" bestFit="1" customWidth="1"/>
    <col min="9" max="9" width="9.28125" style="0" bestFit="1" customWidth="1"/>
    <col min="10" max="10" width="12.7109375" style="0" customWidth="1"/>
    <col min="11" max="11" width="10.421875" style="0" bestFit="1" customWidth="1"/>
    <col min="12" max="12" width="11.57421875" style="0" customWidth="1"/>
    <col min="13" max="13" width="11.140625" style="0" customWidth="1"/>
    <col min="14" max="14" width="8.140625" style="0" customWidth="1"/>
    <col min="15" max="15" width="10.00390625" style="0" bestFit="1" customWidth="1"/>
    <col min="16" max="16" width="10.28125" style="0" customWidth="1"/>
    <col min="17" max="17" width="9.28125" style="0" bestFit="1" customWidth="1"/>
    <col min="18" max="18" width="9.28125" style="0" customWidth="1"/>
    <col min="19" max="25" width="9.28125" style="0" bestFit="1" customWidth="1"/>
    <col min="26" max="26" width="10.7109375" style="0" bestFit="1" customWidth="1"/>
    <col min="27" max="27" width="9.57421875" style="0" bestFit="1" customWidth="1"/>
    <col min="28" max="32" width="9.28125" style="0" bestFit="1" customWidth="1"/>
    <col min="33" max="33" width="9.8515625" style="0" bestFit="1" customWidth="1"/>
    <col min="34" max="34" width="11.28125" style="0" bestFit="1" customWidth="1"/>
    <col min="35" max="35" width="11.28125" style="0" customWidth="1"/>
    <col min="36" max="36" width="9.28125" style="0" bestFit="1" customWidth="1"/>
    <col min="39" max="39" width="10.57421875" style="0" customWidth="1"/>
  </cols>
  <sheetData>
    <row r="1" spans="1:14" s="38" customFormat="1" ht="23.25">
      <c r="A1" s="38" t="s">
        <v>127</v>
      </c>
      <c r="N1" s="4" t="s">
        <v>100</v>
      </c>
    </row>
    <row r="2" ht="13.5" thickBot="1"/>
    <row r="3" spans="2:16" ht="13.5" thickTop="1">
      <c r="B3" s="14"/>
      <c r="C3" s="15"/>
      <c r="D3" s="23" t="s">
        <v>90</v>
      </c>
      <c r="E3" s="15"/>
      <c r="F3" s="15"/>
      <c r="G3" s="15"/>
      <c r="H3" s="15"/>
      <c r="I3" s="15"/>
      <c r="J3" s="15"/>
      <c r="K3" s="15"/>
      <c r="L3" s="15"/>
      <c r="M3" s="15"/>
      <c r="N3" s="16"/>
      <c r="P3" t="s">
        <v>129</v>
      </c>
    </row>
    <row r="4" spans="1:16" ht="12.75">
      <c r="A4" t="s">
        <v>43</v>
      </c>
      <c r="B4" s="17" t="s">
        <v>57</v>
      </c>
      <c r="C4" s="18" t="s">
        <v>58</v>
      </c>
      <c r="D4" s="18" t="s">
        <v>59</v>
      </c>
      <c r="E4" s="18" t="s">
        <v>60</v>
      </c>
      <c r="F4" s="18" t="s">
        <v>61</v>
      </c>
      <c r="G4" s="18" t="s">
        <v>62</v>
      </c>
      <c r="H4" s="18" t="s">
        <v>63</v>
      </c>
      <c r="I4" s="18" t="s">
        <v>64</v>
      </c>
      <c r="J4" s="24" t="s">
        <v>118</v>
      </c>
      <c r="K4" s="18" t="s">
        <v>3</v>
      </c>
      <c r="L4" s="18" t="s">
        <v>65</v>
      </c>
      <c r="M4" s="24" t="s">
        <v>67</v>
      </c>
      <c r="N4" s="19" t="s">
        <v>107</v>
      </c>
      <c r="P4" t="s">
        <v>130</v>
      </c>
    </row>
    <row r="5" spans="2:16" ht="13.5" thickBot="1">
      <c r="B5" s="20" t="s">
        <v>68</v>
      </c>
      <c r="C5" s="21" t="s">
        <v>68</v>
      </c>
      <c r="D5" s="21" t="s">
        <v>128</v>
      </c>
      <c r="E5" s="21" t="s">
        <v>68</v>
      </c>
      <c r="F5" s="21" t="s">
        <v>68</v>
      </c>
      <c r="G5" s="21" t="s">
        <v>68</v>
      </c>
      <c r="H5" s="21" t="s">
        <v>68</v>
      </c>
      <c r="I5" s="21" t="s">
        <v>68</v>
      </c>
      <c r="J5" s="21" t="s">
        <v>92</v>
      </c>
      <c r="K5" s="21" t="s">
        <v>89</v>
      </c>
      <c r="L5" s="21" t="s">
        <v>66</v>
      </c>
      <c r="M5" s="21" t="s">
        <v>106</v>
      </c>
      <c r="N5" s="22" t="s">
        <v>108</v>
      </c>
      <c r="P5" t="s">
        <v>131</v>
      </c>
    </row>
    <row r="6" spans="1:16" ht="13.5" thickTop="1">
      <c r="A6" t="s">
        <v>44</v>
      </c>
      <c r="B6" s="26">
        <v>14584168</v>
      </c>
      <c r="C6" s="26">
        <v>5682783</v>
      </c>
      <c r="D6">
        <v>2656457</v>
      </c>
      <c r="E6">
        <v>4073143</v>
      </c>
      <c r="F6">
        <v>2463179</v>
      </c>
      <c r="G6">
        <v>5963667</v>
      </c>
      <c r="H6" s="26">
        <v>74890</v>
      </c>
      <c r="I6" s="26">
        <v>463</v>
      </c>
      <c r="J6" s="26"/>
      <c r="K6">
        <f>SUM(B6:I6)</f>
        <v>35498750</v>
      </c>
      <c r="L6">
        <v>35498750</v>
      </c>
      <c r="M6">
        <f>SUM(L6-K6)</f>
        <v>0</v>
      </c>
      <c r="N6">
        <v>205400</v>
      </c>
      <c r="O6">
        <f>SUM(L6+N6)</f>
        <v>35704150</v>
      </c>
      <c r="P6" s="42">
        <f>B6+C6+H6+I6+J6</f>
        <v>20342304</v>
      </c>
    </row>
    <row r="7" spans="1:16" ht="12.75">
      <c r="A7" t="s">
        <v>45</v>
      </c>
      <c r="B7" s="26">
        <v>12695026</v>
      </c>
      <c r="C7" s="26">
        <v>4379104</v>
      </c>
      <c r="D7">
        <v>3295674</v>
      </c>
      <c r="E7">
        <v>4381206</v>
      </c>
      <c r="F7">
        <v>2677843</v>
      </c>
      <c r="G7">
        <v>6879039</v>
      </c>
      <c r="H7" s="26">
        <v>69805</v>
      </c>
      <c r="I7" s="26">
        <v>492</v>
      </c>
      <c r="J7" s="26">
        <v>15400</v>
      </c>
      <c r="K7">
        <f aca="true" t="shared" si="0" ref="K7:K12">SUM(B7:J7)</f>
        <v>34393589</v>
      </c>
      <c r="L7">
        <v>34393589</v>
      </c>
      <c r="M7">
        <f aca="true" t="shared" si="1" ref="M7:M17">SUM(L7-K7)</f>
        <v>0</v>
      </c>
      <c r="N7">
        <v>206267</v>
      </c>
      <c r="O7">
        <f aca="true" t="shared" si="2" ref="O7:O14">SUM(L7+N7)</f>
        <v>34599856</v>
      </c>
      <c r="P7" s="42">
        <f aca="true" t="shared" si="3" ref="P7:P17">B7+C7+H7+I7+J7</f>
        <v>17159827</v>
      </c>
    </row>
    <row r="8" spans="1:16" ht="12.75">
      <c r="A8" t="s">
        <v>46</v>
      </c>
      <c r="B8" s="26">
        <v>12221566</v>
      </c>
      <c r="C8" s="26">
        <v>4286971</v>
      </c>
      <c r="D8">
        <v>2763843</v>
      </c>
      <c r="E8">
        <v>4180676</v>
      </c>
      <c r="F8">
        <v>2404502</v>
      </c>
      <c r="G8">
        <v>6649240</v>
      </c>
      <c r="H8" s="26">
        <v>69802</v>
      </c>
      <c r="I8" s="26">
        <v>1484</v>
      </c>
      <c r="J8" s="26">
        <v>10500</v>
      </c>
      <c r="K8">
        <f t="shared" si="0"/>
        <v>32588584</v>
      </c>
      <c r="L8" s="31">
        <v>32588584</v>
      </c>
      <c r="M8">
        <f t="shared" si="1"/>
        <v>0</v>
      </c>
      <c r="N8">
        <v>168134</v>
      </c>
      <c r="O8">
        <f t="shared" si="2"/>
        <v>32756718</v>
      </c>
      <c r="P8" s="42">
        <f t="shared" si="3"/>
        <v>16590323</v>
      </c>
    </row>
    <row r="9" spans="1:16" ht="12.75">
      <c r="A9" t="s">
        <v>47</v>
      </c>
      <c r="B9" s="26">
        <v>13606150</v>
      </c>
      <c r="C9" s="26">
        <v>4958074</v>
      </c>
      <c r="D9">
        <v>2314918</v>
      </c>
      <c r="E9">
        <v>4451124</v>
      </c>
      <c r="F9">
        <v>2690373</v>
      </c>
      <c r="G9">
        <v>7452625</v>
      </c>
      <c r="H9" s="26">
        <v>69788</v>
      </c>
      <c r="I9" s="26">
        <v>3235</v>
      </c>
      <c r="J9" s="26">
        <v>10800</v>
      </c>
      <c r="K9">
        <f t="shared" si="0"/>
        <v>35557087</v>
      </c>
      <c r="L9" s="31">
        <v>35557087</v>
      </c>
      <c r="M9">
        <f t="shared" si="1"/>
        <v>0</v>
      </c>
      <c r="N9" s="31">
        <v>160767</v>
      </c>
      <c r="O9">
        <f t="shared" si="2"/>
        <v>35717854</v>
      </c>
      <c r="P9" s="42">
        <f t="shared" si="3"/>
        <v>18648047</v>
      </c>
    </row>
    <row r="10" spans="1:16" ht="12.75">
      <c r="A10" t="s">
        <v>48</v>
      </c>
      <c r="B10" s="26">
        <v>9356569</v>
      </c>
      <c r="C10" s="26">
        <v>3439693</v>
      </c>
      <c r="D10">
        <v>2616012</v>
      </c>
      <c r="E10">
        <v>4289962</v>
      </c>
      <c r="F10">
        <v>2519029</v>
      </c>
      <c r="G10">
        <v>7446712</v>
      </c>
      <c r="H10" s="26">
        <v>70631</v>
      </c>
      <c r="I10" s="26">
        <v>425</v>
      </c>
      <c r="J10" s="26">
        <v>12200</v>
      </c>
      <c r="K10">
        <f t="shared" si="0"/>
        <v>29751233</v>
      </c>
      <c r="L10" s="31">
        <v>29751233</v>
      </c>
      <c r="M10">
        <f t="shared" si="1"/>
        <v>0</v>
      </c>
      <c r="N10" s="36">
        <v>134132</v>
      </c>
      <c r="O10">
        <f t="shared" si="2"/>
        <v>29885365</v>
      </c>
      <c r="P10" s="42">
        <f t="shared" si="3"/>
        <v>12879518</v>
      </c>
    </row>
    <row r="11" spans="1:16" ht="12.75">
      <c r="A11" t="s">
        <v>49</v>
      </c>
      <c r="B11" s="26">
        <v>7991008</v>
      </c>
      <c r="C11" s="26">
        <v>3686229</v>
      </c>
      <c r="D11">
        <v>2158192</v>
      </c>
      <c r="E11">
        <v>4328099</v>
      </c>
      <c r="F11">
        <v>2572337</v>
      </c>
      <c r="G11">
        <v>7756616</v>
      </c>
      <c r="H11" s="26">
        <v>82171</v>
      </c>
      <c r="I11" s="26">
        <v>0</v>
      </c>
      <c r="J11" s="26">
        <v>0</v>
      </c>
      <c r="K11">
        <f t="shared" si="0"/>
        <v>28574652</v>
      </c>
      <c r="L11" s="31">
        <v>28574652</v>
      </c>
      <c r="M11">
        <f t="shared" si="1"/>
        <v>0</v>
      </c>
      <c r="N11" s="36">
        <v>120242</v>
      </c>
      <c r="O11">
        <f t="shared" si="2"/>
        <v>28694894</v>
      </c>
      <c r="P11" s="42">
        <f t="shared" si="3"/>
        <v>11759408</v>
      </c>
    </row>
    <row r="12" spans="1:16" ht="12.75">
      <c r="A12" t="s">
        <v>50</v>
      </c>
      <c r="B12" s="26">
        <v>6452486</v>
      </c>
      <c r="C12" s="26">
        <v>3237029</v>
      </c>
      <c r="D12">
        <v>2088302</v>
      </c>
      <c r="E12">
        <v>4025909</v>
      </c>
      <c r="F12">
        <v>2674186</v>
      </c>
      <c r="G12">
        <v>7414908</v>
      </c>
      <c r="H12" s="26">
        <v>73250</v>
      </c>
      <c r="I12" s="26">
        <v>0</v>
      </c>
      <c r="J12" s="26">
        <v>0</v>
      </c>
      <c r="K12">
        <f t="shared" si="0"/>
        <v>25966070</v>
      </c>
      <c r="L12" s="31">
        <v>25966070</v>
      </c>
      <c r="M12">
        <f t="shared" si="1"/>
        <v>0</v>
      </c>
      <c r="N12" s="36">
        <v>104180</v>
      </c>
      <c r="O12">
        <f t="shared" si="2"/>
        <v>26070250</v>
      </c>
      <c r="P12" s="42">
        <f t="shared" si="3"/>
        <v>9762765</v>
      </c>
    </row>
    <row r="13" spans="1:16" ht="12.75">
      <c r="A13" t="s">
        <v>51</v>
      </c>
      <c r="B13" s="26">
        <v>6182456</v>
      </c>
      <c r="C13" s="26">
        <v>3274129</v>
      </c>
      <c r="D13">
        <v>2285475</v>
      </c>
      <c r="E13">
        <v>4091932</v>
      </c>
      <c r="F13">
        <v>2647634</v>
      </c>
      <c r="G13">
        <v>6720445</v>
      </c>
      <c r="H13" s="26">
        <v>70318</v>
      </c>
      <c r="I13" s="26">
        <v>0</v>
      </c>
      <c r="J13" s="26">
        <v>0</v>
      </c>
      <c r="K13">
        <f>SUM(B13:J13)</f>
        <v>25272389</v>
      </c>
      <c r="L13" s="31">
        <v>25272389</v>
      </c>
      <c r="M13">
        <f t="shared" si="1"/>
        <v>0</v>
      </c>
      <c r="N13" s="36">
        <v>110692</v>
      </c>
      <c r="O13">
        <f t="shared" si="2"/>
        <v>25383081</v>
      </c>
      <c r="P13" s="42">
        <f t="shared" si="3"/>
        <v>9526903</v>
      </c>
    </row>
    <row r="14" spans="1:16" ht="12.75">
      <c r="A14" t="s">
        <v>52</v>
      </c>
      <c r="B14" s="26">
        <v>8691040</v>
      </c>
      <c r="C14" s="26">
        <v>3913011</v>
      </c>
      <c r="D14">
        <v>2270304</v>
      </c>
      <c r="E14">
        <v>3641466</v>
      </c>
      <c r="F14">
        <v>2061839</v>
      </c>
      <c r="G14">
        <v>7213239</v>
      </c>
      <c r="H14" s="26">
        <v>87589</v>
      </c>
      <c r="I14" s="26">
        <f>523-262</f>
        <v>261</v>
      </c>
      <c r="J14" s="26">
        <v>0</v>
      </c>
      <c r="K14">
        <f>SUM(B14:J14)</f>
        <v>27878749</v>
      </c>
      <c r="L14" s="31">
        <v>27878749</v>
      </c>
      <c r="M14">
        <f t="shared" si="1"/>
        <v>0</v>
      </c>
      <c r="N14" s="36">
        <v>131299</v>
      </c>
      <c r="O14">
        <f t="shared" si="2"/>
        <v>28010048</v>
      </c>
      <c r="P14" s="42">
        <f t="shared" si="3"/>
        <v>12691901</v>
      </c>
    </row>
    <row r="15" spans="1:16" ht="12.75">
      <c r="A15" t="s">
        <v>53</v>
      </c>
      <c r="B15" s="26">
        <v>5734457</v>
      </c>
      <c r="C15" s="26">
        <v>3039146</v>
      </c>
      <c r="D15">
        <v>1962437</v>
      </c>
      <c r="E15">
        <v>4111711</v>
      </c>
      <c r="F15">
        <v>2609347</v>
      </c>
      <c r="G15">
        <v>7672047</v>
      </c>
      <c r="H15" s="26">
        <v>73269</v>
      </c>
      <c r="I15" s="26">
        <v>0</v>
      </c>
      <c r="J15" s="26"/>
      <c r="K15">
        <f>SUM(B15:I15)</f>
        <v>25202414</v>
      </c>
      <c r="L15" s="31">
        <v>25202414</v>
      </c>
      <c r="M15">
        <f t="shared" si="1"/>
        <v>0</v>
      </c>
      <c r="N15" s="36">
        <v>151082</v>
      </c>
      <c r="O15">
        <f>SUM(L15+N15)</f>
        <v>25353496</v>
      </c>
      <c r="P15" s="42">
        <f t="shared" si="3"/>
        <v>8846872</v>
      </c>
    </row>
    <row r="16" spans="1:16" ht="12.75">
      <c r="A16" t="s">
        <v>54</v>
      </c>
      <c r="B16" s="26">
        <v>6989431</v>
      </c>
      <c r="C16" s="26">
        <v>3209459</v>
      </c>
      <c r="D16">
        <v>2140199</v>
      </c>
      <c r="E16">
        <v>4221094</v>
      </c>
      <c r="F16">
        <v>2612537</v>
      </c>
      <c r="G16">
        <v>7829027</v>
      </c>
      <c r="H16" s="26">
        <v>77662</v>
      </c>
      <c r="I16" s="26">
        <v>0</v>
      </c>
      <c r="J16" s="26">
        <v>0</v>
      </c>
      <c r="K16">
        <f>SUM(B16:J16)</f>
        <v>27079409</v>
      </c>
      <c r="L16" s="31">
        <v>27079409</v>
      </c>
      <c r="M16">
        <f t="shared" si="1"/>
        <v>0</v>
      </c>
      <c r="N16" s="36">
        <v>177511</v>
      </c>
      <c r="O16">
        <f>SUM(L16+N16)</f>
        <v>27256920</v>
      </c>
      <c r="P16" s="42">
        <f t="shared" si="3"/>
        <v>10276552</v>
      </c>
    </row>
    <row r="17" spans="1:16" ht="12.75">
      <c r="A17" t="s">
        <v>55</v>
      </c>
      <c r="B17" s="26">
        <v>8817128</v>
      </c>
      <c r="C17" s="26">
        <v>3515160</v>
      </c>
      <c r="D17">
        <v>2544666</v>
      </c>
      <c r="E17">
        <v>4047033</v>
      </c>
      <c r="F17">
        <v>2468339</v>
      </c>
      <c r="G17">
        <v>7372239</v>
      </c>
      <c r="H17" s="26">
        <v>77671</v>
      </c>
      <c r="I17" s="26">
        <v>0</v>
      </c>
      <c r="J17" s="26">
        <v>0</v>
      </c>
      <c r="K17">
        <f>SUM(B17:J17)</f>
        <v>28842236</v>
      </c>
      <c r="L17">
        <f>3515160+2468339+4047033+2544666+7372239+8817128+77671</f>
        <v>28842236</v>
      </c>
      <c r="M17">
        <f t="shared" si="1"/>
        <v>0</v>
      </c>
      <c r="N17" s="36">
        <v>196891</v>
      </c>
      <c r="O17">
        <f>SUM(L17+N17)</f>
        <v>29039127</v>
      </c>
      <c r="P17" s="42">
        <f t="shared" si="3"/>
        <v>12409959</v>
      </c>
    </row>
    <row r="18" spans="15:39" ht="12.75"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 t="s">
        <v>39</v>
      </c>
      <c r="Z18" s="25" t="s">
        <v>39</v>
      </c>
      <c r="AA18" s="25" t="s">
        <v>39</v>
      </c>
      <c r="AB18" s="26" t="s">
        <v>39</v>
      </c>
      <c r="AC18" s="26" t="s">
        <v>39</v>
      </c>
      <c r="AD18" s="25" t="s">
        <v>39</v>
      </c>
      <c r="AE18" s="13"/>
      <c r="AF18" s="13"/>
      <c r="AG18" s="25"/>
      <c r="AH18" s="25"/>
      <c r="AI18" s="25"/>
      <c r="AJ18" s="13"/>
      <c r="AK18" s="13"/>
      <c r="AL18" s="25"/>
      <c r="AM18" s="25"/>
    </row>
    <row r="19" spans="1:39" ht="12.75">
      <c r="A19" t="s">
        <v>56</v>
      </c>
      <c r="B19">
        <f>SUM(B6:B18)</f>
        <v>113321485</v>
      </c>
      <c r="C19">
        <f aca="true" t="shared" si="4" ref="C19:P19">SUM(C6:C18)</f>
        <v>46620788</v>
      </c>
      <c r="D19">
        <f t="shared" si="4"/>
        <v>29096479</v>
      </c>
      <c r="E19">
        <f t="shared" si="4"/>
        <v>49843355</v>
      </c>
      <c r="F19">
        <f t="shared" si="4"/>
        <v>30401145</v>
      </c>
      <c r="G19">
        <f t="shared" si="4"/>
        <v>86369804</v>
      </c>
      <c r="H19">
        <f t="shared" si="4"/>
        <v>896846</v>
      </c>
      <c r="I19">
        <f t="shared" si="4"/>
        <v>6360</v>
      </c>
      <c r="J19">
        <f t="shared" si="4"/>
        <v>48900</v>
      </c>
      <c r="K19">
        <f t="shared" si="4"/>
        <v>356605162</v>
      </c>
      <c r="L19">
        <f t="shared" si="4"/>
        <v>356605162</v>
      </c>
      <c r="M19">
        <f t="shared" si="4"/>
        <v>0</v>
      </c>
      <c r="N19">
        <f t="shared" si="4"/>
        <v>1866597</v>
      </c>
      <c r="O19">
        <f t="shared" si="4"/>
        <v>358471759</v>
      </c>
      <c r="P19">
        <f t="shared" si="4"/>
        <v>160894379</v>
      </c>
      <c r="Q19" s="13" t="s">
        <v>39</v>
      </c>
      <c r="R19" s="13"/>
      <c r="S19" s="13"/>
      <c r="T19" s="13"/>
      <c r="U19" s="13"/>
      <c r="V19" s="13"/>
      <c r="W19" s="13"/>
      <c r="X19" s="13"/>
      <c r="Y19" s="13"/>
      <c r="Z19" s="25"/>
      <c r="AA19" s="25"/>
      <c r="AB19" s="25"/>
      <c r="AC19" s="25"/>
      <c r="AD19" s="25"/>
      <c r="AE19" s="13"/>
      <c r="AF19" s="13"/>
      <c r="AG19" s="25"/>
      <c r="AH19" s="25"/>
      <c r="AI19" s="25"/>
      <c r="AJ19" s="13"/>
      <c r="AK19" s="13"/>
      <c r="AL19" s="25"/>
      <c r="AM19" s="25"/>
    </row>
    <row r="20" spans="11:39" ht="12.75">
      <c r="K20" t="s">
        <v>39</v>
      </c>
      <c r="O20" s="13" t="s">
        <v>39</v>
      </c>
      <c r="P20" s="13" t="s">
        <v>39</v>
      </c>
      <c r="Q20" s="45" t="s">
        <v>39</v>
      </c>
      <c r="R20" s="13"/>
      <c r="S20" s="13"/>
      <c r="T20" s="13"/>
      <c r="U20" s="13"/>
      <c r="V20" s="13"/>
      <c r="W20" s="13"/>
      <c r="X20" s="13"/>
      <c r="Y20" s="13"/>
      <c r="Z20" s="25"/>
      <c r="AA20" s="25"/>
      <c r="AB20" s="25"/>
      <c r="AC20" s="25"/>
      <c r="AD20" s="25"/>
      <c r="AE20" s="13"/>
      <c r="AF20" s="13"/>
      <c r="AG20" s="25"/>
      <c r="AH20" s="25"/>
      <c r="AI20" s="25"/>
      <c r="AJ20" s="13"/>
      <c r="AK20" s="13"/>
      <c r="AL20" s="25"/>
      <c r="AM20" s="25"/>
    </row>
    <row r="21" spans="15:39" ht="13.5" thickBot="1"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5"/>
      <c r="AA21" s="25"/>
      <c r="AB21" s="25"/>
      <c r="AC21" s="25"/>
      <c r="AD21" s="25"/>
      <c r="AE21" s="13"/>
      <c r="AF21" s="13"/>
      <c r="AG21" s="25"/>
      <c r="AH21" s="25"/>
      <c r="AI21" s="25"/>
      <c r="AJ21" s="13"/>
      <c r="AK21" s="13"/>
      <c r="AL21" s="25"/>
      <c r="AM21" s="25"/>
    </row>
    <row r="22" spans="2:39" ht="13.5" thickTop="1">
      <c r="B22" s="14"/>
      <c r="C22" s="15"/>
      <c r="D22" s="15"/>
      <c r="E22" s="15"/>
      <c r="F22" s="23" t="s">
        <v>91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S22" t="s">
        <v>129</v>
      </c>
      <c r="AA22" s="26"/>
      <c r="AB22" s="26"/>
      <c r="AC22" s="26"/>
      <c r="AD22" s="26"/>
      <c r="AG22" s="26"/>
      <c r="AH22" s="26"/>
      <c r="AI22" s="26"/>
      <c r="AL22" s="26"/>
      <c r="AM22" s="26"/>
    </row>
    <row r="23" spans="1:39" ht="12.75">
      <c r="A23" t="s">
        <v>43</v>
      </c>
      <c r="B23" s="17" t="s">
        <v>57</v>
      </c>
      <c r="C23" s="18" t="s">
        <v>58</v>
      </c>
      <c r="D23" s="18" t="s">
        <v>70</v>
      </c>
      <c r="E23" s="24" t="s">
        <v>119</v>
      </c>
      <c r="F23" s="18" t="s">
        <v>71</v>
      </c>
      <c r="G23" s="18" t="s">
        <v>72</v>
      </c>
      <c r="H23" s="18" t="s">
        <v>73</v>
      </c>
      <c r="I23" s="18" t="s">
        <v>74</v>
      </c>
      <c r="J23" s="18" t="s">
        <v>75</v>
      </c>
      <c r="K23" s="18" t="s">
        <v>76</v>
      </c>
      <c r="L23" s="18" t="s">
        <v>80</v>
      </c>
      <c r="M23" s="18" t="s">
        <v>77</v>
      </c>
      <c r="N23" s="18" t="s">
        <v>79</v>
      </c>
      <c r="O23" s="18" t="s">
        <v>83</v>
      </c>
      <c r="P23" s="18" t="s">
        <v>85</v>
      </c>
      <c r="Q23" s="19" t="s">
        <v>87</v>
      </c>
      <c r="S23" t="s">
        <v>132</v>
      </c>
      <c r="AA23" s="26"/>
      <c r="AG23" s="26"/>
      <c r="AH23" s="26"/>
      <c r="AI23" s="26"/>
      <c r="AL23" s="26"/>
      <c r="AM23" s="26"/>
    </row>
    <row r="24" spans="2:19" ht="13.5" thickBot="1">
      <c r="B24" s="20" t="s">
        <v>69</v>
      </c>
      <c r="C24" s="21" t="s">
        <v>69</v>
      </c>
      <c r="D24" s="21" t="s">
        <v>69</v>
      </c>
      <c r="E24" s="21" t="s">
        <v>69</v>
      </c>
      <c r="F24" s="21" t="s">
        <v>69</v>
      </c>
      <c r="G24" s="21" t="s">
        <v>69</v>
      </c>
      <c r="H24" s="21" t="s">
        <v>69</v>
      </c>
      <c r="I24" s="21" t="s">
        <v>69</v>
      </c>
      <c r="J24" s="21" t="s">
        <v>69</v>
      </c>
      <c r="K24" s="21" t="s">
        <v>69</v>
      </c>
      <c r="L24" s="21" t="s">
        <v>81</v>
      </c>
      <c r="M24" s="21" t="s">
        <v>78</v>
      </c>
      <c r="N24" s="21" t="s">
        <v>82</v>
      </c>
      <c r="O24" s="21" t="s">
        <v>84</v>
      </c>
      <c r="P24" s="21" t="s">
        <v>86</v>
      </c>
      <c r="Q24" s="22" t="s">
        <v>88</v>
      </c>
      <c r="S24" t="s">
        <v>131</v>
      </c>
    </row>
    <row r="25" spans="1:19" ht="13.5" thickTop="1">
      <c r="A25" t="s">
        <v>44</v>
      </c>
      <c r="B25" s="13">
        <f>(109079/7.62)</f>
        <v>14314.829396325458</v>
      </c>
      <c r="C25" s="13">
        <f>(26863/13.16)</f>
        <v>2041.2613981762918</v>
      </c>
      <c r="D25">
        <f aca="true" t="shared" si="5" ref="D25:D36">7.62/7.62</f>
        <v>1</v>
      </c>
      <c r="F25" s="13">
        <f>3164/44.57</f>
        <v>70.98945479021764</v>
      </c>
      <c r="G25">
        <f>1114.25/44.57</f>
        <v>25</v>
      </c>
      <c r="H25">
        <f aca="true" t="shared" si="6" ref="H25:H36">2247.78/2247.78</f>
        <v>1</v>
      </c>
      <c r="I25">
        <f aca="true" t="shared" si="7" ref="I25:I36">11338.76/5669.38</f>
        <v>2</v>
      </c>
      <c r="J25">
        <f>44.57/44.57</f>
        <v>1</v>
      </c>
      <c r="K25">
        <f>178.28/44.57</f>
        <v>4</v>
      </c>
      <c r="L25" s="13">
        <f>SUM(B25:K25)</f>
        <v>16461.08024929197</v>
      </c>
      <c r="M25" s="25">
        <f>B25+D25</f>
        <v>14315.829396325458</v>
      </c>
      <c r="N25" s="25">
        <f>C25</f>
        <v>2041.2613981762918</v>
      </c>
      <c r="O25" s="26">
        <f>I25</f>
        <v>2</v>
      </c>
      <c r="P25" s="26">
        <f>H25</f>
        <v>1</v>
      </c>
      <c r="Q25" s="25">
        <f>SUM(L25-M25-N25-O25-P25)</f>
        <v>100.98945479021836</v>
      </c>
      <c r="S25" s="43">
        <f>Q25+P25+O25+N25+M25</f>
        <v>16461.08024929197</v>
      </c>
    </row>
    <row r="26" spans="1:19" ht="12.75">
      <c r="A26" t="s">
        <v>45</v>
      </c>
      <c r="B26" s="13">
        <f>87511.2/7.62</f>
        <v>11484.409448818897</v>
      </c>
      <c r="C26" s="13">
        <f>19574.61/13.16</f>
        <v>1487.4323708206687</v>
      </c>
      <c r="D26" s="13">
        <f t="shared" si="5"/>
        <v>1</v>
      </c>
      <c r="E26" s="13"/>
      <c r="F26" s="13">
        <f>3584.91/44.57</f>
        <v>80.43325106573928</v>
      </c>
      <c r="G26" s="13">
        <f>1114.25/44.57</f>
        <v>25</v>
      </c>
      <c r="H26">
        <f t="shared" si="6"/>
        <v>1</v>
      </c>
      <c r="I26">
        <f t="shared" si="7"/>
        <v>2</v>
      </c>
      <c r="J26">
        <f>44.57/44.57</f>
        <v>1</v>
      </c>
      <c r="K26">
        <f>44.57/44.57</f>
        <v>1</v>
      </c>
      <c r="L26" s="13">
        <f aca="true" t="shared" si="8" ref="L26:L36">SUM(B26:K26)</f>
        <v>13083.275070705304</v>
      </c>
      <c r="M26" s="25">
        <f aca="true" t="shared" si="9" ref="M26:M36">B26+D26</f>
        <v>11485.409448818897</v>
      </c>
      <c r="N26" s="25">
        <f aca="true" t="shared" si="10" ref="N26:N36">C26</f>
        <v>1487.4323708206687</v>
      </c>
      <c r="O26" s="26">
        <f aca="true" t="shared" si="11" ref="O26:O36">I26</f>
        <v>2</v>
      </c>
      <c r="P26" s="26">
        <f aca="true" t="shared" si="12" ref="P26:P36">H26</f>
        <v>1</v>
      </c>
      <c r="Q26" s="25">
        <f aca="true" t="shared" si="13" ref="Q26:Q36">SUM(L26-M26-N26-O26-P26)</f>
        <v>107.43325106573843</v>
      </c>
      <c r="S26" s="43">
        <f aca="true" t="shared" si="14" ref="S26:S36">Q26+P26+O26+N26+M26</f>
        <v>13083.275070705304</v>
      </c>
    </row>
    <row r="27" spans="1:19" ht="12.75">
      <c r="A27" t="s">
        <v>46</v>
      </c>
      <c r="B27" s="13">
        <f>81899.75/7.62</f>
        <v>10747.998687664041</v>
      </c>
      <c r="C27" s="13">
        <f>19191.62/13.16</f>
        <v>1458.3297872340424</v>
      </c>
      <c r="D27" s="13">
        <f t="shared" si="5"/>
        <v>1</v>
      </c>
      <c r="E27" s="13">
        <f>13.16/13.16</f>
        <v>1</v>
      </c>
      <c r="F27" s="13">
        <f>3012.93/44.57</f>
        <v>67.59995512676689</v>
      </c>
      <c r="G27" s="13">
        <f>1114.25/44.57</f>
        <v>25</v>
      </c>
      <c r="H27">
        <f t="shared" si="6"/>
        <v>1</v>
      </c>
      <c r="I27">
        <f t="shared" si="7"/>
        <v>2</v>
      </c>
      <c r="J27">
        <f>44.57/44.57</f>
        <v>1</v>
      </c>
      <c r="K27">
        <f>356.56/44.57</f>
        <v>8</v>
      </c>
      <c r="L27" s="13">
        <f t="shared" si="8"/>
        <v>12312.928430024851</v>
      </c>
      <c r="M27" s="25">
        <f t="shared" si="9"/>
        <v>10748.998687664041</v>
      </c>
      <c r="N27" s="25">
        <f>C27+E27</f>
        <v>1459.3297872340424</v>
      </c>
      <c r="O27" s="26">
        <f t="shared" si="11"/>
        <v>2</v>
      </c>
      <c r="P27" s="26">
        <f t="shared" si="12"/>
        <v>1</v>
      </c>
      <c r="Q27" s="25">
        <f t="shared" si="13"/>
        <v>101.5999551267671</v>
      </c>
      <c r="S27" s="43">
        <f t="shared" si="14"/>
        <v>12312.928430024851</v>
      </c>
    </row>
    <row r="28" spans="1:19" ht="12.75">
      <c r="A28" t="s">
        <v>47</v>
      </c>
      <c r="B28" s="13">
        <f>91590.53/7.62</f>
        <v>12019.754593175852</v>
      </c>
      <c r="C28" s="13">
        <f>20696.32/13.16</f>
        <v>1572.6686930091184</v>
      </c>
      <c r="D28" s="13">
        <f t="shared" si="5"/>
        <v>1</v>
      </c>
      <c r="E28" s="13">
        <f>13.16/13.16</f>
        <v>1</v>
      </c>
      <c r="F28" s="13">
        <f>2763.34/44.57</f>
        <v>62</v>
      </c>
      <c r="G28" s="13">
        <f>1114.25/44.57</f>
        <v>25</v>
      </c>
      <c r="H28">
        <f t="shared" si="6"/>
        <v>1</v>
      </c>
      <c r="I28">
        <f t="shared" si="7"/>
        <v>2</v>
      </c>
      <c r="J28">
        <f>44.57/44.57</f>
        <v>1</v>
      </c>
      <c r="K28">
        <f>133.71/44.57</f>
        <v>3</v>
      </c>
      <c r="L28" s="13">
        <f t="shared" si="8"/>
        <v>13688.42328618497</v>
      </c>
      <c r="M28" s="25">
        <f t="shared" si="9"/>
        <v>12020.754593175852</v>
      </c>
      <c r="N28" s="25">
        <f t="shared" si="10"/>
        <v>1572.6686930091184</v>
      </c>
      <c r="O28" s="26">
        <f t="shared" si="11"/>
        <v>2</v>
      </c>
      <c r="P28" s="26">
        <f t="shared" si="12"/>
        <v>1</v>
      </c>
      <c r="Q28" s="25">
        <f t="shared" si="13"/>
        <v>91.99999999999977</v>
      </c>
      <c r="S28" s="43">
        <f t="shared" si="14"/>
        <v>13688.42328618497</v>
      </c>
    </row>
    <row r="29" spans="1:19" ht="12.75">
      <c r="A29" t="s">
        <v>48</v>
      </c>
      <c r="B29" s="13">
        <f>88518.57/7.62</f>
        <v>11616.610236220473</v>
      </c>
      <c r="C29" s="13">
        <f>19951.37/13.17</f>
        <v>1514.9104024297646</v>
      </c>
      <c r="D29" s="13">
        <f t="shared" si="5"/>
        <v>1</v>
      </c>
      <c r="E29" s="13">
        <f>13.16/13.16</f>
        <v>1</v>
      </c>
      <c r="F29" s="13">
        <f>3448.23/44.57</f>
        <v>77.36661431456136</v>
      </c>
      <c r="G29" s="13">
        <f>1169.22/44.57</f>
        <v>26.23334081220552</v>
      </c>
      <c r="H29">
        <f t="shared" si="6"/>
        <v>1</v>
      </c>
      <c r="I29">
        <f t="shared" si="7"/>
        <v>2</v>
      </c>
      <c r="J29">
        <f>44.57/44.57</f>
        <v>1</v>
      </c>
      <c r="K29">
        <f>356.56/44.57</f>
        <v>8</v>
      </c>
      <c r="L29" s="13">
        <f t="shared" si="8"/>
        <v>13249.120593777005</v>
      </c>
      <c r="M29" s="25">
        <f t="shared" si="9"/>
        <v>11617.610236220473</v>
      </c>
      <c r="N29" s="25">
        <f t="shared" si="10"/>
        <v>1514.9104024297646</v>
      </c>
      <c r="O29" s="26">
        <f t="shared" si="11"/>
        <v>2</v>
      </c>
      <c r="P29" s="26">
        <f t="shared" si="12"/>
        <v>1</v>
      </c>
      <c r="Q29" s="25">
        <f t="shared" si="13"/>
        <v>113.5999551267671</v>
      </c>
      <c r="S29" s="43">
        <f t="shared" si="14"/>
        <v>13249.120593777005</v>
      </c>
    </row>
    <row r="30" spans="1:19" ht="12.75">
      <c r="A30" t="s">
        <v>49</v>
      </c>
      <c r="B30" s="13">
        <f>104738.45/7.62</f>
        <v>13745.20341207349</v>
      </c>
      <c r="C30" s="13">
        <f>23047.09/13.16</f>
        <v>1751.298632218845</v>
      </c>
      <c r="D30" s="13">
        <f t="shared" si="5"/>
        <v>1</v>
      </c>
      <c r="E30" s="13">
        <f>26.32/13.16</f>
        <v>2</v>
      </c>
      <c r="F30" s="13">
        <f>3922.16/44.57</f>
        <v>88</v>
      </c>
      <c r="G30" s="13">
        <f>1247.96/44.57</f>
        <v>28</v>
      </c>
      <c r="H30">
        <f t="shared" si="6"/>
        <v>1</v>
      </c>
      <c r="I30">
        <f t="shared" si="7"/>
        <v>2</v>
      </c>
      <c r="J30" s="13">
        <f>89.14/44.57</f>
        <v>2</v>
      </c>
      <c r="K30" s="13">
        <f>133.71/44.57</f>
        <v>3</v>
      </c>
      <c r="L30" s="13">
        <f t="shared" si="8"/>
        <v>15623.502044292334</v>
      </c>
      <c r="M30" s="25">
        <f t="shared" si="9"/>
        <v>13746.20341207349</v>
      </c>
      <c r="N30" s="25">
        <f t="shared" si="10"/>
        <v>1751.298632218845</v>
      </c>
      <c r="O30" s="26">
        <f t="shared" si="11"/>
        <v>2</v>
      </c>
      <c r="P30" s="26">
        <f t="shared" si="12"/>
        <v>1</v>
      </c>
      <c r="Q30" s="25">
        <f t="shared" si="13"/>
        <v>122.99999999999955</v>
      </c>
      <c r="S30" s="43">
        <f t="shared" si="14"/>
        <v>15623.502044292334</v>
      </c>
    </row>
    <row r="31" spans="1:19" ht="12.75">
      <c r="A31" t="s">
        <v>50</v>
      </c>
      <c r="B31" s="13">
        <f>70314.8/7.62</f>
        <v>9227.66404199475</v>
      </c>
      <c r="C31" s="13">
        <f>16493/13.16</f>
        <v>1253.2674772036473</v>
      </c>
      <c r="D31" s="13">
        <f t="shared" si="5"/>
        <v>1</v>
      </c>
      <c r="E31" s="13">
        <v>0</v>
      </c>
      <c r="F31" s="13">
        <f>2663.8/44.57</f>
        <v>59.76665918779448</v>
      </c>
      <c r="G31" s="13">
        <f>1203.39/44.57</f>
        <v>27.000000000000004</v>
      </c>
      <c r="H31">
        <f t="shared" si="6"/>
        <v>1</v>
      </c>
      <c r="I31">
        <f t="shared" si="7"/>
        <v>2</v>
      </c>
      <c r="J31">
        <v>0</v>
      </c>
      <c r="K31" s="13">
        <v>0</v>
      </c>
      <c r="L31" s="13">
        <f t="shared" si="8"/>
        <v>10571.698178386194</v>
      </c>
      <c r="M31" s="25">
        <f t="shared" si="9"/>
        <v>9228.66404199475</v>
      </c>
      <c r="N31" s="25">
        <f t="shared" si="10"/>
        <v>1253.2674772036473</v>
      </c>
      <c r="O31" s="26">
        <f t="shared" si="11"/>
        <v>2</v>
      </c>
      <c r="P31" s="26">
        <f t="shared" si="12"/>
        <v>1</v>
      </c>
      <c r="Q31" s="25">
        <f t="shared" si="13"/>
        <v>86.76665918779577</v>
      </c>
      <c r="S31" s="43">
        <f t="shared" si="14"/>
        <v>10571.698178386194</v>
      </c>
    </row>
    <row r="32" spans="1:19" ht="12.75">
      <c r="A32" t="s">
        <v>51</v>
      </c>
      <c r="B32" s="13">
        <f>76681.84/7.62</f>
        <v>10063.233595800524</v>
      </c>
      <c r="C32" s="13">
        <f>17197.51/13.16</f>
        <v>1306.8016717325227</v>
      </c>
      <c r="D32" s="13">
        <f t="shared" si="5"/>
        <v>1</v>
      </c>
      <c r="E32" s="13">
        <f>13.16/13.16</f>
        <v>1</v>
      </c>
      <c r="F32" s="13">
        <f>3189.73/44.57</f>
        <v>71.56674893426072</v>
      </c>
      <c r="G32" s="13">
        <f>1247.96/44.57</f>
        <v>28</v>
      </c>
      <c r="H32">
        <f t="shared" si="6"/>
        <v>1</v>
      </c>
      <c r="I32">
        <f t="shared" si="7"/>
        <v>2</v>
      </c>
      <c r="J32" s="13">
        <f>44.57/44.57</f>
        <v>1</v>
      </c>
      <c r="K32" s="13">
        <f>95.73/44.57</f>
        <v>2.14785730311869</v>
      </c>
      <c r="L32" s="13">
        <f t="shared" si="8"/>
        <v>11477.749873770426</v>
      </c>
      <c r="M32" s="25">
        <f t="shared" si="9"/>
        <v>10064.233595800524</v>
      </c>
      <c r="N32" s="25">
        <f t="shared" si="10"/>
        <v>1306.8016717325227</v>
      </c>
      <c r="O32" s="26">
        <f t="shared" si="11"/>
        <v>2</v>
      </c>
      <c r="P32" s="26">
        <f t="shared" si="12"/>
        <v>1</v>
      </c>
      <c r="Q32" s="25">
        <f t="shared" si="13"/>
        <v>103.71460623737948</v>
      </c>
      <c r="S32" s="43">
        <f t="shared" si="14"/>
        <v>11477.749873770426</v>
      </c>
    </row>
    <row r="33" spans="1:19" ht="12.75">
      <c r="A33" t="s">
        <v>52</v>
      </c>
      <c r="B33" s="13">
        <f>113985.81/7.62</f>
        <v>14958.767716535433</v>
      </c>
      <c r="C33" s="13">
        <f>25146.12/13.16</f>
        <v>1910.7993920972644</v>
      </c>
      <c r="D33" s="13">
        <f t="shared" si="5"/>
        <v>1</v>
      </c>
      <c r="E33" s="13">
        <f>52.64/13.16</f>
        <v>4</v>
      </c>
      <c r="F33" s="13">
        <f>4532.77/44.57</f>
        <v>101.70002243661656</v>
      </c>
      <c r="G33" s="13">
        <f>1247.96/44.57</f>
        <v>28</v>
      </c>
      <c r="H33">
        <f t="shared" si="6"/>
        <v>1</v>
      </c>
      <c r="I33">
        <f t="shared" si="7"/>
        <v>2</v>
      </c>
      <c r="J33" s="13">
        <f>44.57/44.57</f>
        <v>1</v>
      </c>
      <c r="K33" s="13">
        <f>95.73/44.57</f>
        <v>2.14785730311869</v>
      </c>
      <c r="L33" s="13">
        <f t="shared" si="8"/>
        <v>17010.414988372435</v>
      </c>
      <c r="M33" s="25">
        <f t="shared" si="9"/>
        <v>14959.767716535433</v>
      </c>
      <c r="N33" s="25">
        <f t="shared" si="10"/>
        <v>1910.7993920972644</v>
      </c>
      <c r="O33" s="26">
        <f t="shared" si="11"/>
        <v>2</v>
      </c>
      <c r="P33" s="26">
        <f t="shared" si="12"/>
        <v>1</v>
      </c>
      <c r="Q33" s="25">
        <f t="shared" si="13"/>
        <v>136.8478797397379</v>
      </c>
      <c r="S33" s="43">
        <f t="shared" si="14"/>
        <v>17010.414988372435</v>
      </c>
    </row>
    <row r="34" spans="1:19" ht="12.75">
      <c r="A34" t="s">
        <v>53</v>
      </c>
      <c r="B34" s="13">
        <f>73176.98/7.62</f>
        <v>9603.278215223096</v>
      </c>
      <c r="C34" s="13">
        <f>16747.41/13.16</f>
        <v>1272.5995440729482</v>
      </c>
      <c r="D34" s="13">
        <f t="shared" si="5"/>
        <v>1</v>
      </c>
      <c r="E34" s="13">
        <f>52.64/13.16</f>
        <v>4</v>
      </c>
      <c r="F34" s="13">
        <f>2674.2/44.57</f>
        <v>59.99999999999999</v>
      </c>
      <c r="G34" s="13">
        <f>1292.53/44.57</f>
        <v>29</v>
      </c>
      <c r="H34">
        <f t="shared" si="6"/>
        <v>1</v>
      </c>
      <c r="I34">
        <f t="shared" si="7"/>
        <v>2</v>
      </c>
      <c r="J34" s="13">
        <f>60.91/44.57</f>
        <v>1.366614314561364</v>
      </c>
      <c r="K34" s="13">
        <f>178.28/44.57</f>
        <v>4</v>
      </c>
      <c r="L34" s="13">
        <f t="shared" si="8"/>
        <v>10978.244373610605</v>
      </c>
      <c r="M34" s="25">
        <f t="shared" si="9"/>
        <v>9604.278215223096</v>
      </c>
      <c r="N34" s="25">
        <f t="shared" si="10"/>
        <v>1272.5995440729482</v>
      </c>
      <c r="O34" s="26">
        <f t="shared" si="11"/>
        <v>2</v>
      </c>
      <c r="P34" s="26">
        <f t="shared" si="12"/>
        <v>1</v>
      </c>
      <c r="Q34" s="25">
        <f t="shared" si="13"/>
        <v>98.36661431456128</v>
      </c>
      <c r="S34" s="43">
        <f t="shared" si="14"/>
        <v>10978.244373610605</v>
      </c>
    </row>
    <row r="35" spans="1:19" ht="12.75">
      <c r="A35" t="s">
        <v>54</v>
      </c>
      <c r="B35" s="13">
        <f>88323.87/7.62</f>
        <v>11591.05905511811</v>
      </c>
      <c r="C35" s="13">
        <f>19746.57/13.16</f>
        <v>1500.4992401215804</v>
      </c>
      <c r="D35" s="13">
        <f t="shared" si="5"/>
        <v>1</v>
      </c>
      <c r="E35" s="13">
        <f>52.64/13.16</f>
        <v>4</v>
      </c>
      <c r="F35" s="13">
        <f>3422.98/44.57</f>
        <v>76.80008974646623</v>
      </c>
      <c r="G35" s="13">
        <f>1292.5/44.57</f>
        <v>28.999326901503252</v>
      </c>
      <c r="H35">
        <f t="shared" si="6"/>
        <v>1</v>
      </c>
      <c r="I35">
        <f t="shared" si="7"/>
        <v>2</v>
      </c>
      <c r="J35" s="13">
        <f>(134.4/44.57)+(89.14/44.57)</f>
        <v>5.015481265425175</v>
      </c>
      <c r="K35" s="13">
        <f>(44.57/44.57)+(178.28/44.57)</f>
        <v>5</v>
      </c>
      <c r="L35" s="13">
        <f t="shared" si="8"/>
        <v>13215.373193153086</v>
      </c>
      <c r="M35" s="25">
        <f t="shared" si="9"/>
        <v>11592.05905511811</v>
      </c>
      <c r="N35" s="25">
        <f t="shared" si="10"/>
        <v>1500.4992401215804</v>
      </c>
      <c r="O35" s="26">
        <f t="shared" si="11"/>
        <v>2</v>
      </c>
      <c r="P35" s="26">
        <f t="shared" si="12"/>
        <v>1</v>
      </c>
      <c r="Q35" s="25">
        <f t="shared" si="13"/>
        <v>119.81489791339482</v>
      </c>
      <c r="S35" s="43">
        <f t="shared" si="14"/>
        <v>13215.373193153086</v>
      </c>
    </row>
    <row r="36" spans="1:19" ht="12.75">
      <c r="A36" t="s">
        <v>55</v>
      </c>
      <c r="B36" s="13">
        <f>88254.63/7.62</f>
        <v>11581.972440944883</v>
      </c>
      <c r="C36" s="13">
        <f>20040.5/13.16</f>
        <v>1522.8343465045593</v>
      </c>
      <c r="D36" s="13">
        <f t="shared" si="5"/>
        <v>1</v>
      </c>
      <c r="E36" s="13">
        <f>52.64/13.16</f>
        <v>4</v>
      </c>
      <c r="F36" s="13">
        <f>3443.78/44.57</f>
        <v>77.26677137087728</v>
      </c>
      <c r="G36" s="13">
        <f>1292.5/44.57</f>
        <v>28.999326901503252</v>
      </c>
      <c r="H36">
        <f t="shared" si="6"/>
        <v>1</v>
      </c>
      <c r="I36">
        <f t="shared" si="7"/>
        <v>2</v>
      </c>
      <c r="J36" s="13">
        <f>(44.57/44.57)+(44.57/44.57)</f>
        <v>2</v>
      </c>
      <c r="K36" s="13">
        <f>(44.57/44.57)+(178.28/44.57)</f>
        <v>5</v>
      </c>
      <c r="L36" s="13">
        <f t="shared" si="8"/>
        <v>13226.072885721824</v>
      </c>
      <c r="M36" s="25">
        <f t="shared" si="9"/>
        <v>11582.972440944883</v>
      </c>
      <c r="N36" s="25">
        <f t="shared" si="10"/>
        <v>1522.8343465045593</v>
      </c>
      <c r="O36" s="26">
        <f t="shared" si="11"/>
        <v>2</v>
      </c>
      <c r="P36" s="26">
        <f t="shared" si="12"/>
        <v>1</v>
      </c>
      <c r="Q36" s="25">
        <f t="shared" si="13"/>
        <v>117.26609827238167</v>
      </c>
      <c r="S36" s="43">
        <f t="shared" si="14"/>
        <v>13226.072885721824</v>
      </c>
    </row>
    <row r="38" spans="1:19" ht="12.75">
      <c r="A38" t="s">
        <v>56</v>
      </c>
      <c r="B38" s="13">
        <f>SUM(B25:B37)</f>
        <v>140954.78083989501</v>
      </c>
      <c r="C38" s="13">
        <f aca="true" t="shared" si="15" ref="C38:K38">SUM(C25:C37)</f>
        <v>18592.70295562125</v>
      </c>
      <c r="D38" s="13">
        <f t="shared" si="15"/>
        <v>12</v>
      </c>
      <c r="E38" s="13">
        <f t="shared" si="15"/>
        <v>22</v>
      </c>
      <c r="F38" s="13">
        <f t="shared" si="15"/>
        <v>893.4895669733005</v>
      </c>
      <c r="G38" s="13">
        <f t="shared" si="15"/>
        <v>324.231994615212</v>
      </c>
      <c r="H38" s="13">
        <f t="shared" si="15"/>
        <v>12</v>
      </c>
      <c r="I38" s="13">
        <f t="shared" si="15"/>
        <v>24</v>
      </c>
      <c r="J38" s="13">
        <f t="shared" si="15"/>
        <v>17.38209557998654</v>
      </c>
      <c r="K38" s="13">
        <f t="shared" si="15"/>
        <v>45.29571460623738</v>
      </c>
      <c r="L38" s="13">
        <f aca="true" t="shared" si="16" ref="L38:S38">SUM(L25:L37)</f>
        <v>160897.88316729103</v>
      </c>
      <c r="M38" s="13">
        <f t="shared" si="16"/>
        <v>140966.78083989501</v>
      </c>
      <c r="N38" s="13">
        <f t="shared" si="16"/>
        <v>18593.70295562125</v>
      </c>
      <c r="O38" s="13">
        <f t="shared" si="16"/>
        <v>24</v>
      </c>
      <c r="P38" s="13">
        <f t="shared" si="16"/>
        <v>12</v>
      </c>
      <c r="Q38" s="13">
        <f t="shared" si="16"/>
        <v>1301.3993717747412</v>
      </c>
      <c r="R38" s="13">
        <f t="shared" si="16"/>
        <v>0</v>
      </c>
      <c r="S38" s="13">
        <f t="shared" si="16"/>
        <v>160897.88316729103</v>
      </c>
    </row>
    <row r="39" ht="13.5" thickBot="1"/>
    <row r="40" spans="2:19" ht="13.5" thickTop="1">
      <c r="B40" s="14"/>
      <c r="C40" s="23" t="s">
        <v>93</v>
      </c>
      <c r="D40" s="15"/>
      <c r="E40" s="15"/>
      <c r="F40" s="15"/>
      <c r="G40" s="15"/>
      <c r="H40" s="15"/>
      <c r="I40" s="16"/>
      <c r="J40" s="37" t="s">
        <v>109</v>
      </c>
      <c r="Q40" t="s">
        <v>129</v>
      </c>
      <c r="S40" t="s">
        <v>129</v>
      </c>
    </row>
    <row r="41" spans="1:19" ht="12.75">
      <c r="A41" t="s">
        <v>43</v>
      </c>
      <c r="B41" s="17" t="s">
        <v>71</v>
      </c>
      <c r="C41" s="24" t="s">
        <v>72</v>
      </c>
      <c r="D41" s="18" t="s">
        <v>94</v>
      </c>
      <c r="E41" s="24" t="s">
        <v>95</v>
      </c>
      <c r="F41" s="24" t="s">
        <v>112</v>
      </c>
      <c r="G41" s="24" t="s">
        <v>96</v>
      </c>
      <c r="H41" s="24" t="s">
        <v>97</v>
      </c>
      <c r="I41" s="19" t="s">
        <v>98</v>
      </c>
      <c r="J41" s="27" t="s">
        <v>110</v>
      </c>
      <c r="Q41" t="s">
        <v>132</v>
      </c>
      <c r="S41" t="s">
        <v>133</v>
      </c>
    </row>
    <row r="42" spans="2:19" ht="13.5" thickBot="1">
      <c r="B42" s="20" t="s">
        <v>92</v>
      </c>
      <c r="C42" s="21" t="s">
        <v>92</v>
      </c>
      <c r="D42" s="21" t="s">
        <v>92</v>
      </c>
      <c r="E42" s="21" t="s">
        <v>92</v>
      </c>
      <c r="F42" s="21" t="s">
        <v>92</v>
      </c>
      <c r="G42" s="21" t="s">
        <v>92</v>
      </c>
      <c r="H42" s="21" t="s">
        <v>92</v>
      </c>
      <c r="I42" s="22" t="s">
        <v>99</v>
      </c>
      <c r="J42" s="28" t="s">
        <v>111</v>
      </c>
      <c r="Q42" t="s">
        <v>131</v>
      </c>
      <c r="S42" t="s">
        <v>134</v>
      </c>
    </row>
    <row r="43" spans="1:19" ht="13.5" thickTop="1">
      <c r="A43" t="s">
        <v>44</v>
      </c>
      <c r="B43">
        <v>7047</v>
      </c>
      <c r="C43">
        <v>9526</v>
      </c>
      <c r="D43" s="26">
        <v>4277</v>
      </c>
      <c r="E43" s="26">
        <v>15297</v>
      </c>
      <c r="F43" s="26">
        <v>433</v>
      </c>
      <c r="G43">
        <v>106</v>
      </c>
      <c r="H43">
        <v>968</v>
      </c>
      <c r="I43" s="26">
        <f>B43+C43+G43+H43</f>
        <v>17647</v>
      </c>
      <c r="J43" s="29">
        <f>1189.92/0.48</f>
        <v>2479.0000000000005</v>
      </c>
      <c r="Q43" s="42">
        <f aca="true" t="shared" si="17" ref="Q43:Q54">J43+I43+F43+E43+D43</f>
        <v>40133</v>
      </c>
      <c r="S43" s="13">
        <f aca="true" t="shared" si="18" ref="S43:S54">Q43+S25+P6</f>
        <v>20398898.08024929</v>
      </c>
    </row>
    <row r="44" spans="1:19" ht="12.75">
      <c r="A44" t="s">
        <v>45</v>
      </c>
      <c r="B44" s="13">
        <v>8803</v>
      </c>
      <c r="C44" s="13">
        <v>9640</v>
      </c>
      <c r="D44" s="25">
        <v>4245</v>
      </c>
      <c r="E44" s="25">
        <v>14969</v>
      </c>
      <c r="F44" s="25">
        <v>433</v>
      </c>
      <c r="G44" s="13">
        <v>120</v>
      </c>
      <c r="H44" s="13">
        <v>110</v>
      </c>
      <c r="I44" s="26">
        <f>B44+C44+G44+H44</f>
        <v>18673</v>
      </c>
      <c r="J44" s="32">
        <f>1189.92/0.48</f>
        <v>2479.0000000000005</v>
      </c>
      <c r="Q44" s="42">
        <f t="shared" si="17"/>
        <v>40799</v>
      </c>
      <c r="S44" s="13">
        <f t="shared" si="18"/>
        <v>17213709.275070705</v>
      </c>
    </row>
    <row r="45" spans="1:19" ht="12.75">
      <c r="A45" t="s">
        <v>46</v>
      </c>
      <c r="B45" s="13">
        <v>7212</v>
      </c>
      <c r="C45" s="13">
        <v>9704</v>
      </c>
      <c r="D45" s="25">
        <v>4308</v>
      </c>
      <c r="E45" s="25">
        <v>16247</v>
      </c>
      <c r="F45" s="25">
        <v>433</v>
      </c>
      <c r="G45" s="13">
        <v>125</v>
      </c>
      <c r="H45" s="13">
        <v>1944</v>
      </c>
      <c r="I45" s="26">
        <f aca="true" t="shared" si="19" ref="I45:I54">B45+C45+G45+H45</f>
        <v>18985</v>
      </c>
      <c r="J45" s="32">
        <f>1189.92/0.48</f>
        <v>2479.0000000000005</v>
      </c>
      <c r="Q45" s="42">
        <f t="shared" si="17"/>
        <v>42452</v>
      </c>
      <c r="S45" s="13">
        <f t="shared" si="18"/>
        <v>16645087.928430025</v>
      </c>
    </row>
    <row r="46" spans="1:19" ht="12.75">
      <c r="A46" t="s">
        <v>47</v>
      </c>
      <c r="B46" s="13">
        <v>5831</v>
      </c>
      <c r="C46" s="13">
        <v>9870</v>
      </c>
      <c r="D46" s="25">
        <v>4253</v>
      </c>
      <c r="E46" s="25">
        <v>15646</v>
      </c>
      <c r="F46" s="25">
        <v>433</v>
      </c>
      <c r="G46" s="13">
        <v>115</v>
      </c>
      <c r="H46" s="13">
        <v>360</v>
      </c>
      <c r="I46" s="26">
        <f t="shared" si="19"/>
        <v>16176</v>
      </c>
      <c r="J46" s="32">
        <f>1189.92/0.48</f>
        <v>2479.0000000000005</v>
      </c>
      <c r="Q46" s="42">
        <f t="shared" si="17"/>
        <v>38987</v>
      </c>
      <c r="S46" s="13">
        <f t="shared" si="18"/>
        <v>18700722.423286185</v>
      </c>
    </row>
    <row r="47" spans="1:19" ht="12.75">
      <c r="A47" t="s">
        <v>48</v>
      </c>
      <c r="B47" s="13">
        <v>7799</v>
      </c>
      <c r="C47" s="13">
        <v>9836</v>
      </c>
      <c r="D47" s="25">
        <v>4213</v>
      </c>
      <c r="E47" s="25">
        <v>15981</v>
      </c>
      <c r="F47" s="25">
        <v>434</v>
      </c>
      <c r="G47" s="13">
        <v>110</v>
      </c>
      <c r="H47" s="13">
        <v>2010</v>
      </c>
      <c r="I47" s="26">
        <f t="shared" si="19"/>
        <v>19755</v>
      </c>
      <c r="J47" s="25">
        <f>1191.36/0.49</f>
        <v>2431.34693877551</v>
      </c>
      <c r="Q47" s="43">
        <f t="shared" si="17"/>
        <v>42814.34693877551</v>
      </c>
      <c r="S47" s="13">
        <f t="shared" si="18"/>
        <v>12935581.467532553</v>
      </c>
    </row>
    <row r="48" spans="1:19" ht="12.75">
      <c r="A48" t="s">
        <v>49</v>
      </c>
      <c r="B48" s="13">
        <v>6571</v>
      </c>
      <c r="C48" s="13">
        <v>10167</v>
      </c>
      <c r="D48" s="25">
        <v>4301</v>
      </c>
      <c r="E48" s="25">
        <v>15819</v>
      </c>
      <c r="F48" s="25">
        <v>434</v>
      </c>
      <c r="G48" s="13">
        <v>211</v>
      </c>
      <c r="H48" s="13">
        <v>329</v>
      </c>
      <c r="I48" s="26">
        <f t="shared" si="19"/>
        <v>17278</v>
      </c>
      <c r="J48" s="25">
        <f>1191.36/0.49</f>
        <v>2431.34693877551</v>
      </c>
      <c r="Q48" s="43">
        <f t="shared" si="17"/>
        <v>40263.34693877551</v>
      </c>
      <c r="S48" s="13">
        <f t="shared" si="18"/>
        <v>11815294.848983068</v>
      </c>
    </row>
    <row r="49" spans="1:19" ht="12.75">
      <c r="A49" t="s">
        <v>50</v>
      </c>
      <c r="B49" s="13">
        <v>5788.63</v>
      </c>
      <c r="C49" s="13">
        <v>9930.13</v>
      </c>
      <c r="D49" s="25">
        <v>4293</v>
      </c>
      <c r="E49" s="25">
        <v>16316</v>
      </c>
      <c r="F49" s="25">
        <v>434</v>
      </c>
      <c r="G49" s="13">
        <v>0</v>
      </c>
      <c r="H49" s="13">
        <v>0</v>
      </c>
      <c r="I49" s="26">
        <f t="shared" si="19"/>
        <v>15718.759999999998</v>
      </c>
      <c r="J49" s="25">
        <f>1191.36/0.49</f>
        <v>2431.34693877551</v>
      </c>
      <c r="Q49" s="43">
        <f t="shared" si="17"/>
        <v>39193.10693877551</v>
      </c>
      <c r="S49" s="13">
        <f t="shared" si="18"/>
        <v>9812529.805117162</v>
      </c>
    </row>
    <row r="50" spans="1:19" ht="12.75">
      <c r="A50" t="s">
        <v>51</v>
      </c>
      <c r="B50" s="13">
        <v>6141.98</v>
      </c>
      <c r="C50" s="13">
        <v>9736.47</v>
      </c>
      <c r="D50" s="25">
        <v>4364</v>
      </c>
      <c r="E50" s="25">
        <v>15774</v>
      </c>
      <c r="F50" s="25">
        <v>434</v>
      </c>
      <c r="G50" s="13">
        <v>568</v>
      </c>
      <c r="H50" s="13">
        <v>125</v>
      </c>
      <c r="I50" s="26">
        <f t="shared" si="19"/>
        <v>16571.449999999997</v>
      </c>
      <c r="J50" s="25">
        <f>1191.36/0.49</f>
        <v>2431.34693877551</v>
      </c>
      <c r="Q50" s="43">
        <f t="shared" si="17"/>
        <v>39574.79693877551</v>
      </c>
      <c r="S50" s="13">
        <f t="shared" si="18"/>
        <v>9577955.546812546</v>
      </c>
    </row>
    <row r="51" spans="1:19" ht="12.75">
      <c r="A51" t="s">
        <v>52</v>
      </c>
      <c r="B51" s="13">
        <v>7879.96</v>
      </c>
      <c r="C51" s="13">
        <v>9130.95</v>
      </c>
      <c r="D51" s="25">
        <v>4316.4</v>
      </c>
      <c r="E51" s="25">
        <v>15745.75</v>
      </c>
      <c r="F51" s="25">
        <v>434</v>
      </c>
      <c r="G51" s="13">
        <v>1144</v>
      </c>
      <c r="H51" s="13">
        <v>115</v>
      </c>
      <c r="I51" s="26">
        <f t="shared" si="19"/>
        <v>18269.91</v>
      </c>
      <c r="J51" s="25">
        <f>1191.36/0.49</f>
        <v>2431.34693877551</v>
      </c>
      <c r="Q51" s="43">
        <f t="shared" si="17"/>
        <v>41197.40693877551</v>
      </c>
      <c r="S51" s="13">
        <f t="shared" si="18"/>
        <v>12750108.821927149</v>
      </c>
    </row>
    <row r="52" spans="1:19" ht="12.75">
      <c r="A52" t="s">
        <v>53</v>
      </c>
      <c r="B52" s="13">
        <v>5228.72</v>
      </c>
      <c r="C52" s="13">
        <v>9986.27</v>
      </c>
      <c r="D52" s="25">
        <v>4348</v>
      </c>
      <c r="E52" s="25">
        <v>15774</v>
      </c>
      <c r="F52" s="25">
        <v>440</v>
      </c>
      <c r="G52" s="13">
        <v>134</v>
      </c>
      <c r="H52" s="13">
        <v>1209</v>
      </c>
      <c r="I52" s="26">
        <f t="shared" si="19"/>
        <v>16557.99</v>
      </c>
      <c r="J52" s="25">
        <f>1205.28/0.49</f>
        <v>2459.7551020408164</v>
      </c>
      <c r="Q52" s="43">
        <f t="shared" si="17"/>
        <v>39579.74510204082</v>
      </c>
      <c r="S52" s="13">
        <f t="shared" si="18"/>
        <v>8897429.98947565</v>
      </c>
    </row>
    <row r="53" spans="1:19" ht="12.75">
      <c r="A53" t="s">
        <v>54</v>
      </c>
      <c r="B53" s="13">
        <v>7050</v>
      </c>
      <c r="C53" s="13">
        <v>9852</v>
      </c>
      <c r="D53" s="25">
        <v>4316</v>
      </c>
      <c r="E53" s="25">
        <v>16102</v>
      </c>
      <c r="F53" s="25">
        <v>440</v>
      </c>
      <c r="G53" s="13">
        <f>134+1160</f>
        <v>1294</v>
      </c>
      <c r="H53" s="13">
        <f>99+1052</f>
        <v>1151</v>
      </c>
      <c r="I53" s="26">
        <f t="shared" si="19"/>
        <v>19347</v>
      </c>
      <c r="J53" s="25">
        <f>1205.28/0.49</f>
        <v>2459.7551020408164</v>
      </c>
      <c r="Q53" s="43">
        <f t="shared" si="17"/>
        <v>42664.755102040814</v>
      </c>
      <c r="S53" s="13">
        <f t="shared" si="18"/>
        <v>10332432.128295194</v>
      </c>
    </row>
    <row r="54" spans="1:19" ht="12.75">
      <c r="A54" t="s">
        <v>55</v>
      </c>
      <c r="B54" s="13">
        <v>7211</v>
      </c>
      <c r="C54" s="13">
        <v>9476</v>
      </c>
      <c r="D54" s="25">
        <v>4221</v>
      </c>
      <c r="E54" s="25">
        <v>16124</v>
      </c>
      <c r="F54" s="25">
        <v>440</v>
      </c>
      <c r="G54" s="13">
        <f>132+588</f>
        <v>720</v>
      </c>
      <c r="H54" s="13">
        <f>120+924</f>
        <v>1044</v>
      </c>
      <c r="I54" s="26">
        <f t="shared" si="19"/>
        <v>18451</v>
      </c>
      <c r="J54" s="25">
        <f>1205.28/0.49</f>
        <v>2459.7551020408164</v>
      </c>
      <c r="Q54" s="43">
        <f t="shared" si="17"/>
        <v>41695.755102040814</v>
      </c>
      <c r="S54" s="13">
        <f t="shared" si="18"/>
        <v>12464880.827987762</v>
      </c>
    </row>
    <row r="56" spans="1:19" ht="12.75">
      <c r="A56" t="s">
        <v>56</v>
      </c>
      <c r="B56" s="13">
        <f>SUM(B43:B55)</f>
        <v>82563.29</v>
      </c>
      <c r="C56" s="13">
        <f aca="true" t="shared" si="20" ref="C56:J56">SUM(C43:C55)</f>
        <v>116854.82</v>
      </c>
      <c r="D56" s="13">
        <f t="shared" si="20"/>
        <v>51455.4</v>
      </c>
      <c r="E56" s="13">
        <f t="shared" si="20"/>
        <v>189794.75</v>
      </c>
      <c r="F56" s="13">
        <f t="shared" si="20"/>
        <v>5222</v>
      </c>
      <c r="G56" s="13">
        <f t="shared" si="20"/>
        <v>4647</v>
      </c>
      <c r="H56" s="13">
        <f t="shared" si="20"/>
        <v>9365</v>
      </c>
      <c r="I56" s="13">
        <f t="shared" si="20"/>
        <v>213430.11</v>
      </c>
      <c r="J56" s="13">
        <f t="shared" si="20"/>
        <v>29452.000000000004</v>
      </c>
      <c r="K56" s="13" t="s">
        <v>39</v>
      </c>
      <c r="M56" s="13" t="s">
        <v>39</v>
      </c>
      <c r="N56" s="13" t="s">
        <v>39</v>
      </c>
      <c r="Q56" s="13">
        <f>SUM(Q43:Q55)</f>
        <v>489354.26</v>
      </c>
      <c r="S56" s="13">
        <f>SUM(S43:S55)</f>
        <v>161544631.14316726</v>
      </c>
    </row>
  </sheetData>
  <sheetProtection/>
  <printOptions horizontalCentered="1" verticalCentered="1"/>
  <pageMargins left="0.75" right="0.75" top="0.56" bottom="0.53" header="0.5" footer="0.5"/>
  <pageSetup fitToHeight="1" fitToWidth="1" horizontalDpi="600" verticalDpi="600" orientation="landscape" paperSize="17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Lakeland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tfryer</cp:lastModifiedBy>
  <cp:lastPrinted>2011-12-18T15:54:41Z</cp:lastPrinted>
  <dcterms:created xsi:type="dcterms:W3CDTF">2003-04-22T18:27:42Z</dcterms:created>
  <dcterms:modified xsi:type="dcterms:W3CDTF">2011-12-18T16:03:39Z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232172288</vt:i4>
  </property>
  <property fmtid="{D5CDD505-2E9C-101B-9397-08002B2CF9AE}" pid="3" name="_EmailSubject">
    <vt:lpwstr>PILS Variance</vt:lpwstr>
  </property>
  <property fmtid="{D5CDD505-2E9C-101B-9397-08002B2CF9AE}" pid="4" name="_AuthorEmail">
    <vt:lpwstr>Dproctor@lakelandpower.on.ca</vt:lpwstr>
  </property>
  <property fmtid="{D5CDD505-2E9C-101B-9397-08002B2CF9AE}" pid="5" name="_AuthorEmailDisplayName">
    <vt:lpwstr>Dave Proctor</vt:lpwstr>
  </property>
  <property fmtid="{D5CDD505-2E9C-101B-9397-08002B2CF9AE}" pid="6" name="_ReviewingToolsShownOnce">
    <vt:lpwstr/>
  </property>
</Properties>
</file>