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bbacon</author>
  </authors>
  <commentList>
    <comment ref="C157" authorId="0">
      <text>
        <r>
          <rPr>
            <b/>
            <sz val="8"/>
            <rFont val="Tahoma"/>
            <family val="0"/>
          </rPr>
          <t>bbacon:</t>
        </r>
        <r>
          <rPr>
            <sz val="8"/>
            <rFont val="Tahoma"/>
            <family val="0"/>
          </rPr>
          <t xml:space="preserve">
Adjusted to match Assessment no 25 of 20518
</t>
        </r>
      </text>
    </comment>
  </commentList>
</comments>
</file>

<file path=xl/sharedStrings.xml><?xml version="1.0" encoding="utf-8"?>
<sst xmlns="http://schemas.openxmlformats.org/spreadsheetml/2006/main" count="875" uniqueCount="505">
  <si>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</si>
  <si>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</si>
  <si>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</si>
  <si>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</si>
  <si>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</si>
  <si>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</si>
  <si>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</si>
  <si>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</si>
  <si>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</si>
  <si>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</si>
  <si>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</si>
  <si>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</si>
  <si>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</si>
  <si>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</si>
  <si>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</si>
  <si>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</si>
  <si>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</si>
  <si>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</si>
  <si>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</si>
  <si>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</si>
  <si>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</si>
  <si>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</si>
  <si>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</si>
  <si>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</si>
  <si>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</si>
  <si>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</si>
  <si>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</si>
  <si>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</si>
  <si>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</si>
  <si>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</si>
  <si>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</si>
  <si>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</si>
  <si>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</si>
  <si>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</si>
  <si>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</si>
  <si>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</si>
  <si>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</si>
  <si>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</si>
  <si>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</si>
  <si>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</si>
  <si>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</si>
  <si>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</si>
  <si>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</si>
  <si>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</si>
  <si>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</si>
  <si>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</si>
  <si>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</si>
  <si>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</si>
  <si>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</si>
  <si>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</si>
  <si>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</si>
  <si>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</si>
  <si>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</si>
  <si>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</si>
  <si>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</si>
  <si>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</si>
  <si>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</si>
  <si>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</si>
  <si>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</si>
  <si>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</si>
  <si>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</si>
  <si>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</si>
  <si>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</si>
  <si>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</si>
  <si>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</si>
  <si>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</si>
  <si>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</si>
  <si>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</si>
  <si>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</si>
  <si>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</si>
  <si>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</si>
  <si>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</si>
  <si>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</si>
  <si>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</si>
  <si>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</si>
  <si>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</si>
  <si>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</si>
  <si>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</si>
  <si>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</si>
  <si>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</si>
  <si>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</si>
  <si>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</si>
  <si>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</si>
  <si>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</si>
  <si>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</si>
  <si>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</si>
  <si>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</si>
  <si>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</si>
  <si>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</si>
  <si>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</si>
  <si>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</si>
  <si>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</si>
  <si>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</si>
  <si>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</si>
  <si>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</si>
  <si>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</si>
  <si>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</si>
  <si>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</si>
  <si>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</si>
  <si>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</si>
  <si>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</si>
  <si>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</si>
  <si>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</si>
  <si>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</si>
  <si>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</si>
  <si>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</si>
  <si>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</si>
  <si>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</si>
  <si>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</si>
  <si>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</si>
  <si>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</si>
  <si>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</si>
  <si>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</si>
  <si>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</si>
  <si>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</si>
  <si>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</si>
  <si>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</si>
  <si>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</si>
  <si>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</si>
  <si>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</si>
  <si>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</si>
  <si>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</si>
  <si>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</si>
  <si>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</si>
  <si>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</si>
  <si>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</si>
  <si>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</si>
  <si>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</si>
  <si>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</si>
  <si>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</si>
  <si>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</si>
  <si>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</si>
  <si>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</si>
  <si>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</si>
  <si>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</si>
  <si>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</si>
  <si>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</si>
  <si>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</si>
  <si>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</si>
  <si>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</si>
  <si>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</si>
  <si>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</si>
  <si>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</si>
  <si>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</si>
  <si>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</si>
  <si>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</si>
  <si>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</si>
  <si>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</si>
  <si>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</si>
  <si>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</si>
  <si>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</si>
  <si>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</si>
  <si>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</si>
  <si>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</si>
  <si>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</si>
  <si>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</si>
  <si>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</si>
  <si>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</si>
  <si>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</si>
  <si>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</si>
  <si>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</si>
  <si>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</si>
  <si>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</si>
  <si>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</si>
  <si>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</si>
  <si>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</si>
  <si>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</si>
  <si>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</si>
  <si>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</si>
  <si>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</si>
  <si>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</si>
  <si>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</si>
  <si>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</si>
  <si>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</si>
  <si>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</si>
  <si>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</si>
  <si>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</si>
  <si>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</si>
  <si>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</si>
  <si>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</si>
  <si>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</si>
  <si>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</si>
  <si>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</si>
  <si>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</si>
  <si>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</si>
  <si>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</si>
  <si>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</si>
  <si>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</si>
  <si>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</si>
  <si>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</si>
  <si>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</si>
  <si>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</si>
  <si>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</si>
  <si>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</si>
  <si>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</si>
  <si>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</si>
  <si>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</si>
  <si>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</si>
  <si>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</si>
  <si>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</si>
  <si>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</si>
  <si>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</si>
  <si>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</si>
  <si>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</si>
  <si>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</si>
  <si>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</si>
  <si>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</si>
  <si>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</si>
  <si>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</si>
  <si>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</si>
  <si>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</si>
  <si>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</si>
  <si>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</si>
  <si>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</si>
  <si>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</si>
  <si>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</si>
  <si>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</si>
  <si>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</si>
  <si>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</si>
  <si>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</si>
  <si>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</si>
  <si>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</si>
  <si>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</si>
  <si>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</si>
  <si>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</si>
  <si>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</si>
  <si>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</si>
  <si>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</si>
  <si>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</si>
  <si>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</si>
  <si>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</si>
  <si>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</si>
  <si>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</si>
  <si>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</si>
  <si>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</si>
  <si>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</si>
  <si>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</si>
  <si>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</si>
  <si>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</si>
  <si>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</si>
  <si>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</si>
  <si>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</si>
  <si>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</si>
  <si>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</si>
  <si>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</si>
  <si>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</si>
  <si>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</si>
  <si>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</si>
  <si>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</si>
  <si>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</si>
  <si>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</si>
  <si>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</si>
  <si>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</si>
  <si>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</si>
  <si>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</si>
  <si>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</si>
  <si>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</si>
  <si>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</si>
  <si>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</si>
  <si>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</si>
  <si>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</si>
  <si>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</si>
  <si>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</si>
  <si>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</si>
  <si>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</si>
  <si>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</si>
  <si>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</si>
  <si>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</si>
  <si>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</si>
  <si>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</si>
  <si>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</si>
  <si>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</si>
  <si>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</si>
  <si>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</si>
  <si>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</si>
  <si>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</si>
  <si>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</si>
  <si>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</si>
  <si>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</si>
  <si>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</si>
  <si>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</si>
  <si>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</si>
  <si>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</si>
  <si>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</si>
  <si>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</si>
  <si>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</si>
  <si>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</si>
  <si>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</si>
  <si>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</si>
  <si>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</si>
  <si>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</si>
  <si>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</si>
  <si>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</si>
  <si>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</si>
  <si>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</si>
  <si>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</si>
  <si>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</si>
  <si>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</si>
  <si>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</si>
  <si>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</si>
  <si>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</si>
  <si>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</si>
  <si>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</si>
  <si>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</si>
  <si>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</si>
  <si>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</si>
  <si>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</si>
  <si>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</si>
  <si>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</si>
  <si>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</si>
  <si>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</si>
  <si>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</si>
  <si>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</si>
  <si>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</si>
  <si>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</si>
  <si>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</si>
  <si>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</si>
  <si>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</si>
  <si>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</si>
  <si>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</si>
  <si>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</si>
  <si>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</si>
  <si>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</si>
  <si>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</si>
  <si>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</si>
  <si>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</si>
  <si>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</si>
  <si>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</si>
  <si>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</si>
  <si>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</si>
  <si>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</si>
  <si>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</si>
  <si>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</si>
  <si>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</si>
  <si>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</si>
  <si>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</si>
  <si>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</si>
  <si>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</si>
  <si>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</si>
  <si>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</si>
  <si>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</si>
  <si>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</si>
  <si>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</si>
  <si>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</si>
  <si>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</si>
  <si>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</si>
  <si>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</si>
  <si>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</si>
  <si>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</si>
  <si>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</si>
  <si>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</si>
  <si>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</si>
  <si>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</si>
  <si>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</si>
  <si>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</si>
  <si>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</si>
  <si>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</si>
  <si>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</si>
  <si>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</si>
  <si>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</si>
  <si>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</si>
  <si>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</si>
  <si>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</si>
  <si>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</si>
  <si>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</si>
  <si>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</si>
  <si>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</si>
  <si>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</si>
  <si>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</si>
  <si>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</si>
  <si>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</si>
  <si>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</si>
  <si>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</si>
  <si>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</si>
  <si>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</si>
  <si>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</si>
  <si>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</si>
  <si>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</si>
  <si>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</si>
  <si>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</si>
  <si>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</si>
  <si>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</si>
  <si>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</si>
  <si>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</si>
  <si>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</si>
  <si>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</si>
  <si>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</si>
  <si>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</si>
  <si>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</si>
  <si>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</si>
  <si>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</si>
  <si>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</si>
  <si>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</si>
  <si>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</si>
  <si>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</si>
  <si>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</si>
  <si>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</si>
  <si>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</si>
  <si>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</si>
  <si>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</si>
  <si>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</si>
  <si>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</si>
  <si>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</si>
  <si>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</si>
  <si>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</si>
  <si>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</si>
  <si>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</si>
  <si>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</si>
  <si>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</si>
  <si>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</si>
  <si>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</si>
  <si>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</si>
  <si>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</si>
  <si>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</si>
  <si>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</si>
  <si>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</si>
  <si>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</si>
  <si>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</si>
  <si>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</si>
  <si>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</si>
  <si>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</si>
  <si>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</si>
  <si>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</si>
  <si>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</si>
  <si>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</si>
  <si>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</si>
  <si>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</si>
  <si>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</si>
  <si>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</si>
  <si>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</si>
  <si>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</si>
  <si>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</si>
  <si>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</si>
  <si>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</si>
  <si>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</si>
  <si>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</si>
  <si>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</si>
  <si>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</si>
  <si>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</si>
  <si>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</si>
  <si>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</si>
  <si>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</si>
  <si>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</si>
  <si>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</si>
  <si>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</si>
  <si>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</si>
  <si>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</si>
  <si>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</si>
  <si>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</si>
  <si>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</si>
  <si>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</si>
  <si>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</si>
  <si>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</si>
  <si>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</si>
  <si>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</si>
  <si>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</si>
  <si>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</si>
  <si>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</si>
  <si>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</si>
  <si>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</si>
  <si>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</si>
  <si>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</si>
  <si>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</si>
  <si>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</si>
  <si>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</si>
  <si>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</si>
  <si>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</si>
  <si>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</si>
  <si>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</si>
  <si>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</si>
  <si>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</si>
  <si>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</si>
  <si>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</si>
  <si>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</si>
  <si>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</si>
  <si>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</si>
  <si>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</si>
  <si>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</si>
  <si>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</si>
  <si>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</si>
  <si>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</si>
  <si>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</si>
  <si>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</si>
  <si>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</si>
  <si>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</si>
  <si>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</si>
  <si>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</si>
  <si>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</si>
  <si>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</si>
  <si>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</si>
  <si>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</si>
  <si>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Yes</t>
  </si>
  <si>
    <t>No</t>
  </si>
  <si>
    <t>PILs TAXES as per EB-2008-0381</t>
  </si>
  <si>
    <t>Interest Inccome</t>
  </si>
  <si>
    <t>Charitable donations</t>
  </si>
  <si>
    <t xml:space="preserve">Net Federal Income Tax Rate  </t>
  </si>
  <si>
    <r>
      <t xml:space="preserve">Net Ontario Income Tax Rate  </t>
    </r>
  </si>
  <si>
    <t>Total deemed interest  (REGINFO CELL D62)</t>
  </si>
  <si>
    <t xml:space="preserve">Other - accrued health and dental benefit costs </t>
  </si>
  <si>
    <t xml:space="preserve">     Provincial rebate expense</t>
  </si>
  <si>
    <t xml:space="preserve">     Extraordinary loss, regulatory assets</t>
  </si>
  <si>
    <t>Utility Name: Fort Frances Power Corporation</t>
  </si>
  <si>
    <t xml:space="preserve">      Provincial rebate revenue</t>
  </si>
  <si>
    <t>Payment of 2003 Capital Tax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</si>
</sst>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4" applyNumberFormat="0" applyFill="0" applyAlignment="0" applyProtection="0"/>
    <xf numFmtId="0" fontId="39" fillId="22" borderId="0" applyNumberFormat="0" applyBorder="0" applyAlignment="0" applyProtection="0"/>
    <xf numFmtId="0" fontId="0" fillId="23" borderId="5" applyNumberFormat="0" applyFont="0" applyAlignment="0" applyProtection="0"/>
    <xf numFmtId="0" fontId="40" fillId="20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2" fillId="0" borderId="0" applyNumberFormat="0" applyFill="0" applyBorder="0" applyAlignment="0" applyProtection="0"/>
  </cellStyleXfs>
  <cellXfs count="50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4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25" borderId="0" xfId="0" applyFill="1" applyAlignment="1">
      <alignment vertical="top"/>
    </xf>
    <xf numFmtId="0" fontId="0" fillId="26" borderId="0" xfId="0" applyFill="1" applyAlignment="1">
      <alignment vertical="top"/>
    </xf>
    <xf numFmtId="3" fontId="0" fillId="26" borderId="0" xfId="42" applyNumberFormat="1" applyFont="1" applyFill="1" applyBorder="1" applyAlignment="1">
      <alignment vertical="top"/>
    </xf>
    <xf numFmtId="0" fontId="0" fillId="26" borderId="0" xfId="0" applyFont="1" applyFill="1" applyBorder="1" applyAlignment="1">
      <alignment horizontal="center" vertical="top"/>
    </xf>
    <xf numFmtId="0" fontId="0" fillId="26" borderId="0" xfId="0" applyFont="1" applyFill="1" applyBorder="1" applyAlignment="1">
      <alignment vertical="top"/>
    </xf>
    <xf numFmtId="10" fontId="0" fillId="26" borderId="0" xfId="0" applyNumberFormat="1" applyFont="1" applyFill="1" applyBorder="1" applyAlignment="1">
      <alignment vertical="top"/>
    </xf>
    <xf numFmtId="3" fontId="0" fillId="26" borderId="0" xfId="42" applyNumberFormat="1" applyFont="1" applyFill="1" applyBorder="1" applyAlignment="1" applyProtection="1">
      <alignment vertical="top"/>
      <protection locked="0"/>
    </xf>
    <xf numFmtId="0" fontId="0" fillId="25" borderId="0" xfId="0" applyFill="1" applyBorder="1" applyAlignment="1">
      <alignment vertical="top"/>
    </xf>
    <xf numFmtId="0" fontId="0" fillId="25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26" borderId="0" xfId="0" applyFont="1" applyFill="1" applyAlignment="1">
      <alignment vertical="top"/>
    </xf>
    <xf numFmtId="0" fontId="0" fillId="25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27" borderId="15" xfId="0" applyFill="1" applyBorder="1" applyAlignment="1" applyProtection="1">
      <alignment horizontal="center" vertical="top"/>
      <protection/>
    </xf>
    <xf numFmtId="10" fontId="0" fillId="27" borderId="14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37" fontId="0" fillId="27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 quotePrefix="1">
      <alignment vertical="top"/>
      <protection locked="0"/>
    </xf>
    <xf numFmtId="3" fontId="0" fillId="27" borderId="14" xfId="0" applyNumberFormat="1" applyFill="1" applyBorder="1" applyAlignment="1">
      <alignment vertical="top"/>
    </xf>
    <xf numFmtId="0" fontId="3" fillId="28" borderId="15" xfId="0" applyFont="1" applyFill="1" applyBorder="1" applyAlignment="1">
      <alignment vertical="top"/>
    </xf>
    <xf numFmtId="0" fontId="3" fillId="22" borderId="18" xfId="0" applyFont="1" applyFill="1" applyBorder="1" applyAlignment="1">
      <alignment vertical="top"/>
    </xf>
    <xf numFmtId="0" fontId="3" fillId="28" borderId="44" xfId="0" applyFont="1" applyFill="1" applyBorder="1" applyAlignment="1">
      <alignment vertical="top"/>
    </xf>
    <xf numFmtId="0" fontId="0" fillId="29" borderId="17" xfId="0" applyFill="1" applyBorder="1" applyAlignment="1">
      <alignment horizontal="center" vertical="top"/>
    </xf>
    <xf numFmtId="3" fontId="0" fillId="23" borderId="14" xfId="0" applyNumberFormat="1" applyFill="1" applyBorder="1" applyAlignment="1">
      <alignment vertical="top"/>
    </xf>
    <xf numFmtId="3" fontId="0" fillId="23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23" borderId="14" xfId="0" applyNumberFormat="1" applyFill="1" applyBorder="1" applyAlignment="1" applyProtection="1" quotePrefix="1">
      <alignment vertical="top"/>
      <protection/>
    </xf>
    <xf numFmtId="37" fontId="0" fillId="23" borderId="14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23" borderId="45" xfId="0" applyNumberForma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>
      <alignment vertical="top"/>
      <protection/>
    </xf>
    <xf numFmtId="172" fontId="0" fillId="27" borderId="14" xfId="0" applyNumberFormat="1" applyFill="1" applyBorder="1" applyAlignment="1" applyProtection="1">
      <alignment vertical="top"/>
      <protection/>
    </xf>
    <xf numFmtId="3" fontId="0" fillId="23" borderId="20" xfId="0" applyNumberFormat="1" applyFill="1" applyBorder="1" applyAlignment="1" applyProtection="1">
      <alignment vertical="top"/>
      <protection/>
    </xf>
    <xf numFmtId="3" fontId="0" fillId="23" borderId="14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horizontal="right" vertical="top"/>
      <protection/>
    </xf>
    <xf numFmtId="3" fontId="0" fillId="27" borderId="14" xfId="0" applyNumberFormat="1" applyFill="1" applyBorder="1" applyAlignment="1" applyProtection="1">
      <alignment horizontal="right" vertical="top"/>
      <protection/>
    </xf>
    <xf numFmtId="0" fontId="0" fillId="27" borderId="14" xfId="0" applyFill="1" applyBorder="1" applyAlignment="1" applyProtection="1">
      <alignment vertical="top"/>
      <protection/>
    </xf>
    <xf numFmtId="0" fontId="0" fillId="27" borderId="15" xfId="0" applyFill="1" applyBorder="1" applyAlignment="1" applyProtection="1">
      <alignment vertical="top"/>
      <protection/>
    </xf>
    <xf numFmtId="0" fontId="0" fillId="27" borderId="14" xfId="0" applyFill="1" applyBorder="1" applyAlignment="1" applyProtection="1">
      <alignment vertical="top" wrapText="1"/>
      <protection/>
    </xf>
    <xf numFmtId="0" fontId="0" fillId="27" borderId="14" xfId="0" applyFont="1" applyFill="1" applyBorder="1" applyAlignment="1" applyProtection="1">
      <alignment horizontal="left" vertical="top" wrapText="1"/>
      <protection/>
    </xf>
    <xf numFmtId="0" fontId="0" fillId="27" borderId="14" xfId="0" applyFont="1" applyFill="1" applyBorder="1" applyAlignment="1" applyProtection="1">
      <alignment horizontal="center" vertical="top"/>
      <protection/>
    </xf>
    <xf numFmtId="0" fontId="0" fillId="27" borderId="14" xfId="0" applyFont="1" applyFill="1" applyBorder="1" applyAlignment="1" applyProtection="1">
      <alignment vertical="top" wrapText="1"/>
      <protection/>
    </xf>
    <xf numFmtId="3" fontId="0" fillId="27" borderId="15" xfId="0" applyNumberFormat="1" applyFill="1" applyBorder="1" applyAlignment="1" applyProtection="1">
      <alignment vertical="top"/>
      <protection/>
    </xf>
    <xf numFmtId="0" fontId="0" fillId="27" borderId="14" xfId="0" applyFill="1" applyBorder="1" applyAlignment="1">
      <alignment vertical="top"/>
    </xf>
    <xf numFmtId="3" fontId="0" fillId="23" borderId="14" xfId="0" applyNumberFormat="1" applyFill="1" applyBorder="1" applyAlignment="1" applyProtection="1">
      <alignment horizontal="right" vertical="top"/>
      <protection/>
    </xf>
    <xf numFmtId="3" fontId="0" fillId="27" borderId="44" xfId="0" applyNumberFormat="1" applyFill="1" applyBorder="1" applyAlignment="1" applyProtection="1">
      <alignment horizontal="right" vertical="top"/>
      <protection/>
    </xf>
    <xf numFmtId="3" fontId="0" fillId="27" borderId="15" xfId="0" applyNumberFormat="1" applyFill="1" applyBorder="1" applyAlignment="1" applyProtection="1">
      <alignment horizontal="right" vertical="top"/>
      <protection/>
    </xf>
    <xf numFmtId="3" fontId="0" fillId="27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29" borderId="14" xfId="0" applyNumberFormat="1" applyFill="1" applyBorder="1" applyAlignment="1">
      <alignment horizontal="right" vertical="top"/>
    </xf>
    <xf numFmtId="3" fontId="0" fillId="27" borderId="14" xfId="0" applyNumberFormat="1" applyFill="1" applyBorder="1" applyAlignment="1" applyProtection="1">
      <alignment horizontal="right" vertical="top"/>
      <protection locked="0"/>
    </xf>
    <xf numFmtId="0" fontId="0" fillId="27" borderId="14" xfId="0" applyFill="1" applyBorder="1" applyAlignment="1" applyProtection="1" quotePrefix="1">
      <alignment vertical="top" wrapText="1"/>
      <protection/>
    </xf>
    <xf numFmtId="0" fontId="4" fillId="27" borderId="14" xfId="0" applyFont="1" applyFill="1" applyBorder="1" applyAlignment="1" applyProtection="1">
      <alignment vertical="top"/>
      <protection/>
    </xf>
    <xf numFmtId="3" fontId="0" fillId="27" borderId="14" xfId="0" applyNumberFormat="1" applyFill="1" applyBorder="1" applyAlignment="1" applyProtection="1" quotePrefix="1">
      <alignment vertical="top"/>
      <protection/>
    </xf>
    <xf numFmtId="0" fontId="5" fillId="27" borderId="14" xfId="0" applyFont="1" applyFill="1" applyBorder="1" applyAlignment="1">
      <alignment vertical="top"/>
    </xf>
    <xf numFmtId="37" fontId="0" fillId="27" borderId="15" xfId="0" applyNumberFormat="1" applyFill="1" applyBorder="1" applyAlignment="1" applyProtection="1">
      <alignment vertical="top"/>
      <protection/>
    </xf>
    <xf numFmtId="37" fontId="0" fillId="27" borderId="18" xfId="0" applyNumberFormat="1" applyFill="1" applyBorder="1" applyAlignment="1" applyProtection="1">
      <alignment vertical="top"/>
      <protection/>
    </xf>
    <xf numFmtId="3" fontId="0" fillId="29" borderId="14" xfId="0" applyNumberFormat="1" applyFill="1" applyBorder="1" applyAlignment="1">
      <alignment vertical="top"/>
    </xf>
    <xf numFmtId="3" fontId="0" fillId="2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29" borderId="14" xfId="0" applyNumberFormat="1" applyFill="1" applyBorder="1" applyAlignment="1">
      <alignment vertical="top"/>
    </xf>
    <xf numFmtId="0" fontId="3" fillId="27" borderId="0" xfId="0" applyFont="1" applyFill="1" applyAlignment="1">
      <alignment vertical="top"/>
    </xf>
    <xf numFmtId="3" fontId="0" fillId="23" borderId="14" xfId="0" applyNumberFormat="1" applyFill="1" applyBorder="1" applyAlignment="1" applyProtection="1" quotePrefix="1">
      <alignment vertical="top"/>
      <protection/>
    </xf>
    <xf numFmtId="172" fontId="0" fillId="23" borderId="14" xfId="0" applyNumberFormat="1" applyFill="1" applyBorder="1" applyAlignment="1" applyProtection="1">
      <alignment vertical="top"/>
      <protection/>
    </xf>
    <xf numFmtId="37" fontId="0" fillId="23" borderId="14" xfId="0" applyNumberFormat="1" applyFill="1" applyBorder="1" applyAlignment="1" applyProtection="1">
      <alignment/>
      <protection/>
    </xf>
    <xf numFmtId="3" fontId="0" fillId="23" borderId="14" xfId="0" applyNumberFormat="1" applyFill="1" applyBorder="1" applyAlignment="1" applyProtection="1" quotePrefix="1">
      <alignment/>
      <protection/>
    </xf>
    <xf numFmtId="37" fontId="0" fillId="23" borderId="14" xfId="0" applyNumberFormat="1" applyFill="1" applyBorder="1" applyAlignment="1" applyProtection="1">
      <alignment/>
      <protection locked="0"/>
    </xf>
    <xf numFmtId="37" fontId="0" fillId="23" borderId="15" xfId="0" applyNumberFormat="1" applyFill="1" applyBorder="1" applyAlignment="1" applyProtection="1">
      <alignment/>
      <protection/>
    </xf>
    <xf numFmtId="172" fontId="0" fillId="23" borderId="14" xfId="0" applyNumberFormat="1" applyFill="1" applyBorder="1" applyAlignment="1" applyProtection="1">
      <alignment/>
      <protection/>
    </xf>
    <xf numFmtId="3" fontId="0" fillId="23" borderId="15" xfId="0" applyNumberFormat="1" applyFill="1" applyBorder="1" applyAlignment="1" applyProtection="1" quotePrefix="1">
      <alignment/>
      <protection/>
    </xf>
    <xf numFmtId="3" fontId="0" fillId="23" borderId="14" xfId="0" applyNumberFormat="1" applyFill="1" applyBorder="1" applyAlignment="1" applyProtection="1">
      <alignment/>
      <protection/>
    </xf>
    <xf numFmtId="3" fontId="0" fillId="23" borderId="46" xfId="0" applyNumberFormat="1" applyFill="1" applyBorder="1" applyAlignment="1" applyProtection="1">
      <alignment/>
      <protection/>
    </xf>
    <xf numFmtId="3" fontId="0" fillId="2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27" borderId="14" xfId="0" applyNumberFormat="1" applyFill="1" applyBorder="1" applyAlignment="1" applyProtection="1" quotePrefix="1">
      <alignment horizontal="right" vertical="top"/>
      <protection/>
    </xf>
    <xf numFmtId="3" fontId="0" fillId="27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27" borderId="14" xfId="0" applyNumberFormat="1" applyFont="1" applyFill="1" applyBorder="1" applyAlignment="1" applyProtection="1">
      <alignment horizontal="right" vertical="top"/>
      <protection/>
    </xf>
    <xf numFmtId="3" fontId="0" fillId="27" borderId="14" xfId="57" applyNumberFormat="1" applyFont="1" applyFill="1" applyBorder="1" applyAlignment="1" applyProtection="1" quotePrefix="1">
      <alignment vertical="top"/>
      <protection/>
    </xf>
    <xf numFmtId="3" fontId="0" fillId="27" borderId="47" xfId="57" applyNumberFormat="1" applyFont="1" applyFill="1" applyBorder="1" applyAlignment="1" applyProtection="1" quotePrefix="1">
      <alignment vertical="top"/>
      <protection/>
    </xf>
    <xf numFmtId="3" fontId="0" fillId="29" borderId="14" xfId="0" applyNumberFormat="1" applyFill="1" applyBorder="1" applyAlignment="1" applyProtection="1">
      <alignment horizontal="right" vertical="top"/>
      <protection locked="0"/>
    </xf>
    <xf numFmtId="3" fontId="0" fillId="27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27" borderId="44" xfId="0" applyNumberFormat="1" applyFill="1" applyBorder="1" applyAlignment="1" applyProtection="1">
      <alignment horizontal="center" vertical="top"/>
      <protection locked="0"/>
    </xf>
    <xf numFmtId="10" fontId="0" fillId="27" borderId="51" xfId="0" applyNumberFormat="1" applyFill="1" applyBorder="1" applyAlignment="1" applyProtection="1">
      <alignment horizontal="center" vertical="top"/>
      <protection locked="0"/>
    </xf>
    <xf numFmtId="10" fontId="0" fillId="27" borderId="18" xfId="0" applyNumberFormat="1" applyFill="1" applyBorder="1" applyAlignment="1" applyProtection="1">
      <alignment horizontal="center" vertical="top"/>
      <protection locked="0"/>
    </xf>
    <xf numFmtId="10" fontId="0" fillId="27" borderId="10" xfId="0" applyNumberFormat="1" applyFill="1" applyBorder="1" applyAlignment="1" applyProtection="1">
      <alignment horizontal="center" vertical="top"/>
      <protection locked="0"/>
    </xf>
    <xf numFmtId="10" fontId="0" fillId="27" borderId="40" xfId="0" applyNumberFormat="1" applyFill="1" applyBorder="1" applyAlignment="1" applyProtection="1">
      <alignment horizontal="center" vertical="top"/>
      <protection locked="0"/>
    </xf>
    <xf numFmtId="10" fontId="0" fillId="27" borderId="42" xfId="0" applyNumberFormat="1" applyFill="1" applyBorder="1" applyAlignment="1" applyProtection="1">
      <alignment horizontal="center" vertical="top"/>
      <protection locked="0"/>
    </xf>
    <xf numFmtId="178" fontId="0" fillId="27" borderId="44" xfId="0" applyNumberFormat="1" applyFill="1" applyBorder="1" applyAlignment="1" applyProtection="1">
      <alignment horizontal="center" vertical="top"/>
      <protection locked="0"/>
    </xf>
    <xf numFmtId="178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14" xfId="0" applyNumberFormat="1" applyFill="1" applyBorder="1" applyAlignment="1" applyProtection="1">
      <alignment horizontal="center" vertical="top"/>
      <protection locked="0"/>
    </xf>
    <xf numFmtId="10" fontId="0" fillId="27" borderId="9" xfId="0" applyNumberFormat="1" applyFill="1" applyBorder="1" applyAlignment="1" applyProtection="1">
      <alignment horizontal="center" vertical="top"/>
      <protection locked="0"/>
    </xf>
    <xf numFmtId="0" fontId="0" fillId="27" borderId="14" xfId="0" applyFill="1" applyBorder="1" applyAlignment="1" applyProtection="1">
      <alignment horizontal="center" vertical="top"/>
      <protection locked="0"/>
    </xf>
    <xf numFmtId="0" fontId="0" fillId="27" borderId="9" xfId="0" applyFill="1" applyBorder="1" applyAlignment="1" applyProtection="1">
      <alignment horizontal="center" vertical="top"/>
      <protection locked="0"/>
    </xf>
    <xf numFmtId="0" fontId="0" fillId="27" borderId="46" xfId="0" applyFill="1" applyBorder="1" applyAlignment="1" applyProtection="1">
      <alignment horizontal="center" vertical="top"/>
      <protection locked="0"/>
    </xf>
    <xf numFmtId="0" fontId="0" fillId="27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26" borderId="0" xfId="0" applyFill="1" applyBorder="1" applyAlignment="1" applyProtection="1">
      <alignment horizontal="center" vertical="top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3" fontId="3" fillId="26" borderId="0" xfId="42" applyNumberFormat="1" applyFont="1" applyFill="1" applyBorder="1" applyAlignment="1" applyProtection="1">
      <alignment horizontal="center" vertical="top"/>
      <protection locked="0"/>
    </xf>
    <xf numFmtId="3" fontId="3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6" borderId="0" xfId="0" applyFont="1" applyFill="1" applyBorder="1" applyAlignment="1" applyProtection="1">
      <alignment horizontal="center" vertical="center" wrapText="1"/>
      <protection locked="0"/>
    </xf>
    <xf numFmtId="0" fontId="7" fillId="26" borderId="0" xfId="0" applyFont="1" applyFill="1" applyBorder="1" applyAlignment="1" applyProtection="1">
      <alignment vertical="top" wrapText="1"/>
      <protection locked="0"/>
    </xf>
    <xf numFmtId="0" fontId="7" fillId="26" borderId="0" xfId="0" applyFont="1" applyFill="1" applyBorder="1" applyAlignment="1" applyProtection="1">
      <alignment horizontal="center" vertical="top"/>
      <protection locked="0"/>
    </xf>
    <xf numFmtId="10" fontId="0" fillId="26" borderId="0" xfId="0" applyNumberFormat="1" applyFill="1" applyBorder="1" applyAlignment="1" applyProtection="1">
      <alignment horizontal="center" vertical="top"/>
      <protection locked="0"/>
    </xf>
    <xf numFmtId="10" fontId="0" fillId="29" borderId="44" xfId="0" applyNumberFormat="1" applyFill="1" applyBorder="1" applyAlignment="1" applyProtection="1">
      <alignment horizontal="center" vertical="top"/>
      <protection locked="0"/>
    </xf>
    <xf numFmtId="10" fontId="0" fillId="29" borderId="51" xfId="0" applyNumberFormat="1" applyFill="1" applyBorder="1" applyAlignment="1" applyProtection="1">
      <alignment horizontal="center" vertical="top"/>
      <protection locked="0"/>
    </xf>
    <xf numFmtId="10" fontId="0" fillId="29" borderId="18" xfId="0" applyNumberFormat="1" applyFill="1" applyBorder="1" applyAlignment="1" applyProtection="1">
      <alignment horizontal="center" vertical="top"/>
      <protection locked="0"/>
    </xf>
    <xf numFmtId="10" fontId="0" fillId="29" borderId="10" xfId="0" applyNumberFormat="1" applyFill="1" applyBorder="1" applyAlignment="1" applyProtection="1">
      <alignment horizontal="center" vertical="top"/>
      <protection locked="0"/>
    </xf>
    <xf numFmtId="178" fontId="0" fillId="29" borderId="44" xfId="0" applyNumberFormat="1" applyFill="1" applyBorder="1" applyAlignment="1" applyProtection="1">
      <alignment horizontal="center" vertical="top"/>
      <protection locked="0"/>
    </xf>
    <xf numFmtId="178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14" xfId="0" applyNumberFormat="1" applyFill="1" applyBorder="1" applyAlignment="1" applyProtection="1">
      <alignment horizontal="center" vertical="top"/>
      <protection locked="0"/>
    </xf>
    <xf numFmtId="10" fontId="0" fillId="29" borderId="9" xfId="0" applyNumberFormat="1" applyFill="1" applyBorder="1" applyAlignment="1" applyProtection="1">
      <alignment horizontal="center" vertical="top"/>
      <protection locked="0"/>
    </xf>
    <xf numFmtId="0" fontId="0" fillId="29" borderId="14" xfId="0" applyFill="1" applyBorder="1" applyAlignment="1" applyProtection="1">
      <alignment horizontal="center" vertical="top"/>
      <protection locked="0"/>
    </xf>
    <xf numFmtId="0" fontId="0" fillId="29" borderId="9" xfId="0" applyFill="1" applyBorder="1" applyAlignment="1" applyProtection="1">
      <alignment horizontal="center" vertical="top"/>
      <protection locked="0"/>
    </xf>
    <xf numFmtId="3" fontId="0" fillId="29" borderId="14" xfId="0" applyNumberFormat="1" applyFill="1" applyBorder="1" applyAlignment="1" applyProtection="1">
      <alignment horizontal="center" vertical="center"/>
      <protection locked="0"/>
    </xf>
    <xf numFmtId="3" fontId="0" fillId="29" borderId="46" xfId="0" applyNumberFormat="1" applyFill="1" applyBorder="1" applyAlignment="1" applyProtection="1">
      <alignment horizontal="center" vertical="center"/>
      <protection locked="0"/>
    </xf>
    <xf numFmtId="0" fontId="0" fillId="29" borderId="46" xfId="0" applyFill="1" applyBorder="1" applyAlignment="1" applyProtection="1">
      <alignment horizontal="center" vertical="top"/>
      <protection locked="0"/>
    </xf>
    <xf numFmtId="0" fontId="0" fillId="2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23" borderId="48" xfId="42" applyNumberFormat="1" applyFont="1" applyFill="1" applyBorder="1" applyAlignment="1" applyProtection="1">
      <alignment horizontal="center" vertical="top"/>
      <protection locked="0"/>
    </xf>
    <xf numFmtId="4" fontId="9" fillId="23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49" xfId="0" applyFont="1" applyFill="1" applyBorder="1" applyAlignment="1" applyProtection="1">
      <alignment horizontal="center" vertical="top"/>
      <protection locked="0"/>
    </xf>
    <xf numFmtId="3" fontId="3" fillId="23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23" borderId="49" xfId="42" applyNumberFormat="1" applyFont="1" applyFill="1" applyBorder="1" applyAlignment="1" applyProtection="1">
      <alignment horizontal="center" vertical="top"/>
      <protection locked="0"/>
    </xf>
    <xf numFmtId="0" fontId="9" fillId="23" borderId="55" xfId="0" applyFont="1" applyFill="1" applyBorder="1" applyAlignment="1" applyProtection="1">
      <alignment horizontal="center" vertical="center" wrapText="1"/>
      <protection locked="0"/>
    </xf>
    <xf numFmtId="0" fontId="3" fillId="26" borderId="0" xfId="0" applyFont="1" applyFill="1" applyBorder="1" applyAlignment="1" applyProtection="1">
      <alignment vertical="top" wrapText="1"/>
      <protection locked="0"/>
    </xf>
    <xf numFmtId="0" fontId="0" fillId="25" borderId="0" xfId="0" applyFill="1" applyBorder="1" applyAlignment="1" applyProtection="1">
      <alignment horizontal="center" vertical="top"/>
      <protection locked="0"/>
    </xf>
    <xf numFmtId="3" fontId="0" fillId="25" borderId="0" xfId="0" applyNumberFormat="1" applyFill="1" applyBorder="1" applyAlignment="1" applyProtection="1">
      <alignment horizontal="center" vertical="center"/>
      <protection locked="0"/>
    </xf>
    <xf numFmtId="0" fontId="0" fillId="26" borderId="17" xfId="0" applyFill="1" applyBorder="1" applyAlignment="1" applyProtection="1">
      <alignment horizontal="center" vertical="top"/>
      <protection locked="0"/>
    </xf>
    <xf numFmtId="3" fontId="0" fillId="26" borderId="0" xfId="0" applyNumberFormat="1" applyFill="1" applyBorder="1" applyAlignment="1" applyProtection="1">
      <alignment horizontal="center" vertical="center"/>
      <protection locked="0"/>
    </xf>
    <xf numFmtId="0" fontId="3" fillId="26" borderId="0" xfId="0" applyFont="1" applyFill="1" applyBorder="1" applyAlignment="1" applyProtection="1">
      <alignment vertical="top"/>
      <protection locked="0"/>
    </xf>
    <xf numFmtId="0" fontId="3" fillId="26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27" borderId="0" xfId="0" applyNumberFormat="1" applyFill="1" applyAlignment="1">
      <alignment vertical="top"/>
    </xf>
    <xf numFmtId="0" fontId="0" fillId="2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23" borderId="15" xfId="0" applyNumberFormat="1" applyFill="1" applyBorder="1" applyAlignment="1" applyProtection="1">
      <alignment vertical="top"/>
      <protection/>
    </xf>
    <xf numFmtId="3" fontId="0" fillId="29" borderId="0" xfId="0" applyNumberFormat="1" applyFill="1" applyAlignment="1" applyProtection="1">
      <alignment/>
      <protection/>
    </xf>
    <xf numFmtId="3" fontId="0" fillId="29" borderId="0" xfId="0" applyNumberFormat="1" applyFill="1" applyAlignment="1">
      <alignment/>
    </xf>
    <xf numFmtId="3" fontId="0" fillId="27" borderId="0" xfId="0" applyNumberFormat="1" applyFill="1" applyAlignment="1" applyProtection="1">
      <alignment/>
      <protection/>
    </xf>
    <xf numFmtId="3" fontId="0" fillId="27" borderId="56" xfId="0" applyNumberFormat="1" applyFill="1" applyBorder="1" applyAlignment="1" applyProtection="1">
      <alignment/>
      <protection/>
    </xf>
    <xf numFmtId="0" fontId="0" fillId="27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29" borderId="14" xfId="0" applyNumberFormat="1" applyFill="1" applyBorder="1" applyAlignment="1">
      <alignment vertical="top"/>
    </xf>
    <xf numFmtId="10" fontId="0" fillId="27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27" borderId="41" xfId="0" applyFont="1" applyFill="1" applyBorder="1" applyAlignment="1" applyProtection="1">
      <alignment horizontal="center" vertical="top"/>
      <protection locked="0"/>
    </xf>
    <xf numFmtId="0" fontId="23" fillId="26" borderId="0" xfId="0" applyFont="1" applyFill="1" applyBorder="1" applyAlignment="1" applyProtection="1">
      <alignment horizontal="center" vertical="top"/>
      <protection locked="0"/>
    </xf>
    <xf numFmtId="0" fontId="19" fillId="26" borderId="0" xfId="0" applyFont="1" applyFill="1" applyBorder="1" applyAlignment="1" applyProtection="1">
      <alignment vertical="top" wrapText="1"/>
      <protection locked="0"/>
    </xf>
    <xf numFmtId="0" fontId="8" fillId="25" borderId="0" xfId="0" applyFont="1" applyFill="1" applyBorder="1" applyAlignment="1">
      <alignment vertical="top" wrapText="1"/>
    </xf>
    <xf numFmtId="3" fontId="0" fillId="23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27" borderId="0" xfId="0" applyFont="1" applyFill="1" applyAlignment="1">
      <alignment vertical="top"/>
    </xf>
    <xf numFmtId="3" fontId="0" fillId="27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29" borderId="0" xfId="0" applyNumberFormat="1" applyFill="1" applyAlignment="1">
      <alignment vertical="top"/>
    </xf>
    <xf numFmtId="10" fontId="0" fillId="29" borderId="0" xfId="0" applyNumberFormat="1" applyFill="1" applyAlignment="1">
      <alignment vertical="top"/>
    </xf>
    <xf numFmtId="9" fontId="0" fillId="29" borderId="0" xfId="0" applyNumberFormat="1" applyFill="1" applyAlignment="1">
      <alignment horizontal="center" vertical="top"/>
    </xf>
    <xf numFmtId="16" fontId="0" fillId="29" borderId="0" xfId="0" applyNumberFormat="1" applyFill="1" applyAlignment="1">
      <alignment horizontal="center" vertical="top"/>
    </xf>
    <xf numFmtId="3" fontId="0" fillId="29" borderId="0" xfId="0" applyNumberFormat="1" applyFill="1" applyAlignment="1">
      <alignment vertical="top"/>
    </xf>
    <xf numFmtId="3" fontId="0" fillId="4" borderId="0" xfId="0" applyNumberFormat="1" applyFill="1" applyBorder="1" applyAlignment="1" applyProtection="1">
      <alignment vertical="top"/>
      <protection locked="0"/>
    </xf>
    <xf numFmtId="0" fontId="0" fillId="29" borderId="0" xfId="0" applyFill="1" applyAlignment="1">
      <alignment vertical="top"/>
    </xf>
    <xf numFmtId="0" fontId="0" fillId="23" borderId="14" xfId="0" applyFill="1" applyBorder="1" applyAlignment="1" applyProtection="1">
      <alignment horizontal="center" vertical="top"/>
      <protection locked="0"/>
    </xf>
    <xf numFmtId="37" fontId="19" fillId="27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3" fontId="0" fillId="25" borderId="0" xfId="0" applyNumberFormat="1" applyFill="1" applyAlignment="1" applyProtection="1">
      <alignment vertical="top"/>
      <protection locked="0"/>
    </xf>
    <xf numFmtId="0" fontId="0" fillId="25" borderId="0" xfId="0" applyFont="1" applyFill="1" applyAlignment="1" applyProtection="1">
      <alignment vertical="top"/>
      <protection locked="0"/>
    </xf>
    <xf numFmtId="0" fontId="0" fillId="25" borderId="0" xfId="0" applyFill="1" applyAlignment="1" applyProtection="1">
      <alignment vertical="top"/>
      <protection locked="0"/>
    </xf>
    <xf numFmtId="0" fontId="0" fillId="25" borderId="0" xfId="0" applyFill="1" applyAlignment="1">
      <alignment vertical="top"/>
    </xf>
    <xf numFmtId="0" fontId="0" fillId="25" borderId="0" xfId="0" applyFill="1" applyAlignment="1" applyProtection="1" quotePrefix="1">
      <alignment vertical="top"/>
      <protection locked="0"/>
    </xf>
    <xf numFmtId="37" fontId="0" fillId="25" borderId="0" xfId="0" applyNumberFormat="1" applyFill="1" applyBorder="1" applyAlignment="1" applyProtection="1">
      <alignment vertical="top"/>
      <protection locked="0"/>
    </xf>
    <xf numFmtId="37" fontId="0" fillId="25" borderId="0" xfId="0" applyNumberFormat="1" applyFill="1" applyAlignment="1" applyProtection="1">
      <alignment vertical="top"/>
      <protection locked="0"/>
    </xf>
    <xf numFmtId="37" fontId="0" fillId="25" borderId="0" xfId="0" applyNumberFormat="1" applyFill="1" applyBorder="1" applyAlignment="1">
      <alignment vertical="top"/>
    </xf>
    <xf numFmtId="0" fontId="3" fillId="27" borderId="48" xfId="0" applyFont="1" applyFill="1" applyBorder="1" applyAlignment="1">
      <alignment horizontal="center" vertical="top"/>
    </xf>
    <xf numFmtId="0" fontId="3" fillId="27" borderId="49" xfId="0" applyFont="1" applyFill="1" applyBorder="1" applyAlignment="1">
      <alignment horizontal="center" vertical="top"/>
    </xf>
    <xf numFmtId="0" fontId="0" fillId="27" borderId="17" xfId="0" applyFill="1" applyBorder="1" applyAlignment="1">
      <alignment horizontal="center" vertical="top"/>
    </xf>
    <xf numFmtId="3" fontId="0" fillId="27" borderId="14" xfId="0" applyNumberFormat="1" applyFill="1" applyBorder="1" applyAlignment="1">
      <alignment horizontal="right" vertical="top"/>
    </xf>
    <xf numFmtId="0" fontId="0" fillId="2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27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26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5" borderId="0" xfId="0" applyFont="1" applyFill="1" applyAlignment="1">
      <alignment vertical="top" wrapText="1"/>
    </xf>
    <xf numFmtId="0" fontId="0" fillId="25" borderId="0" xfId="0" applyFill="1" applyAlignment="1" quotePrefix="1">
      <alignment horizontal="center" vertical="top"/>
    </xf>
    <xf numFmtId="3" fontId="0" fillId="26" borderId="0" xfId="0" applyNumberFormat="1" applyFill="1" applyBorder="1" applyAlignment="1">
      <alignment/>
    </xf>
    <xf numFmtId="3" fontId="0" fillId="26" borderId="0" xfId="0" applyNumberFormat="1" applyFill="1" applyBorder="1" applyAlignment="1" applyProtection="1">
      <alignment/>
      <protection/>
    </xf>
    <xf numFmtId="37" fontId="0" fillId="26" borderId="0" xfId="0" applyNumberFormat="1" applyFill="1" applyBorder="1" applyAlignment="1" applyProtection="1">
      <alignment vertical="top"/>
      <protection locked="0"/>
    </xf>
    <xf numFmtId="0" fontId="0" fillId="26" borderId="0" xfId="0" applyFill="1" applyBorder="1" applyAlignment="1" applyProtection="1">
      <alignment vertical="top"/>
      <protection locked="0"/>
    </xf>
    <xf numFmtId="0" fontId="0" fillId="26" borderId="0" xfId="0" applyFill="1" applyBorder="1" applyAlignment="1">
      <alignment vertical="top"/>
    </xf>
    <xf numFmtId="37" fontId="0" fillId="26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2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2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27" borderId="14" xfId="0" applyNumberFormat="1" applyFont="1" applyFill="1" applyBorder="1" applyAlignment="1" applyProtection="1">
      <alignment horizontal="right" vertical="top"/>
      <protection/>
    </xf>
    <xf numFmtId="3" fontId="0" fillId="29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29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23" borderId="14" xfId="0" applyNumberFormat="1" applyFont="1" applyFill="1" applyBorder="1" applyAlignment="1" applyProtection="1">
      <alignment/>
      <protection/>
    </xf>
    <xf numFmtId="37" fontId="3" fillId="23" borderId="14" xfId="0" applyNumberFormat="1" applyFont="1" applyFill="1" applyBorder="1" applyAlignment="1" applyProtection="1">
      <alignment vertical="top"/>
      <protection/>
    </xf>
    <xf numFmtId="37" fontId="0" fillId="27" borderId="14" xfId="0" applyNumberFormat="1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10" fontId="0" fillId="26" borderId="0" xfId="63" applyFont="1" applyFill="1" applyBorder="1" applyAlignment="1" applyProtection="1">
      <alignment vertical="top"/>
      <protection locked="0"/>
    </xf>
    <xf numFmtId="0" fontId="0" fillId="29" borderId="17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4" borderId="0" xfId="0" applyNumberFormat="1" applyFill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26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23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25" borderId="0" xfId="0" applyFill="1" applyAlignment="1" applyProtection="1">
      <alignment vertical="top" wrapText="1"/>
      <protection locked="0"/>
    </xf>
    <xf numFmtId="0" fontId="0" fillId="25" borderId="0" xfId="0" applyFill="1" applyAlignment="1" applyProtection="1" quotePrefix="1">
      <alignment vertical="top" wrapText="1"/>
      <protection locked="0"/>
    </xf>
    <xf numFmtId="0" fontId="0" fillId="25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Orillia\2012%20Rate%20Appl\PILs%201562%20Final\2003%20Analysis\OPDC_revised_2003_PILs_Model_201109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62">
          <cell r="D62">
            <v>648659.2236875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47">
      <selection activeCell="D47" sqref="D47: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493</v>
      </c>
      <c r="C1" s="8"/>
      <c r="E1" s="2" t="s">
        <v>457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502</v>
      </c>
      <c r="C3" s="8"/>
      <c r="D3" s="455" t="s">
        <v>443</v>
      </c>
      <c r="E3" s="8"/>
      <c r="F3" s="8"/>
      <c r="G3" s="8"/>
      <c r="H3" s="8"/>
    </row>
    <row r="4" spans="1:8" ht="12.75">
      <c r="A4" s="2" t="s">
        <v>479</v>
      </c>
      <c r="C4" s="8"/>
      <c r="D4" s="454" t="s">
        <v>438</v>
      </c>
      <c r="E4" s="428"/>
      <c r="H4" s="8"/>
    </row>
    <row r="5" spans="1:8" ht="12.75">
      <c r="A5" s="52"/>
      <c r="C5" s="8"/>
      <c r="D5" s="453" t="s">
        <v>439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255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491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492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492</v>
      </c>
    </row>
    <row r="18" spans="1:4" ht="15" customHeight="1">
      <c r="A18" s="390" t="s">
        <v>314</v>
      </c>
      <c r="C18" s="8"/>
      <c r="D18" s="8"/>
    </row>
    <row r="19" spans="1:4" ht="13.5" thickBot="1">
      <c r="A19" s="490" t="s">
        <v>315</v>
      </c>
      <c r="B19" s="8" t="s">
        <v>312</v>
      </c>
      <c r="C19" s="8" t="s">
        <v>64</v>
      </c>
      <c r="D19" s="485"/>
    </row>
    <row r="20" spans="1:4" ht="13.5" thickBot="1">
      <c r="A20" s="491"/>
      <c r="B20" s="8" t="s">
        <v>313</v>
      </c>
      <c r="C20" s="8" t="s">
        <v>64</v>
      </c>
      <c r="D20" s="485"/>
    </row>
    <row r="21" spans="1:4" ht="12.75">
      <c r="A21" s="490" t="s">
        <v>311</v>
      </c>
      <c r="B21" s="8" t="s">
        <v>312</v>
      </c>
      <c r="C21" s="8"/>
      <c r="D21" s="424">
        <v>1</v>
      </c>
    </row>
    <row r="22" spans="1:4" ht="12.75">
      <c r="A22" s="490"/>
      <c r="B22" s="8" t="s">
        <v>313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211</v>
      </c>
      <c r="C24" s="8" t="s">
        <v>212</v>
      </c>
      <c r="D24" s="425" t="s">
        <v>480</v>
      </c>
    </row>
    <row r="25" ht="6.75" customHeight="1" thickBot="1">
      <c r="A25" s="12"/>
    </row>
    <row r="26" spans="1:5" ht="12.75">
      <c r="A26" s="255" t="s">
        <v>67</v>
      </c>
      <c r="C26" s="8"/>
      <c r="E26" s="443" t="s">
        <v>296</v>
      </c>
    </row>
    <row r="27" spans="1:5" ht="12.75">
      <c r="A27" s="256" t="s">
        <v>68</v>
      </c>
      <c r="C27" s="8"/>
      <c r="E27" s="444" t="s">
        <v>297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286</v>
      </c>
      <c r="D31" s="422">
        <v>4894305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/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177418.55625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34549</v>
      </c>
      <c r="E43" s="388">
        <f>D43</f>
        <v>34549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142869.55625</v>
      </c>
      <c r="H45" s="40"/>
      <c r="J45" s="5"/>
      <c r="K45" s="5"/>
    </row>
    <row r="46" spans="1:11" ht="12.75">
      <c r="A46" s="2" t="s">
        <v>287</v>
      </c>
      <c r="D46" s="40"/>
      <c r="H46" s="40"/>
      <c r="J46" s="5"/>
      <c r="K46" s="5"/>
    </row>
    <row r="47" spans="1:11" ht="12.75">
      <c r="A47" t="s">
        <v>288</v>
      </c>
      <c r="D47" s="427"/>
      <c r="E47" s="388">
        <f aca="true" t="shared" si="0" ref="E47:E53">D47</f>
        <v>0</v>
      </c>
      <c r="H47" s="40"/>
      <c r="J47" s="5"/>
      <c r="K47" s="5"/>
    </row>
    <row r="48" spans="1:11" ht="12.75">
      <c r="A48" t="s">
        <v>289</v>
      </c>
      <c r="D48" s="487">
        <v>47623</v>
      </c>
      <c r="E48" s="388">
        <f>D48</f>
        <v>47623</v>
      </c>
      <c r="F48" s="22"/>
      <c r="H48" s="40"/>
      <c r="J48" s="5"/>
      <c r="K48" s="5"/>
    </row>
    <row r="49" spans="1:11" ht="12.75">
      <c r="A49" t="s">
        <v>290</v>
      </c>
      <c r="D49" s="487">
        <f>D45/3</f>
        <v>47623.18541666667</v>
      </c>
      <c r="E49" s="388">
        <v>0</v>
      </c>
      <c r="F49" s="22"/>
      <c r="H49" s="40"/>
      <c r="J49" s="5"/>
      <c r="K49" s="5"/>
    </row>
    <row r="50" spans="1:11" ht="12.75">
      <c r="A50" t="s">
        <v>291</v>
      </c>
      <c r="D50" s="428"/>
      <c r="E50" s="388">
        <f t="shared" si="0"/>
        <v>0</v>
      </c>
      <c r="H50" s="40"/>
      <c r="J50" s="5"/>
      <c r="K50" s="5"/>
    </row>
    <row r="51" spans="1:11" ht="12.75">
      <c r="A51" t="s">
        <v>435</v>
      </c>
      <c r="D51" s="428"/>
      <c r="E51" s="388">
        <f t="shared" si="0"/>
        <v>0</v>
      </c>
      <c r="H51" s="40"/>
      <c r="J51" s="5"/>
      <c r="K51" s="5"/>
    </row>
    <row r="52" spans="1:11" ht="12.75">
      <c r="A52" t="s">
        <v>458</v>
      </c>
      <c r="D52" s="428"/>
      <c r="E52" s="388">
        <f t="shared" si="0"/>
        <v>0</v>
      </c>
      <c r="H52" s="40"/>
      <c r="J52" s="5"/>
      <c r="K52" s="5"/>
    </row>
    <row r="53" spans="4:11" ht="12.75">
      <c r="D53" s="428"/>
      <c r="E53" s="388">
        <f t="shared" si="0"/>
        <v>0</v>
      </c>
      <c r="H53" s="40"/>
      <c r="J53" s="5"/>
      <c r="K53" s="5"/>
    </row>
    <row r="54" spans="1:11" ht="12.75">
      <c r="A54" s="2" t="s">
        <v>292</v>
      </c>
      <c r="E54" s="254">
        <f>SUM(E43:E53)</f>
        <v>82172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2447152.5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0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2447152.5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2">
        <f>D60*D39</f>
        <v>177418.55625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293</v>
      </c>
      <c r="B64" s="5"/>
      <c r="C64" s="5"/>
      <c r="D64" s="253">
        <f>IF(D41&gt;0,(((D43+D47)/D41)*D62),0)</f>
        <v>34549</v>
      </c>
      <c r="F64" s="5"/>
      <c r="H64" s="32"/>
      <c r="J64" s="5"/>
      <c r="K64" s="5"/>
    </row>
    <row r="65" spans="1:11" ht="12.75">
      <c r="A65" s="33" t="s">
        <v>374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294</v>
      </c>
      <c r="B66" s="5"/>
      <c r="C66" s="5"/>
      <c r="D66" s="253">
        <f>IF(D41&gt;0,(((D43+D47+D48)/D41)*D62),0)</f>
        <v>82172</v>
      </c>
      <c r="F66" s="5"/>
      <c r="H66" s="32"/>
      <c r="J66" s="5"/>
      <c r="K66" s="5"/>
    </row>
    <row r="67" spans="1:11" ht="12.75">
      <c r="A67" s="33" t="s">
        <v>375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295</v>
      </c>
      <c r="B68" s="5"/>
      <c r="C68" s="5"/>
      <c r="D68" s="253">
        <f>IF(D41&gt;0,(((D43+D47+D48)/D41)*D62),0)</f>
        <v>82172</v>
      </c>
      <c r="F68" s="5"/>
      <c r="H68" s="32"/>
      <c r="J68" s="5"/>
    </row>
    <row r="69" spans="1:10" ht="12.75">
      <c r="A69" s="33" t="s">
        <v>376</v>
      </c>
      <c r="B69" s="5"/>
      <c r="C69" s="5"/>
      <c r="D69" s="5"/>
      <c r="F69" s="5"/>
      <c r="H69" s="32"/>
      <c r="J69" s="5"/>
    </row>
    <row r="70" spans="1:10" ht="12.75">
      <c r="A70" s="45" t="s">
        <v>444</v>
      </c>
      <c r="B70" s="5"/>
      <c r="C70" s="5"/>
      <c r="D70" s="253">
        <f>D62</f>
        <v>177418.55625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PageLayoutView="0" workbookViewId="0" topLeftCell="A168">
      <selection activeCell="C33" sqref="C33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as per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460</v>
      </c>
      <c r="H1" s="210"/>
    </row>
    <row r="2" spans="1:8" ht="12.75">
      <c r="A2" s="211" t="s">
        <v>459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461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Fort Frances Power Corporation</v>
      </c>
      <c r="B6" s="115"/>
      <c r="D6" s="137"/>
      <c r="E6" s="115"/>
      <c r="G6" s="115"/>
      <c r="H6" s="465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5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9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255</v>
      </c>
      <c r="B10" s="429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59">
        <f>REGINFO!E54</f>
        <v>82172</v>
      </c>
      <c r="D16" s="17"/>
      <c r="E16" s="267">
        <f>G16-C16</f>
        <v>-103503</v>
      </c>
      <c r="F16" s="3"/>
      <c r="G16" s="267">
        <f>TAXREC!E50</f>
        <v>-21331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275611</v>
      </c>
      <c r="D20" s="18"/>
      <c r="E20" s="267">
        <f>G20-C20</f>
        <v>42005</v>
      </c>
      <c r="F20" s="6"/>
      <c r="G20" s="267">
        <f>TAXREC!E61</f>
        <v>317616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263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262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264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77" t="s">
        <v>391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191195</v>
      </c>
      <c r="D33" s="132"/>
      <c r="E33" s="267">
        <f aca="true" t="shared" si="0" ref="E33:E42">G33-C33</f>
        <v>-1266</v>
      </c>
      <c r="F33" s="6"/>
      <c r="G33" s="267">
        <f>TAXREC!E97+TAXREC!E98</f>
        <v>189929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265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82172</v>
      </c>
      <c r="D37" s="132"/>
      <c r="E37" s="267">
        <f t="shared" si="0"/>
        <v>-77621</v>
      </c>
      <c r="F37" s="6"/>
      <c r="G37" s="267">
        <f>TAXREC!E51</f>
        <v>4551</v>
      </c>
      <c r="H37" s="151"/>
    </row>
    <row r="38" spans="1:8" ht="12.75">
      <c r="A38" s="155" t="s">
        <v>261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260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391</v>
      </c>
      <c r="B48" s="127"/>
      <c r="C48" s="259"/>
      <c r="D48" s="132"/>
      <c r="E48" s="267">
        <f>G48-C48</f>
        <v>2228</v>
      </c>
      <c r="F48" s="6"/>
      <c r="G48" s="251">
        <f>TAXREC!E108</f>
        <v>2228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327</v>
      </c>
      <c r="B50" s="125"/>
      <c r="C50" s="263">
        <f>C16+SUM(C20:C30)-SUM(C33:C48)</f>
        <v>84416</v>
      </c>
      <c r="D50" s="102"/>
      <c r="E50" s="263">
        <f>E16+SUM(E20:E30)-SUM(E33:E48)</f>
        <v>15161</v>
      </c>
      <c r="F50" s="431"/>
      <c r="G50" s="263">
        <f>G16+SUM(G20:G30)-SUM(G33:G48)</f>
        <v>99577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2">
        <f>IF($C$50&gt;'Tax Rates'!$E$11,'Tax Rates'!$F$16,IF($C$50&gt;'Tax Rates'!$C$11,'Tax Rates'!$E$16,'Tax Rates'!$C$16))</f>
        <v>0.1912</v>
      </c>
      <c r="D53" s="102"/>
      <c r="E53" s="268">
        <f>+G53-C53</f>
        <v>-0.0050000000000000044</v>
      </c>
      <c r="F53" s="114"/>
      <c r="G53" s="262">
        <f>TAXREC!E151</f>
        <v>0.1862</v>
      </c>
      <c r="H53" s="151"/>
      <c r="I53" s="469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16140.3392</v>
      </c>
      <c r="D55" s="102"/>
      <c r="E55" s="267">
        <f>G55-C55</f>
        <v>2400.6607999999997</v>
      </c>
      <c r="F55" s="431" t="s">
        <v>364</v>
      </c>
      <c r="G55" s="264">
        <f>TAXREC!E144</f>
        <v>18541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1" t="s">
        <v>364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16140.3392</v>
      </c>
      <c r="D60" s="133"/>
      <c r="E60" s="269">
        <f>+E55-E58</f>
        <v>2400.6607999999997</v>
      </c>
      <c r="F60" s="431" t="s">
        <v>364</v>
      </c>
      <c r="G60" s="269">
        <f>+G55-G58</f>
        <v>18541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4894305</v>
      </c>
      <c r="D66" s="102"/>
      <c r="E66" s="267">
        <f>G66-C66</f>
        <v>22459329</v>
      </c>
      <c r="F66" s="6"/>
      <c r="G66" s="470">
        <v>27353634</v>
      </c>
      <c r="H66" s="151"/>
      <c r="I66" s="471" t="s">
        <v>468</v>
      </c>
    </row>
    <row r="67" spans="1:10" ht="12.75">
      <c r="A67" s="152" t="s">
        <v>357</v>
      </c>
      <c r="B67" s="125">
        <v>16</v>
      </c>
      <c r="C67" s="260">
        <f>IF(C66&gt;0,'Tax Rates'!C21,0)</f>
        <v>5000000</v>
      </c>
      <c r="D67" s="102"/>
      <c r="E67" s="267">
        <f>G67-C67</f>
        <v>-1276865</v>
      </c>
      <c r="F67" s="6"/>
      <c r="G67" s="267">
        <f>'Tax Rates'!C57</f>
        <v>3723135</v>
      </c>
      <c r="H67" s="151"/>
      <c r="I67" s="471"/>
      <c r="J67" s="472" t="s">
        <v>469</v>
      </c>
    </row>
    <row r="68" spans="1:8" ht="12.75">
      <c r="A68" s="152" t="s">
        <v>42</v>
      </c>
      <c r="B68" s="125"/>
      <c r="C68" s="264">
        <f>IF((C66-C67)&gt;0,C66-C67,0)</f>
        <v>0</v>
      </c>
      <c r="D68" s="102"/>
      <c r="E68" s="267">
        <f>SUM(E66:E67)</f>
        <v>21182464</v>
      </c>
      <c r="F68" s="114"/>
      <c r="G68" s="264">
        <f>G66-G67</f>
        <v>23630499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316</v>
      </c>
      <c r="B72" s="125"/>
      <c r="C72" s="264">
        <f>IF(C68&gt;0,C68*C70,0)*REGINFO!$B$6/REGINFO!$B$7</f>
        <v>0</v>
      </c>
      <c r="D72" s="101"/>
      <c r="E72" s="267">
        <f>+G72-C72</f>
        <v>70891.497</v>
      </c>
      <c r="F72" s="473"/>
      <c r="G72" s="264">
        <f>IF(G68&gt;0,G68*G70,0)*REGINFO!$B$6/REGINFO!$B$7</f>
        <v>70891.497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217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4894305</v>
      </c>
      <c r="D75" s="102"/>
      <c r="E75" s="267">
        <f>+G75-C75</f>
        <v>18487727</v>
      </c>
      <c r="F75" s="6"/>
      <c r="G75" s="470">
        <v>23382032</v>
      </c>
      <c r="H75" s="151"/>
      <c r="I75" s="471" t="s">
        <v>468</v>
      </c>
    </row>
    <row r="76" spans="1:9" ht="12.75">
      <c r="A76" s="152" t="s">
        <v>357</v>
      </c>
      <c r="B76" s="125">
        <v>19</v>
      </c>
      <c r="C76" s="260">
        <f>IF(C75&gt;0,'Tax Rates'!C22,0)</f>
        <v>10000000</v>
      </c>
      <c r="D76" s="18"/>
      <c r="E76" s="267">
        <f>+G76-C76</f>
        <v>29000000</v>
      </c>
      <c r="F76" s="6"/>
      <c r="G76" s="267">
        <f>'Tax Rates'!C58</f>
        <v>39000000</v>
      </c>
      <c r="H76" s="151"/>
      <c r="I76" s="471"/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47487727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317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318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2">
        <f>C53</f>
        <v>0.1912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365</v>
      </c>
      <c r="B90" s="127">
        <v>22</v>
      </c>
      <c r="C90" s="264">
        <f>C60/(1-C88)</f>
        <v>19955.909000989122</v>
      </c>
      <c r="D90" s="20"/>
      <c r="E90" s="139"/>
      <c r="F90" s="430" t="s">
        <v>482</v>
      </c>
      <c r="G90" s="270">
        <f>TAXREC!E156</f>
        <v>18541</v>
      </c>
      <c r="H90" s="151"/>
    </row>
    <row r="91" spans="1:8" ht="12.75">
      <c r="A91" s="158" t="s">
        <v>366</v>
      </c>
      <c r="B91" s="127">
        <v>23</v>
      </c>
      <c r="C91" s="264">
        <f>C84/(1-C88)</f>
        <v>0</v>
      </c>
      <c r="D91" s="20"/>
      <c r="E91" s="139"/>
      <c r="F91" s="430" t="s">
        <v>482</v>
      </c>
      <c r="G91" s="270">
        <f>TAXREC!E158</f>
        <v>0</v>
      </c>
      <c r="H91" s="151"/>
    </row>
    <row r="92" spans="1:8" ht="12.75">
      <c r="A92" s="158" t="s">
        <v>345</v>
      </c>
      <c r="B92" s="127">
        <v>24</v>
      </c>
      <c r="C92" s="264">
        <f>C72</f>
        <v>0</v>
      </c>
      <c r="D92" s="20"/>
      <c r="E92" s="139"/>
      <c r="F92" s="430" t="s">
        <v>482</v>
      </c>
      <c r="G92" s="270">
        <f>TAXREC!E157</f>
        <v>1977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473</v>
      </c>
      <c r="B95" s="125">
        <v>25</v>
      </c>
      <c r="C95" s="269">
        <f>SUM(C90:C93)</f>
        <v>19955.909000989122</v>
      </c>
      <c r="D95" s="6"/>
      <c r="E95" s="139"/>
      <c r="F95" s="430" t="s">
        <v>482</v>
      </c>
      <c r="G95" s="414">
        <f>SUM(G90:G94)</f>
        <v>20518</v>
      </c>
      <c r="H95" s="164"/>
    </row>
    <row r="96" spans="1:8" ht="12.75">
      <c r="A96" s="404" t="s">
        <v>307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304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477</v>
      </c>
      <c r="B112" s="127">
        <v>11</v>
      </c>
      <c r="C112" s="112"/>
      <c r="D112" s="3"/>
      <c r="E112" s="251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219</v>
      </c>
      <c r="B120" s="127">
        <v>26</v>
      </c>
      <c r="C120" s="112"/>
      <c r="D120" s="117" t="s">
        <v>189</v>
      </c>
      <c r="E120" s="264">
        <f>SUM(E102:E107)-SUM(E109:E118)</f>
        <v>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481</v>
      </c>
      <c r="B122" s="127"/>
      <c r="C122" s="112"/>
      <c r="D122" s="3" t="s">
        <v>230</v>
      </c>
      <c r="E122" s="262">
        <v>0.1862</v>
      </c>
      <c r="F122" s="469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4">
        <f>E120*E122</f>
        <v>0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0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0.175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481">
        <f>E128/(1-E130)</f>
        <v>0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234</v>
      </c>
      <c r="B136" s="130"/>
      <c r="C136" s="112"/>
      <c r="D136" s="118" t="s">
        <v>189</v>
      </c>
      <c r="E136" s="302">
        <f>C50</f>
        <v>84416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312">
        <f>IF((E120+E136)&gt;'Tax Rates'!E47,'Tax Rates'!F52,IF((E120+E136)&gt;'Tax Rates'!D47,'Tax Rates'!E52,IF((E120+E136)&gt;'Tax Rates'!C47,'Tax Rates'!D52,'Tax Rates'!C52)))</f>
        <v>0.1862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3">
        <f>IF(E136&gt;0,E136*E138,0)</f>
        <v>15718.2592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2">
        <f>E140-E142</f>
        <v>15718.2592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238</v>
      </c>
      <c r="B146" s="130"/>
      <c r="C146" s="112"/>
      <c r="D146" s="118" t="s">
        <v>188</v>
      </c>
      <c r="E146" s="302">
        <f>C60</f>
        <v>16140.3392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2">
        <f>E144-E146</f>
        <v>-422.0799999999999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4894305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2">
        <f>E151-E152</f>
        <v>-105695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230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2">
        <f>IF(E153&gt;0,E153*E155*B9/B10,0)</f>
        <v>0</v>
      </c>
      <c r="F157" s="37"/>
      <c r="G157" s="201"/>
      <c r="H157" s="164"/>
    </row>
    <row r="158" spans="1:8" ht="25.5">
      <c r="A158" s="171" t="s">
        <v>308</v>
      </c>
      <c r="B158" s="130"/>
      <c r="C158" s="112"/>
      <c r="D158" s="118" t="s">
        <v>188</v>
      </c>
      <c r="E158" s="305">
        <f>C72</f>
        <v>0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30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4894305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2">
        <f>E162-E163</f>
        <v>-45105695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309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319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344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30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262">
        <f>IF((E120+G50)&gt;'Tax Rates'!E47,'Tax Rates'!F52-1.12%,IF((E120+G50)&gt;'Tax Rates'!D47,'Tax Rates'!E52-1.12%,IF((E120+G50)&gt;'Tax Rates'!C47,'Tax Rates'!D52,'Tax Rates'!C52-1.12%)))</f>
        <v>0.175</v>
      </c>
      <c r="F175" s="469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2">
        <f>E148/(1-E175)</f>
        <v>-511.61212121212117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80">
        <f>SUM(E177:E179)</f>
        <v>-511.61212121212117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476</v>
      </c>
      <c r="B183" s="130"/>
      <c r="C183" s="112"/>
      <c r="D183" s="119" t="s">
        <v>187</v>
      </c>
      <c r="E183" s="480">
        <f>E132</f>
        <v>0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480">
        <f>E181+E183</f>
        <v>-511.61212121212117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8">
        <f>REGINFO!D62</f>
        <v>177418.55625</v>
      </c>
      <c r="F193" s="3"/>
      <c r="G193" s="123"/>
      <c r="H193" s="164"/>
    </row>
    <row r="194" spans="1:8" ht="12.75">
      <c r="A194" s="155" t="s">
        <v>250</v>
      </c>
      <c r="B194" s="127"/>
      <c r="C194" s="112"/>
      <c r="D194" s="120"/>
      <c r="E194" s="308">
        <f>REGINFO!D66</f>
        <v>82172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8">
        <f>E193-E194</f>
        <v>95246.55625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256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251</v>
      </c>
      <c r="B201" s="127"/>
      <c r="C201" s="112"/>
      <c r="D201" s="120"/>
      <c r="E201" s="308">
        <f>G37+G42</f>
        <v>4551</v>
      </c>
      <c r="F201" s="3"/>
      <c r="G201" s="483"/>
      <c r="H201" s="164"/>
    </row>
    <row r="202" spans="1:8" ht="12.75">
      <c r="A202" s="486" t="s">
        <v>498</v>
      </c>
      <c r="B202" s="127"/>
      <c r="C202" s="112"/>
      <c r="D202" s="120"/>
      <c r="E202" s="308">
        <f>'[2]REGINFO'!D62</f>
        <v>648659.2236875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478</v>
      </c>
      <c r="B206" s="127"/>
      <c r="C206" s="112"/>
      <c r="D206" s="120"/>
      <c r="E206" s="303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09">
        <f>+E196-E204</f>
        <v>95246.55625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zoomScalePageLayoutView="0" workbookViewId="0" topLeftCell="A139">
      <selection activeCell="C157" sqref="C15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as per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Fort Frances Power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5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45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227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284</v>
      </c>
      <c r="B17" s="20" t="s">
        <v>64</v>
      </c>
      <c r="C17" s="8"/>
      <c r="E17" s="26"/>
      <c r="F17" s="8"/>
    </row>
    <row r="18" spans="1:6" ht="12.75">
      <c r="A18" s="55" t="s">
        <v>257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>
        <f>17713+5632+10446-683</f>
        <v>33108</v>
      </c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325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258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323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324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273</v>
      </c>
      <c r="B31" s="23" t="s">
        <v>187</v>
      </c>
      <c r="C31" s="285">
        <v>3982613</v>
      </c>
      <c r="D31" s="286"/>
      <c r="E31" s="284">
        <f>C31-D31</f>
        <v>3982613</v>
      </c>
      <c r="F31" s="11"/>
      <c r="G31" s="11"/>
      <c r="H31" s="6"/>
      <c r="I31" s="6"/>
    </row>
    <row r="32" spans="1:9" ht="12.75">
      <c r="A32" s="4" t="s">
        <v>220</v>
      </c>
      <c r="B32" s="23" t="s">
        <v>187</v>
      </c>
      <c r="C32" s="285">
        <v>1170427</v>
      </c>
      <c r="D32" s="286"/>
      <c r="E32" s="284">
        <f>C32-D32</f>
        <v>1170427</v>
      </c>
      <c r="F32" s="11"/>
      <c r="G32" s="11"/>
      <c r="H32" s="6"/>
      <c r="I32" s="6"/>
    </row>
    <row r="33" spans="1:9" ht="12.75">
      <c r="A33" s="4" t="s">
        <v>503</v>
      </c>
      <c r="B33" s="23" t="s">
        <v>187</v>
      </c>
      <c r="C33" s="285">
        <v>50709</v>
      </c>
      <c r="D33" s="286"/>
      <c r="E33" s="284">
        <f>C33-D33</f>
        <v>50709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5">
        <v>129026</v>
      </c>
      <c r="D34" s="286"/>
      <c r="E34" s="284">
        <f>C34-D34</f>
        <v>129026</v>
      </c>
      <c r="F34" s="11"/>
      <c r="G34" s="11"/>
      <c r="H34" s="6"/>
      <c r="I34" s="6"/>
    </row>
    <row r="35" spans="1:9" ht="13.5" thickBot="1">
      <c r="A35" s="10" t="s">
        <v>494</v>
      </c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285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3982613</v>
      </c>
      <c r="D39" s="286"/>
      <c r="E39" s="284">
        <f>C39-D39</f>
        <v>3982613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530385</v>
      </c>
      <c r="D40" s="286"/>
      <c r="E40" s="284">
        <f aca="true" t="shared" si="0" ref="E40:E48">C40-D40</f>
        <v>530385</v>
      </c>
      <c r="F40" s="11"/>
      <c r="G40" s="11"/>
      <c r="H40" s="6"/>
      <c r="I40" s="6"/>
    </row>
    <row r="41" spans="1:9" ht="12.75">
      <c r="A41" s="4" t="s">
        <v>274</v>
      </c>
      <c r="B41" s="23" t="s">
        <v>188</v>
      </c>
      <c r="C41" s="285">
        <v>216868</v>
      </c>
      <c r="D41" s="286"/>
      <c r="E41" s="284">
        <f t="shared" si="0"/>
        <v>216868</v>
      </c>
      <c r="F41" s="11"/>
      <c r="G41" s="11"/>
      <c r="H41" s="6"/>
      <c r="I41" s="6"/>
    </row>
    <row r="42" spans="1:9" ht="12.75">
      <c r="A42" s="4" t="s">
        <v>275</v>
      </c>
      <c r="B42" s="23" t="s">
        <v>188</v>
      </c>
      <c r="C42" s="285">
        <v>255915</v>
      </c>
      <c r="D42" s="286"/>
      <c r="E42" s="284">
        <f t="shared" si="0"/>
        <v>255915</v>
      </c>
      <c r="F42" s="11"/>
      <c r="G42" s="11"/>
      <c r="H42" s="6"/>
      <c r="I42" s="6"/>
    </row>
    <row r="43" spans="1:9" ht="12.75">
      <c r="A43" s="4" t="s">
        <v>276</v>
      </c>
      <c r="B43" s="23" t="s">
        <v>188</v>
      </c>
      <c r="C43" s="285">
        <v>317616</v>
      </c>
      <c r="D43" s="286"/>
      <c r="E43" s="284">
        <f t="shared" si="0"/>
        <v>317616</v>
      </c>
      <c r="F43" s="11"/>
      <c r="G43" s="11"/>
      <c r="H43" s="6"/>
      <c r="I43" s="6"/>
    </row>
    <row r="44" spans="1:9" ht="12.75">
      <c r="A44" s="4" t="s">
        <v>277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88" t="s">
        <v>500</v>
      </c>
      <c r="B45" s="23" t="s">
        <v>188</v>
      </c>
      <c r="C45" s="285">
        <v>50709</v>
      </c>
      <c r="D45" s="286"/>
      <c r="E45" s="284">
        <f t="shared" si="0"/>
        <v>50709</v>
      </c>
      <c r="F45" s="11"/>
      <c r="G45" s="11"/>
      <c r="H45" s="33"/>
      <c r="I45" s="33"/>
      <c r="J45" s="32"/>
      <c r="K45" s="32"/>
    </row>
    <row r="46" spans="1:11" ht="12.75">
      <c r="A46" s="488" t="s">
        <v>501</v>
      </c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-21331</v>
      </c>
      <c r="D50" s="281">
        <f>SUM(D31:D36)-SUM(D39:D49)</f>
        <v>0</v>
      </c>
      <c r="E50" s="281">
        <f>SUM(E31:E35)-SUM(E39:E48)</f>
        <v>-21331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4551</v>
      </c>
      <c r="D51" s="285"/>
      <c r="E51" s="282">
        <f>+C51-D51</f>
        <v>4551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3396</v>
      </c>
      <c r="D52" s="285"/>
      <c r="E52" s="283">
        <f>+C52-D52</f>
        <v>3396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-29278</v>
      </c>
      <c r="D53" s="281">
        <f>D50-D51-D52</f>
        <v>0</v>
      </c>
      <c r="E53" s="281">
        <f>E50-E51-E52</f>
        <v>-29278</v>
      </c>
      <c r="F53" s="8"/>
    </row>
    <row r="54" spans="1:6" ht="36">
      <c r="A54" s="87" t="s">
        <v>213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3396</v>
      </c>
      <c r="D59" s="287">
        <f>D52</f>
        <v>0</v>
      </c>
      <c r="E59" s="272">
        <f>+C59-D59</f>
        <v>3396</v>
      </c>
      <c r="F59" s="8"/>
      <c r="G59" s="416"/>
    </row>
    <row r="60" spans="1:6" ht="12.75">
      <c r="A60" s="4" t="s">
        <v>326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317616</v>
      </c>
      <c r="D61" s="287">
        <f>D43</f>
        <v>0</v>
      </c>
      <c r="E61" s="272">
        <f>+C61-D61</f>
        <v>317616</v>
      </c>
      <c r="F61" s="8"/>
      <c r="G61" s="416"/>
    </row>
    <row r="62" spans="1:6" ht="12.75">
      <c r="A62" t="s">
        <v>6</v>
      </c>
      <c r="B62" s="8" t="s">
        <v>187</v>
      </c>
      <c r="C62" s="318"/>
      <c r="D62" s="287">
        <v>0</v>
      </c>
      <c r="E62" s="272">
        <f>+C62-D62</f>
        <v>0</v>
      </c>
      <c r="F62" s="8"/>
    </row>
    <row r="63" spans="1:6" ht="12.75">
      <c r="A63" s="31" t="s">
        <v>278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440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7" t="s">
        <v>391</v>
      </c>
      <c r="B66" s="8"/>
      <c r="C66" s="446">
        <f>'TAXREC 3 No True-up'!C47</f>
        <v>0</v>
      </c>
      <c r="D66" s="446">
        <f>'TAXREC 3 No True-up'!D47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321012</v>
      </c>
      <c r="D70" s="272">
        <f>SUM(D59:D68)</f>
        <v>0</v>
      </c>
      <c r="E70" s="272">
        <f>SUM(E59:E68)</f>
        <v>321012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4"/>
      <c r="E76" s="474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321012</v>
      </c>
      <c r="D82" s="251">
        <f>D70+D80</f>
        <v>0</v>
      </c>
      <c r="E82" s="251">
        <f>E70+E80</f>
        <v>321012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428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187163</v>
      </c>
      <c r="D97" s="294"/>
      <c r="E97" s="272">
        <f>+C97-D97</f>
        <v>187163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2766</v>
      </c>
      <c r="D98" s="294"/>
      <c r="E98" s="272">
        <f>+C98-D98</f>
        <v>2766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261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279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7" t="s">
        <v>391</v>
      </c>
      <c r="B108" s="8"/>
      <c r="C108" s="254">
        <f>'TAXREC 3 No True-up'!C73</f>
        <v>2228</v>
      </c>
      <c r="D108" s="254">
        <f>'TAXREC 3 No True-up'!D73</f>
        <v>0</v>
      </c>
      <c r="E108" s="272">
        <f t="shared" si="5"/>
        <v>2228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192157</v>
      </c>
      <c r="D113" s="251">
        <f>SUM(D97:D111)</f>
        <v>0</v>
      </c>
      <c r="E113" s="251">
        <f>SUM(E97:E111)</f>
        <v>192157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221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504</v>
      </c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192157</v>
      </c>
      <c r="D122" s="251">
        <f>D113+D120</f>
        <v>0</v>
      </c>
      <c r="E122" s="251">
        <f>+E113+E120</f>
        <v>192157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99577</v>
      </c>
      <c r="D134" s="251">
        <f>D53+D82-D122</f>
        <v>0</v>
      </c>
      <c r="E134" s="251">
        <f>E53+E82-E122</f>
        <v>99577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371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372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99577</v>
      </c>
      <c r="D139" s="252">
        <f>D134-D136-D137-D138</f>
        <v>0</v>
      </c>
      <c r="E139" s="252">
        <f>E134-E136-E137-E138</f>
        <v>99577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305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322</v>
      </c>
      <c r="B142" s="8" t="s">
        <v>187</v>
      </c>
      <c r="C142" s="298">
        <v>13064</v>
      </c>
      <c r="D142" s="482">
        <f>D139*C149</f>
        <v>0</v>
      </c>
      <c r="E142" s="252">
        <f>C142-D142</f>
        <v>13064</v>
      </c>
      <c r="F142" s="8"/>
      <c r="G142" s="45"/>
      <c r="H142" s="45"/>
      <c r="I142" s="45"/>
      <c r="J142" s="45"/>
      <c r="K142" s="45"/>
    </row>
    <row r="143" spans="1:11" ht="12.75">
      <c r="A143" s="46" t="s">
        <v>321</v>
      </c>
      <c r="B143" s="8" t="s">
        <v>187</v>
      </c>
      <c r="C143" s="298">
        <v>5477</v>
      </c>
      <c r="D143" s="482">
        <f>D139*C150</f>
        <v>0</v>
      </c>
      <c r="E143" s="292">
        <f>C143-D143</f>
        <v>5477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18541</v>
      </c>
      <c r="D144" s="252">
        <f>D142+D143</f>
        <v>0</v>
      </c>
      <c r="E144" s="252">
        <f>E142+E143</f>
        <v>18541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8">
        <v>0</v>
      </c>
      <c r="D145" s="482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18541</v>
      </c>
      <c r="D146" s="252">
        <f>D144-D145</f>
        <v>0</v>
      </c>
      <c r="E146" s="252">
        <f>E144-E145</f>
        <v>18541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305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496</v>
      </c>
      <c r="B149" s="8"/>
      <c r="C149" s="405">
        <v>0.1312</v>
      </c>
      <c r="D149" s="5"/>
      <c r="E149" s="406">
        <f>C149</f>
        <v>0.1312</v>
      </c>
      <c r="F149" s="8"/>
      <c r="G149" s="479"/>
      <c r="H149" s="45"/>
      <c r="I149" s="45"/>
      <c r="J149" s="45"/>
      <c r="K149" s="45"/>
    </row>
    <row r="150" spans="1:11" ht="12.75">
      <c r="A150" s="46" t="s">
        <v>497</v>
      </c>
      <c r="B150" s="8"/>
      <c r="C150" s="405">
        <v>0.055</v>
      </c>
      <c r="D150" s="5"/>
      <c r="E150" s="406">
        <f>C150</f>
        <v>0.055</v>
      </c>
      <c r="F150" s="8"/>
      <c r="G150" s="479"/>
      <c r="H150" s="45"/>
      <c r="I150" s="45"/>
      <c r="J150" s="45"/>
      <c r="K150" s="45"/>
    </row>
    <row r="151" spans="1:11" ht="12.75">
      <c r="A151" t="s">
        <v>328</v>
      </c>
      <c r="B151" s="8"/>
      <c r="C151" s="406">
        <f>SUM(C149:C150)</f>
        <v>0.1862</v>
      </c>
      <c r="D151" s="5"/>
      <c r="E151" s="406">
        <f>SUM(E149:E150)</f>
        <v>0.1862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472</v>
      </c>
      <c r="B155" s="8"/>
    </row>
    <row r="156" spans="1:5" ht="12.75">
      <c r="A156" t="s">
        <v>218</v>
      </c>
      <c r="B156" s="86" t="s">
        <v>187</v>
      </c>
      <c r="C156" s="251">
        <f>C146</f>
        <v>18541</v>
      </c>
      <c r="D156" s="251">
        <f>D146</f>
        <v>0</v>
      </c>
      <c r="E156" s="251">
        <f>E146</f>
        <v>18541</v>
      </c>
    </row>
    <row r="157" spans="1:5" ht="12.75">
      <c r="A157" t="s">
        <v>20</v>
      </c>
      <c r="B157" s="86" t="s">
        <v>187</v>
      </c>
      <c r="C157" s="475">
        <f>4908-(23449-20518)</f>
        <v>1977</v>
      </c>
      <c r="D157" s="251"/>
      <c r="E157" s="251">
        <f>C157+D157</f>
        <v>1977</v>
      </c>
    </row>
    <row r="158" spans="1:5" ht="12.75">
      <c r="A158" t="s">
        <v>217</v>
      </c>
      <c r="B158" s="86" t="s">
        <v>187</v>
      </c>
      <c r="C158" s="475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302</v>
      </c>
      <c r="B160" s="66" t="s">
        <v>189</v>
      </c>
      <c r="C160" s="251">
        <f>C156+C157+C158</f>
        <v>20518</v>
      </c>
      <c r="D160" s="251">
        <f>D156+D157+D158</f>
        <v>0</v>
      </c>
      <c r="E160" s="251">
        <f>E156+E157+E158</f>
        <v>20518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as per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300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301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Fort Frances Power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272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280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281</v>
      </c>
      <c r="B15" s="61"/>
      <c r="C15" s="294"/>
      <c r="D15" s="294"/>
      <c r="E15" s="251">
        <f t="shared" si="0"/>
        <v>0</v>
      </c>
    </row>
    <row r="16" spans="1:5" ht="12.75">
      <c r="A16" s="61" t="s">
        <v>282</v>
      </c>
      <c r="B16" s="61"/>
      <c r="C16" s="294"/>
      <c r="D16" s="294"/>
      <c r="E16" s="251">
        <f t="shared" si="0"/>
        <v>0</v>
      </c>
    </row>
    <row r="17" spans="1:5" ht="12.75">
      <c r="A17" s="61" t="s">
        <v>283</v>
      </c>
      <c r="B17" s="61"/>
      <c r="C17" s="294"/>
      <c r="D17" s="294"/>
      <c r="E17" s="251">
        <f t="shared" si="0"/>
        <v>0</v>
      </c>
    </row>
    <row r="18" spans="1:5" ht="12.75">
      <c r="A18" s="61" t="s">
        <v>445</v>
      </c>
      <c r="B18" s="61"/>
      <c r="C18" s="294"/>
      <c r="D18" s="294"/>
      <c r="E18" s="251">
        <f t="shared" si="0"/>
        <v>0</v>
      </c>
    </row>
    <row r="19" spans="1:5" ht="12.75">
      <c r="A19" s="61" t="s">
        <v>445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271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280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281</v>
      </c>
      <c r="B27" s="61"/>
      <c r="C27" s="294"/>
      <c r="D27" s="294"/>
      <c r="E27" s="251">
        <f t="shared" si="1"/>
        <v>0</v>
      </c>
    </row>
    <row r="28" spans="1:5" ht="12.75">
      <c r="A28" s="61" t="s">
        <v>282</v>
      </c>
      <c r="B28" s="61"/>
      <c r="C28" s="294"/>
      <c r="D28" s="294"/>
      <c r="E28" s="251">
        <f t="shared" si="1"/>
        <v>0</v>
      </c>
    </row>
    <row r="29" spans="1:5" ht="12.75">
      <c r="A29" s="61" t="s">
        <v>283</v>
      </c>
      <c r="B29" s="61"/>
      <c r="C29" s="294"/>
      <c r="D29" s="294"/>
      <c r="E29" s="251">
        <f t="shared" si="1"/>
        <v>0</v>
      </c>
    </row>
    <row r="30" spans="1:5" ht="12.75">
      <c r="A30" s="61" t="s">
        <v>445</v>
      </c>
      <c r="B30" s="61"/>
      <c r="C30" s="294"/>
      <c r="D30" s="294"/>
      <c r="E30" s="251">
        <f t="shared" si="1"/>
        <v>0</v>
      </c>
    </row>
    <row r="31" spans="1:5" ht="12.75">
      <c r="A31" s="61" t="s">
        <v>445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270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272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266</v>
      </c>
      <c r="B43" s="61"/>
      <c r="C43" s="294"/>
      <c r="D43" s="294"/>
      <c r="E43" s="251">
        <f t="shared" si="2"/>
        <v>0</v>
      </c>
    </row>
    <row r="44" spans="1:5" ht="12.75">
      <c r="A44" s="61" t="s">
        <v>267</v>
      </c>
      <c r="B44" s="61"/>
      <c r="C44" s="294"/>
      <c r="D44" s="294"/>
      <c r="E44" s="251">
        <f t="shared" si="2"/>
        <v>0</v>
      </c>
    </row>
    <row r="45" spans="1:5" ht="12.75">
      <c r="A45" s="61" t="s">
        <v>268</v>
      </c>
      <c r="B45" s="61"/>
      <c r="C45" s="294"/>
      <c r="D45" s="294"/>
      <c r="E45" s="251">
        <f t="shared" si="2"/>
        <v>0</v>
      </c>
    </row>
    <row r="46" spans="1:5" ht="12.75">
      <c r="A46" s="61" t="s">
        <v>269</v>
      </c>
      <c r="B46" s="61"/>
      <c r="C46" s="294"/>
      <c r="D46" s="294"/>
      <c r="E46" s="251">
        <f t="shared" si="2"/>
        <v>0</v>
      </c>
    </row>
    <row r="47" spans="1:5" ht="12.75">
      <c r="A47" s="61" t="s">
        <v>499</v>
      </c>
      <c r="B47" s="61"/>
      <c r="C47" s="294"/>
      <c r="D47" s="294"/>
      <c r="E47" s="251">
        <f t="shared" si="2"/>
        <v>0</v>
      </c>
    </row>
    <row r="48" spans="1:5" ht="12.75">
      <c r="A48" s="61" t="s">
        <v>445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271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266</v>
      </c>
      <c r="B55" s="61"/>
      <c r="C55" s="294"/>
      <c r="D55" s="294"/>
      <c r="E55" s="251">
        <f t="shared" si="3"/>
        <v>0</v>
      </c>
    </row>
    <row r="56" spans="1:5" ht="12.75">
      <c r="A56" s="246" t="s">
        <v>267</v>
      </c>
      <c r="B56" s="61"/>
      <c r="C56" s="294"/>
      <c r="D56" s="294"/>
      <c r="E56" s="251">
        <f t="shared" si="3"/>
        <v>0</v>
      </c>
    </row>
    <row r="57" spans="1:5" ht="12.75">
      <c r="A57" s="246" t="s">
        <v>268</v>
      </c>
      <c r="B57" s="61"/>
      <c r="C57" s="294"/>
      <c r="D57" s="294"/>
      <c r="E57" s="251">
        <f t="shared" si="3"/>
        <v>0</v>
      </c>
    </row>
    <row r="58" spans="1:5" ht="12.75">
      <c r="A58" s="246" t="s">
        <v>269</v>
      </c>
      <c r="B58" s="61"/>
      <c r="C58" s="294"/>
      <c r="D58" s="294"/>
      <c r="E58" s="251">
        <f t="shared" si="3"/>
        <v>0</v>
      </c>
    </row>
    <row r="59" spans="1:5" ht="12.75">
      <c r="A59" s="61" t="s">
        <v>499</v>
      </c>
      <c r="B59" s="61"/>
      <c r="C59" s="294"/>
      <c r="D59" s="294"/>
      <c r="E59" s="251">
        <f t="shared" si="3"/>
        <v>0</v>
      </c>
    </row>
    <row r="60" spans="1:5" ht="12.75">
      <c r="A60" s="61" t="s">
        <v>445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19" sqref="C1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as per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463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462</v>
      </c>
      <c r="B5" s="8"/>
      <c r="C5" s="8" t="s">
        <v>2</v>
      </c>
      <c r="D5" s="8"/>
      <c r="E5" s="8"/>
      <c r="F5" s="8"/>
    </row>
    <row r="6" spans="1:6" ht="12.75">
      <c r="A6" s="416" t="s">
        <v>442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Fort Frances Power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27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252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446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253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470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254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373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471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PageLayoutView="0" workbookViewId="0" topLeftCell="A1">
      <pane xSplit="1" ySplit="8" topLeftCell="B46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61" sqref="A6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as per EB-2008-0381</v>
      </c>
    </row>
    <row r="3" spans="1:5" ht="12.75">
      <c r="A3" s="2" t="s">
        <v>381</v>
      </c>
      <c r="E3" s="92"/>
    </row>
    <row r="4" spans="1:6" ht="15.75">
      <c r="A4" s="464" t="s">
        <v>442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6" t="s">
        <v>382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Fort Frances Power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384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450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387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388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451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434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386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385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429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430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447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448</v>
      </c>
      <c r="C35" s="295"/>
      <c r="D35" s="295"/>
      <c r="E35" s="313">
        <f t="shared" si="0"/>
        <v>0</v>
      </c>
    </row>
    <row r="36" spans="1:5" ht="12.75">
      <c r="A36" s="67" t="s">
        <v>431</v>
      </c>
      <c r="C36" s="295"/>
      <c r="D36" s="295"/>
      <c r="E36" s="313">
        <f t="shared" si="0"/>
        <v>0</v>
      </c>
    </row>
    <row r="37" spans="1:5" ht="12.75">
      <c r="A37" s="67" t="s">
        <v>432</v>
      </c>
      <c r="C37" s="295"/>
      <c r="D37" s="295"/>
      <c r="E37" s="313">
        <f t="shared" si="0"/>
        <v>0</v>
      </c>
    </row>
    <row r="38" spans="1:5" ht="12.75">
      <c r="A38" s="81" t="s">
        <v>389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383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67" t="s">
        <v>454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t="s">
        <v>495</v>
      </c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9" t="s">
        <v>393</v>
      </c>
      <c r="B47" t="s">
        <v>189</v>
      </c>
      <c r="C47" s="251">
        <f>SUM(C19:C46)</f>
        <v>0</v>
      </c>
      <c r="D47" s="251">
        <f>SUM(D19:D46)</f>
        <v>0</v>
      </c>
      <c r="E47" s="251">
        <f>SUM(E19:E46)</f>
        <v>0</v>
      </c>
    </row>
    <row r="48" ht="12.75">
      <c r="A48" s="67"/>
    </row>
    <row r="49" ht="12.75">
      <c r="A49" s="81" t="s">
        <v>145</v>
      </c>
    </row>
    <row r="51" spans="1:5" ht="12.75">
      <c r="A51" s="71" t="s">
        <v>384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450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385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433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441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453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449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67" t="s">
        <v>452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8" t="s">
        <v>390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8" t="s">
        <v>383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490</v>
      </c>
      <c r="B64" s="8" t="s">
        <v>188</v>
      </c>
      <c r="C64" s="294"/>
      <c r="D64" s="294"/>
      <c r="E64" s="251">
        <f t="shared" si="2"/>
        <v>0</v>
      </c>
    </row>
    <row r="65" spans="1:5" ht="12.75">
      <c r="A65" s="489" t="s">
        <v>504</v>
      </c>
      <c r="B65" s="8" t="s">
        <v>188</v>
      </c>
      <c r="C65" s="294">
        <v>2228</v>
      </c>
      <c r="D65" s="294"/>
      <c r="E65" s="251">
        <f t="shared" si="2"/>
        <v>2228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8" t="s">
        <v>392</v>
      </c>
      <c r="B73" s="8" t="s">
        <v>189</v>
      </c>
      <c r="C73" s="251">
        <f>SUM(C51:C72)</f>
        <v>2228</v>
      </c>
      <c r="D73" s="251">
        <f>SUM(D51:D72)</f>
        <v>0</v>
      </c>
      <c r="E73" s="251">
        <f>SUM(E51:E72)</f>
        <v>2228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9">
      <selection activeCell="H50" sqref="H50:J53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as per EB-2008-0381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306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Fort Frances Power Corporation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498" t="s">
        <v>474</v>
      </c>
      <c r="B8" s="499"/>
      <c r="C8" s="499"/>
      <c r="D8" s="499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464</v>
      </c>
      <c r="B10" s="327"/>
      <c r="C10" s="376" t="s">
        <v>111</v>
      </c>
      <c r="D10" s="376"/>
      <c r="E10" s="376" t="s">
        <v>111</v>
      </c>
      <c r="F10" s="377" t="s">
        <v>475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299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298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303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259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329</v>
      </c>
      <c r="B21" s="407" t="s">
        <v>466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330</v>
      </c>
      <c r="B22" s="408" t="s">
        <v>467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2" t="s">
        <v>489</v>
      </c>
      <c r="B23" s="493"/>
      <c r="C23" s="493"/>
      <c r="D23" s="493"/>
      <c r="E23" s="493"/>
      <c r="F23" s="493"/>
      <c r="G23" s="438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498" t="s">
        <v>485</v>
      </c>
      <c r="B26" s="499"/>
      <c r="C26" s="499"/>
      <c r="D26" s="499"/>
      <c r="E26" s="499"/>
      <c r="F26" s="499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437</v>
      </c>
      <c r="B28" s="327"/>
      <c r="C28" s="370" t="s">
        <v>111</v>
      </c>
      <c r="D28" s="370" t="s">
        <v>111</v>
      </c>
      <c r="E28" s="370" t="s">
        <v>111</v>
      </c>
      <c r="F28" s="371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298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259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486</v>
      </c>
      <c r="B39" s="407" t="s">
        <v>466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487</v>
      </c>
      <c r="B40" s="408" t="s">
        <v>484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494" t="s">
        <v>332</v>
      </c>
      <c r="B41" s="493"/>
      <c r="C41" s="493"/>
      <c r="D41" s="493"/>
      <c r="E41" s="493"/>
      <c r="F41" s="493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495"/>
      <c r="B42" s="495"/>
      <c r="C42" s="495"/>
      <c r="D42" s="495"/>
      <c r="E42" s="495"/>
      <c r="F42" s="495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483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488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298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84"/>
      <c r="I50" s="48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84"/>
      <c r="I51" s="48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259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84"/>
      <c r="I52" s="48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346</v>
      </c>
      <c r="B57" s="407" t="s">
        <v>466</v>
      </c>
      <c r="C57" s="362">
        <v>3723135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347</v>
      </c>
      <c r="B58" s="408" t="s">
        <v>484</v>
      </c>
      <c r="C58" s="363">
        <v>39000000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2" t="s">
        <v>348</v>
      </c>
      <c r="B59" s="496"/>
      <c r="C59" s="496"/>
      <c r="D59" s="496"/>
      <c r="E59" s="496"/>
      <c r="F59" s="496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497"/>
      <c r="B60" s="497"/>
      <c r="C60" s="497"/>
      <c r="D60" s="497"/>
      <c r="E60" s="497"/>
      <c r="F60" s="497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5">
      <selection activeCell="S15" sqref="S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as per EB-2008-0381</v>
      </c>
    </row>
    <row r="2" spans="1:2" ht="12.75">
      <c r="A2" s="2" t="s">
        <v>455</v>
      </c>
      <c r="B2" s="2"/>
    </row>
    <row r="3" spans="1:15" ht="12.75">
      <c r="A3" s="2" t="str">
        <f>REGINFO!A3</f>
        <v>Utility Name: Fort Frances Power Corporation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320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394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436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395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396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0</v>
      </c>
      <c r="N15" s="392"/>
      <c r="O15" s="397">
        <f t="shared" si="0"/>
        <v>0</v>
      </c>
    </row>
    <row r="16" spans="1:15" ht="27" customHeight="1">
      <c r="A16" s="81" t="s">
        <v>397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398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-511.61212121212117</v>
      </c>
      <c r="N17" s="392"/>
      <c r="O17" s="397">
        <f t="shared" si="0"/>
        <v>-511.61212121212117</v>
      </c>
    </row>
    <row r="18" spans="1:15" ht="25.5">
      <c r="A18" s="81" t="s">
        <v>399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2" t="s">
        <v>400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465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370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-511.61212121212117</v>
      </c>
      <c r="N22" s="391"/>
      <c r="O22" s="450">
        <f>SUM(O11:O20)</f>
        <v>-511.61212121212117</v>
      </c>
    </row>
    <row r="23" spans="1:15" ht="13.5" thickTop="1">
      <c r="A23" s="433"/>
      <c r="B23" s="434"/>
      <c r="C23" s="440"/>
      <c r="D23" s="441"/>
      <c r="E23" s="440"/>
      <c r="F23" s="441"/>
      <c r="G23" s="440"/>
      <c r="H23" s="441"/>
      <c r="I23" s="440"/>
      <c r="J23" s="434"/>
      <c r="K23" s="440"/>
      <c r="L23" s="188"/>
      <c r="M23" s="442"/>
      <c r="N23" s="188"/>
      <c r="O23" s="442"/>
    </row>
    <row r="24" spans="1:15" ht="12.75">
      <c r="A24" s="456"/>
      <c r="B24" s="457"/>
      <c r="C24" s="458"/>
      <c r="D24" s="458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9"/>
    </row>
    <row r="25" spans="1:15" ht="12.75">
      <c r="A25" s="433"/>
      <c r="B25" s="434"/>
      <c r="C25" s="460"/>
      <c r="D25" s="460"/>
      <c r="E25" s="460"/>
      <c r="F25" s="460"/>
      <c r="G25" s="460"/>
      <c r="H25" s="460"/>
      <c r="I25" s="460"/>
      <c r="J25" s="461"/>
      <c r="K25" s="460"/>
      <c r="L25" s="462"/>
      <c r="M25" s="463"/>
      <c r="N25" s="462"/>
      <c r="O25" s="463"/>
    </row>
    <row r="26" spans="1:15" ht="12.75">
      <c r="A26" s="433" t="s">
        <v>401</v>
      </c>
      <c r="B26" s="434"/>
      <c r="C26" s="460"/>
      <c r="D26" s="460"/>
      <c r="E26" s="460"/>
      <c r="F26" s="460"/>
      <c r="G26" s="460"/>
      <c r="H26" s="460"/>
      <c r="I26" s="460"/>
      <c r="J26" s="461"/>
      <c r="K26" s="460"/>
      <c r="L26" s="462"/>
      <c r="M26" s="463"/>
      <c r="N26" s="462"/>
      <c r="O26" s="463"/>
    </row>
    <row r="27" spans="1:15" ht="9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5"/>
      <c r="L27" s="188"/>
      <c r="M27" s="188"/>
      <c r="N27" s="188"/>
      <c r="O27" s="188"/>
    </row>
    <row r="28" spans="1:15" ht="12.75">
      <c r="A28" s="433" t="s">
        <v>402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188"/>
      <c r="M28" s="188"/>
      <c r="N28" s="188"/>
      <c r="O28" s="188"/>
    </row>
    <row r="29" spans="1:15" ht="12.75">
      <c r="A29" s="436" t="s">
        <v>403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188"/>
      <c r="M29" s="188"/>
      <c r="N29" s="188"/>
      <c r="O29" s="188"/>
    </row>
    <row r="30" spans="1:15" ht="9" customHeight="1">
      <c r="A30" s="188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88"/>
      <c r="M30" s="188"/>
      <c r="N30" s="188"/>
      <c r="O30" s="188"/>
    </row>
    <row r="31" spans="1:15" ht="12.75">
      <c r="A31" s="451" t="s">
        <v>404</v>
      </c>
      <c r="B31" s="80"/>
      <c r="C31" s="80"/>
      <c r="D31" s="80"/>
      <c r="E31" s="80"/>
      <c r="F31" s="80"/>
      <c r="G31" s="80"/>
      <c r="H31" s="80"/>
      <c r="I31" s="447"/>
      <c r="J31" s="447"/>
      <c r="K31" s="447"/>
      <c r="L31" s="447"/>
      <c r="M31" s="447"/>
      <c r="N31" s="447"/>
      <c r="O31" s="447"/>
    </row>
    <row r="32" spans="1:15" ht="9" customHeight="1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</row>
    <row r="33" spans="1:19" ht="12.75">
      <c r="A33" s="501" t="s">
        <v>405</v>
      </c>
      <c r="B33" s="502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421"/>
      <c r="Q33" s="421"/>
      <c r="R33" s="421"/>
      <c r="S33" s="421"/>
    </row>
    <row r="34" spans="1:19" ht="12.75">
      <c r="A34" s="500" t="s">
        <v>406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421"/>
      <c r="Q34" s="421"/>
      <c r="R34" s="421"/>
      <c r="S34" s="421"/>
    </row>
    <row r="35" spans="1:19" ht="12.75">
      <c r="A35" s="500" t="s">
        <v>427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421"/>
      <c r="Q35" s="421"/>
      <c r="R35" s="421"/>
      <c r="S35" s="421"/>
    </row>
    <row r="36" spans="1:19" ht="12.75">
      <c r="A36" s="500" t="s">
        <v>407</v>
      </c>
      <c r="B36" s="502"/>
      <c r="C36" s="502"/>
      <c r="D36" s="502"/>
      <c r="E36" s="502"/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421"/>
      <c r="Q36" s="421"/>
      <c r="R36" s="421"/>
      <c r="S36" s="421"/>
    </row>
    <row r="37" spans="1:19" ht="12.75">
      <c r="A37" s="437" t="s">
        <v>367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21"/>
      <c r="Q37" s="421"/>
      <c r="R37" s="421"/>
      <c r="S37" s="421"/>
    </row>
    <row r="38" spans="1:19" ht="12.75">
      <c r="A38" s="437" t="s">
        <v>368</v>
      </c>
      <c r="B38" s="438"/>
      <c r="C38" s="438"/>
      <c r="D38" s="438"/>
      <c r="E38" s="438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21"/>
      <c r="Q38" s="421"/>
      <c r="R38" s="421"/>
      <c r="S38" s="421"/>
    </row>
    <row r="39" spans="1:19" ht="12.75">
      <c r="A39" s="437" t="s">
        <v>408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21"/>
      <c r="Q39" s="421"/>
      <c r="R39" s="421"/>
      <c r="S39" s="421"/>
    </row>
    <row r="40" spans="1:19" ht="12.75">
      <c r="A40" s="437" t="s">
        <v>409</v>
      </c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8"/>
      <c r="M40" s="438"/>
      <c r="N40" s="438"/>
      <c r="O40" s="438"/>
      <c r="P40" s="421"/>
      <c r="Q40" s="421"/>
      <c r="R40" s="421"/>
      <c r="S40" s="421"/>
    </row>
    <row r="41" spans="2:19" ht="9" customHeight="1">
      <c r="B41" s="438"/>
      <c r="C41" s="438"/>
      <c r="D41" s="438"/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21"/>
      <c r="Q41" s="421"/>
      <c r="R41" s="421"/>
      <c r="S41" s="421"/>
    </row>
    <row r="42" spans="1:15" ht="12.75">
      <c r="A42" s="439" t="s">
        <v>410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188"/>
      <c r="M42" s="188"/>
      <c r="N42" s="188"/>
      <c r="O42" s="188"/>
    </row>
    <row r="43" spans="1:15" ht="12.75">
      <c r="A43" s="434" t="s">
        <v>411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188"/>
      <c r="M43" s="188"/>
      <c r="N43" s="188"/>
      <c r="O43" s="188"/>
    </row>
    <row r="44" spans="1:15" ht="9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188"/>
      <c r="M44" s="188"/>
      <c r="N44" s="188"/>
      <c r="O44" s="188"/>
    </row>
    <row r="45" spans="1:15" ht="12.75">
      <c r="A45" s="439" t="s">
        <v>412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188"/>
      <c r="M45" s="188"/>
      <c r="N45" s="188"/>
      <c r="O45" s="188"/>
    </row>
    <row r="46" spans="1:15" ht="12.75">
      <c r="A46" s="434" t="s">
        <v>413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188"/>
      <c r="M46" s="188"/>
      <c r="N46" s="188"/>
      <c r="O46" s="188"/>
    </row>
    <row r="47" spans="1:15" ht="9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188"/>
      <c r="M47" s="188"/>
      <c r="N47" s="188"/>
      <c r="O47" s="188"/>
    </row>
    <row r="48" spans="1:15" ht="12.75">
      <c r="A48" s="439" t="s">
        <v>414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188"/>
      <c r="M48" s="188"/>
      <c r="N48" s="188"/>
      <c r="O48" s="188"/>
    </row>
    <row r="49" spans="1:15" ht="12.75">
      <c r="A49" s="434" t="s">
        <v>415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188"/>
      <c r="M49" s="188"/>
      <c r="N49" s="188"/>
      <c r="O49" s="188"/>
    </row>
    <row r="50" spans="1:15" ht="9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188"/>
      <c r="M50" s="188"/>
      <c r="N50" s="188"/>
      <c r="O50" s="188"/>
    </row>
    <row r="51" spans="1:15" ht="12.75">
      <c r="A51" s="439" t="s">
        <v>416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188"/>
      <c r="M51" s="188"/>
      <c r="N51" s="188"/>
      <c r="O51" s="188"/>
    </row>
    <row r="52" spans="1:15" ht="12.75">
      <c r="A52" s="434" t="s">
        <v>413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188"/>
      <c r="M52" s="188"/>
      <c r="N52" s="188"/>
      <c r="O52" s="188"/>
    </row>
    <row r="53" spans="1:15" ht="9" customHeight="1">
      <c r="A53" s="439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188"/>
      <c r="M53" s="188"/>
      <c r="N53" s="188"/>
      <c r="O53" s="188"/>
    </row>
    <row r="54" spans="1:15" ht="12.75">
      <c r="A54" s="434" t="s">
        <v>417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88"/>
      <c r="M54" s="188"/>
      <c r="N54" s="188"/>
      <c r="O54" s="188"/>
    </row>
    <row r="55" spans="1:15" ht="9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188"/>
      <c r="M55" s="188"/>
      <c r="N55" s="188"/>
      <c r="O55" s="188"/>
    </row>
    <row r="56" spans="1:15" ht="12.75" customHeight="1">
      <c r="A56" s="439" t="s">
        <v>418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188"/>
      <c r="M56" s="188"/>
      <c r="N56" s="188"/>
      <c r="O56" s="188"/>
    </row>
    <row r="57" spans="1:15" ht="9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188"/>
      <c r="M57" s="188"/>
      <c r="N57" s="188"/>
      <c r="O57" s="188"/>
    </row>
    <row r="58" spans="1:15" ht="12.75">
      <c r="A58" s="434" t="s">
        <v>419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188"/>
      <c r="M58" s="188"/>
      <c r="N58" s="188"/>
      <c r="O58" s="188"/>
    </row>
    <row r="59" spans="1:15" ht="12.75">
      <c r="A59" s="434" t="s">
        <v>420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188"/>
      <c r="M59" s="188"/>
      <c r="N59" s="188"/>
      <c r="O59" s="188"/>
    </row>
    <row r="60" spans="1:15" ht="12.75">
      <c r="A60" s="434" t="s">
        <v>421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188"/>
      <c r="M60" s="188"/>
      <c r="N60" s="188"/>
      <c r="O60" s="188"/>
    </row>
    <row r="61" spans="1:15" ht="12.75">
      <c r="A61" s="434" t="s">
        <v>377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188"/>
      <c r="M61" s="188"/>
      <c r="N61" s="188"/>
      <c r="O61" s="188"/>
    </row>
    <row r="62" spans="1:15" ht="9" customHeight="1">
      <c r="A62" s="434"/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188"/>
      <c r="M62" s="188"/>
      <c r="N62" s="188"/>
      <c r="O62" s="188"/>
    </row>
    <row r="63" spans="1:15" ht="12.75">
      <c r="A63" s="434" t="s">
        <v>422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188"/>
      <c r="M63" s="188"/>
      <c r="N63" s="188"/>
      <c r="O63" s="188"/>
    </row>
    <row r="64" spans="1:15" ht="12.75">
      <c r="A64" s="434" t="s">
        <v>423</v>
      </c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188"/>
      <c r="M64" s="188"/>
      <c r="N64" s="188"/>
      <c r="O64" s="188"/>
    </row>
    <row r="65" spans="1:15" ht="12.75">
      <c r="A65" s="434" t="s">
        <v>379</v>
      </c>
      <c r="B65" s="434"/>
      <c r="C65" s="434"/>
      <c r="D65" s="434"/>
      <c r="E65" s="434"/>
      <c r="F65" s="434"/>
      <c r="G65" s="434"/>
      <c r="H65" s="434"/>
      <c r="I65" s="434"/>
      <c r="J65" s="434"/>
      <c r="K65" s="434"/>
      <c r="L65" s="188"/>
      <c r="M65" s="188"/>
      <c r="N65" s="188"/>
      <c r="O65" s="188"/>
    </row>
    <row r="66" spans="1:15" ht="3.75" customHeight="1">
      <c r="A66" s="434"/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188"/>
      <c r="M66" s="188"/>
      <c r="N66" s="188"/>
      <c r="O66" s="188"/>
    </row>
    <row r="67" spans="1:15" ht="12.75">
      <c r="A67" s="434" t="s">
        <v>378</v>
      </c>
      <c r="B67" s="434"/>
      <c r="C67" s="434"/>
      <c r="D67" s="434"/>
      <c r="E67" s="434"/>
      <c r="F67" s="434"/>
      <c r="G67" s="434"/>
      <c r="H67" s="434"/>
      <c r="I67" s="434"/>
      <c r="J67" s="434"/>
      <c r="K67" s="434"/>
      <c r="L67" s="188"/>
      <c r="M67" s="188"/>
      <c r="N67" s="188"/>
      <c r="O67" s="188"/>
    </row>
    <row r="68" spans="1:15" ht="12.75">
      <c r="A68" s="434" t="s">
        <v>380</v>
      </c>
      <c r="B68" s="434"/>
      <c r="C68" s="434"/>
      <c r="D68" s="434"/>
      <c r="E68" s="434"/>
      <c r="F68" s="434"/>
      <c r="G68" s="434"/>
      <c r="H68" s="434"/>
      <c r="I68" s="434"/>
      <c r="J68" s="434"/>
      <c r="K68" s="434"/>
      <c r="L68" s="188"/>
      <c r="M68" s="188"/>
      <c r="N68" s="188"/>
      <c r="O68" s="188"/>
    </row>
    <row r="69" spans="1:15" ht="3.75" customHeight="1">
      <c r="A69" s="434"/>
      <c r="B69" s="434"/>
      <c r="C69" s="434"/>
      <c r="D69" s="434"/>
      <c r="E69" s="434"/>
      <c r="F69" s="434"/>
      <c r="G69" s="434"/>
      <c r="H69" s="434"/>
      <c r="I69" s="434"/>
      <c r="J69" s="434"/>
      <c r="K69" s="434"/>
      <c r="L69" s="188"/>
      <c r="M69" s="188"/>
      <c r="N69" s="188"/>
      <c r="O69" s="188"/>
    </row>
    <row r="70" spans="1:15" ht="12.75">
      <c r="A70" s="434" t="s">
        <v>424</v>
      </c>
      <c r="B70" s="434"/>
      <c r="C70" s="434"/>
      <c r="D70" s="434"/>
      <c r="E70" s="434"/>
      <c r="F70" s="434"/>
      <c r="G70" s="434"/>
      <c r="H70" s="434"/>
      <c r="I70" s="434"/>
      <c r="J70" s="434"/>
      <c r="K70" s="434"/>
      <c r="L70" s="188"/>
      <c r="M70" s="188"/>
      <c r="N70" s="188"/>
      <c r="O70" s="188"/>
    </row>
    <row r="71" spans="1:15" ht="12.75">
      <c r="A71" s="434" t="s">
        <v>425</v>
      </c>
      <c r="B71" s="434"/>
      <c r="C71" s="434"/>
      <c r="D71" s="434"/>
      <c r="E71" s="434"/>
      <c r="F71" s="434"/>
      <c r="G71" s="434"/>
      <c r="H71" s="434"/>
      <c r="I71" s="434"/>
      <c r="J71" s="434"/>
      <c r="K71" s="434"/>
      <c r="L71" s="188"/>
      <c r="M71" s="188"/>
      <c r="N71" s="188"/>
      <c r="O71" s="188"/>
    </row>
    <row r="72" spans="1:15" ht="12.75">
      <c r="A72" s="434" t="s">
        <v>426</v>
      </c>
      <c r="B72" s="434"/>
      <c r="C72" s="434"/>
      <c r="D72" s="434"/>
      <c r="E72" s="434"/>
      <c r="F72" s="434"/>
      <c r="G72" s="434"/>
      <c r="H72" s="434"/>
      <c r="I72" s="434"/>
      <c r="J72" s="434"/>
      <c r="K72" s="434"/>
      <c r="L72" s="188"/>
      <c r="M72" s="188"/>
      <c r="N72" s="188"/>
      <c r="O72" s="188"/>
    </row>
    <row r="73" spans="1:15" ht="9" customHeight="1">
      <c r="A73" s="434"/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188"/>
      <c r="M73" s="188"/>
      <c r="N73" s="188"/>
      <c r="O73" s="188"/>
    </row>
    <row r="74" spans="1:15" ht="12.75" customHeight="1">
      <c r="A74" s="500" t="s">
        <v>456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2.75">
      <c r="A75" s="434" t="s">
        <v>369</v>
      </c>
      <c r="B75" s="434"/>
      <c r="C75" s="434"/>
      <c r="D75" s="434"/>
      <c r="E75" s="434"/>
      <c r="F75" s="434"/>
      <c r="G75" s="434"/>
      <c r="H75" s="434"/>
      <c r="I75" s="434"/>
      <c r="J75" s="434"/>
      <c r="K75" s="434"/>
      <c r="L75" s="188"/>
      <c r="M75" s="188"/>
      <c r="N75" s="188"/>
      <c r="O75" s="188"/>
    </row>
    <row r="76" spans="1:15" ht="12.75">
      <c r="A76" s="188"/>
      <c r="B76" s="434"/>
      <c r="C76" s="434"/>
      <c r="D76" s="434"/>
      <c r="E76" s="434"/>
      <c r="F76" s="434"/>
      <c r="G76" s="434"/>
      <c r="H76" s="434"/>
      <c r="I76" s="434"/>
      <c r="J76" s="434"/>
      <c r="K76" s="434"/>
      <c r="L76" s="188"/>
      <c r="M76" s="188"/>
      <c r="N76" s="188"/>
      <c r="O76" s="188"/>
    </row>
    <row r="77" spans="1:15" ht="12.75">
      <c r="A77" s="188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188"/>
      <c r="M77" s="188"/>
      <c r="N77" s="188"/>
      <c r="O77" s="188"/>
    </row>
    <row r="78" spans="1:17" ht="12.75">
      <c r="A78" s="188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188"/>
      <c r="O78" s="188"/>
      <c r="P78" s="188"/>
      <c r="Q78" s="188"/>
    </row>
    <row r="79" spans="1:17" ht="12.75">
      <c r="A79" s="188"/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188"/>
      <c r="O79" s="188"/>
      <c r="P79" s="188"/>
      <c r="Q79" s="188"/>
    </row>
    <row r="80" spans="1:17" ht="12.75">
      <c r="A80" s="188"/>
      <c r="B80" s="434"/>
      <c r="C80" s="434"/>
      <c r="D80" s="434"/>
      <c r="E80" s="434"/>
      <c r="F80" s="434"/>
      <c r="G80" s="434"/>
      <c r="H80" s="434"/>
      <c r="I80" s="434"/>
      <c r="J80" s="434"/>
      <c r="K80" s="434"/>
      <c r="L80" s="434"/>
      <c r="M80" s="434"/>
      <c r="N80" s="188"/>
      <c r="O80" s="188"/>
      <c r="P80" s="188"/>
      <c r="Q80" s="188"/>
    </row>
    <row r="81" spans="1:17" ht="12.75">
      <c r="A81" s="434"/>
      <c r="B81" s="434"/>
      <c r="C81" s="434"/>
      <c r="D81" s="434"/>
      <c r="E81" s="434"/>
      <c r="F81" s="434"/>
      <c r="G81" s="434"/>
      <c r="H81" s="434"/>
      <c r="I81" s="434"/>
      <c r="J81" s="434"/>
      <c r="K81" s="434"/>
      <c r="L81" s="434"/>
      <c r="M81" s="434"/>
      <c r="N81" s="188"/>
      <c r="O81" s="188"/>
      <c r="P81" s="188"/>
      <c r="Q81" s="188"/>
    </row>
    <row r="82" spans="1:17" ht="12.75">
      <c r="A82" s="188"/>
      <c r="B82" s="188"/>
      <c r="C82" s="434"/>
      <c r="D82" s="434"/>
      <c r="E82" s="434"/>
      <c r="F82" s="434"/>
      <c r="G82" s="434"/>
      <c r="H82" s="434"/>
      <c r="I82" s="434"/>
      <c r="J82" s="434"/>
      <c r="K82" s="434"/>
      <c r="L82" s="434"/>
      <c r="M82" s="434"/>
      <c r="N82" s="188"/>
      <c r="O82" s="188"/>
      <c r="P82" s="188"/>
      <c r="Q82" s="188"/>
    </row>
    <row r="83" spans="1:17" ht="12.75">
      <c r="A83" s="188"/>
      <c r="B83" s="188"/>
      <c r="C83" s="434"/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188"/>
      <c r="O83" s="188"/>
      <c r="P83" s="188"/>
      <c r="Q83" s="188"/>
    </row>
    <row r="84" spans="1:17" ht="12.75">
      <c r="A84" s="434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188"/>
      <c r="O84" s="188"/>
      <c r="P84" s="188"/>
      <c r="Q84" s="188"/>
    </row>
    <row r="85" spans="1:17" ht="12.75">
      <c r="A85" s="188"/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4"/>
      <c r="M85" s="434"/>
      <c r="N85" s="188"/>
      <c r="O85" s="188"/>
      <c r="P85" s="188"/>
      <c r="Q85" s="188"/>
    </row>
    <row r="86" spans="1:17" ht="12.75">
      <c r="A86" s="188"/>
      <c r="B86" s="434"/>
      <c r="C86" s="434"/>
      <c r="D86" s="434"/>
      <c r="E86" s="434"/>
      <c r="F86" s="434"/>
      <c r="G86" s="434"/>
      <c r="H86" s="434"/>
      <c r="I86" s="434"/>
      <c r="J86" s="434"/>
      <c r="K86" s="434"/>
      <c r="L86" s="434"/>
      <c r="M86" s="434"/>
      <c r="N86" s="188"/>
      <c r="O86" s="188"/>
      <c r="P86" s="188"/>
      <c r="Q86" s="188"/>
    </row>
    <row r="87" spans="1:17" ht="12.75">
      <c r="A87" s="188"/>
      <c r="B87" s="188"/>
      <c r="C87" s="434"/>
      <c r="D87" s="434"/>
      <c r="E87" s="434"/>
      <c r="F87" s="434"/>
      <c r="G87" s="434"/>
      <c r="H87" s="434"/>
      <c r="I87" s="434"/>
      <c r="J87" s="434"/>
      <c r="K87" s="434"/>
      <c r="L87" s="434"/>
      <c r="M87" s="434"/>
      <c r="N87" s="188"/>
      <c r="O87" s="188"/>
      <c r="P87" s="188"/>
      <c r="Q87" s="188"/>
    </row>
    <row r="88" spans="1:17" ht="12.75">
      <c r="A88" s="188"/>
      <c r="B88" s="188"/>
      <c r="C88" s="434"/>
      <c r="D88" s="434"/>
      <c r="E88" s="434"/>
      <c r="F88" s="434"/>
      <c r="G88" s="434"/>
      <c r="H88" s="434"/>
      <c r="I88" s="434"/>
      <c r="J88" s="434"/>
      <c r="K88" s="434"/>
      <c r="L88" s="434"/>
      <c r="M88" s="434"/>
      <c r="N88" s="188"/>
      <c r="O88" s="188"/>
      <c r="P88" s="188"/>
      <c r="Q88" s="188"/>
    </row>
    <row r="89" spans="1:17" ht="12.75">
      <c r="A89" s="188"/>
      <c r="B89" s="188"/>
      <c r="C89" s="434"/>
      <c r="D89" s="434"/>
      <c r="E89" s="434"/>
      <c r="F89" s="434"/>
      <c r="G89" s="434"/>
      <c r="H89" s="434"/>
      <c r="I89" s="434"/>
      <c r="J89" s="434"/>
      <c r="K89" s="434"/>
      <c r="L89" s="434"/>
      <c r="M89" s="434"/>
      <c r="N89" s="188"/>
      <c r="O89" s="188"/>
      <c r="P89" s="188"/>
      <c r="Q89" s="188"/>
    </row>
    <row r="90" spans="1:17" ht="12.75">
      <c r="A90" s="188"/>
      <c r="B90" s="188"/>
      <c r="C90" s="434"/>
      <c r="D90" s="434"/>
      <c r="E90" s="434"/>
      <c r="F90" s="434"/>
      <c r="G90" s="434"/>
      <c r="H90" s="434"/>
      <c r="I90" s="434"/>
      <c r="J90" s="434"/>
      <c r="K90" s="434"/>
      <c r="L90" s="434"/>
      <c r="M90" s="434"/>
      <c r="N90" s="188"/>
      <c r="O90" s="188"/>
      <c r="P90" s="188"/>
      <c r="Q90" s="188"/>
    </row>
    <row r="91" spans="1:17" ht="12.75">
      <c r="A91" s="188"/>
      <c r="B91" s="188"/>
      <c r="D91" s="434"/>
      <c r="E91" s="434"/>
      <c r="F91" s="434"/>
      <c r="G91" s="434"/>
      <c r="H91" s="434"/>
      <c r="I91" s="434"/>
      <c r="J91" s="434"/>
      <c r="K91" s="434"/>
      <c r="L91" s="434"/>
      <c r="M91" s="434"/>
      <c r="N91" s="188"/>
      <c r="O91" s="188"/>
      <c r="P91" s="188"/>
      <c r="Q91" s="188"/>
    </row>
    <row r="92" spans="1:17" ht="12.75">
      <c r="A92" s="188"/>
      <c r="B92" s="188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</row>
    <row r="93" spans="1:17" ht="12.75">
      <c r="A93" s="188"/>
      <c r="B93" s="188"/>
      <c r="C93" s="434"/>
      <c r="D93" s="434"/>
      <c r="E93" s="434"/>
      <c r="F93" s="434"/>
      <c r="G93" s="434"/>
      <c r="H93" s="434"/>
      <c r="I93" s="434"/>
      <c r="J93" s="434"/>
      <c r="K93" s="434"/>
      <c r="L93" s="434"/>
      <c r="M93" s="434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48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bbacon</cp:lastModifiedBy>
  <cp:lastPrinted>2011-07-07T18:02:45Z</cp:lastPrinted>
  <dcterms:created xsi:type="dcterms:W3CDTF">2001-11-07T16:15:53Z</dcterms:created>
  <dcterms:modified xsi:type="dcterms:W3CDTF">2011-12-02T01:53:38Z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