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170" tabRatio="882" activeTab="0"/>
  </bookViews>
  <sheets>
    <sheet name="Res - 250 kWh" sheetId="1" r:id="rId1"/>
    <sheet name="Res - 800 kWh" sheetId="2" r:id="rId2"/>
    <sheet name="Res - 1000 kWh" sheetId="3" r:id="rId3"/>
    <sheet name="Res - 2000 kWh" sheetId="4" r:id="rId4"/>
    <sheet name="GS&lt;50 - 500 kWh" sheetId="5" r:id="rId5"/>
    <sheet name="GS&lt;50 - 2000 kWh" sheetId="6" r:id="rId6"/>
    <sheet name="GS&lt;50 - 5000 kWh" sheetId="7" r:id="rId7"/>
    <sheet name="GS&gt;50 -184 kW" sheetId="8" r:id="rId8"/>
    <sheet name="GS&gt;50 - 500 kW" sheetId="9" r:id="rId9"/>
    <sheet name="GS&gt;700 - 857 kW" sheetId="10" r:id="rId10"/>
    <sheet name="GS&gt;700 - 2100 kW" sheetId="11" r:id="rId11"/>
    <sheet name="Large - 6000 kW " sheetId="12" r:id="rId12"/>
    <sheet name="Large - 20000 kW" sheetId="13" r:id="rId13"/>
    <sheet name="USL" sheetId="14" r:id="rId14"/>
    <sheet name="Street Lighting" sheetId="15" r:id="rId15"/>
  </sheets>
  <externalReferences>
    <externalReference r:id="rId18"/>
    <externalReference r:id="rId19"/>
  </externalReferences>
  <definedNames>
    <definedName name="rateclasses">'[1]Sheet1'!$A$1:$A$22</definedName>
  </definedNames>
  <calcPr fullCalcOnLoad="1"/>
</workbook>
</file>

<file path=xl/sharedStrings.xml><?xml version="1.0" encoding="utf-8"?>
<sst xmlns="http://schemas.openxmlformats.org/spreadsheetml/2006/main" count="3996" uniqueCount="195">
  <si>
    <t>Rate Class</t>
  </si>
  <si>
    <t>General Service Less Than 50 kW</t>
  </si>
  <si>
    <t>kwh</t>
  </si>
  <si>
    <t>kw</t>
  </si>
  <si>
    <t>Monthly Rates and Charges</t>
  </si>
  <si>
    <t>Current Rate</t>
  </si>
  <si>
    <t>Applied For Rate</t>
  </si>
  <si>
    <t>Monthly Fixed Charge</t>
  </si>
  <si>
    <t>MSC</t>
  </si>
  <si>
    <t>Residential</t>
  </si>
  <si>
    <t>x</t>
  </si>
  <si>
    <t>secondary &lt; 5</t>
  </si>
  <si>
    <t>Service Charge</t>
  </si>
  <si>
    <t>Smart Meter Funding Adder</t>
  </si>
  <si>
    <t>SM_Rate_Adder</t>
  </si>
  <si>
    <t>Residential Regular</t>
  </si>
  <si>
    <t>Monthly Fixed Rate Riders</t>
  </si>
  <si>
    <t>MSC_Rate_Rider_1</t>
  </si>
  <si>
    <t>Residential Urban</t>
  </si>
  <si>
    <t>Service Charge Rate Rider(s)</t>
  </si>
  <si>
    <t>MSC_Rate_Rider_2</t>
  </si>
  <si>
    <t>Residential Urban Year-Round</t>
  </si>
  <si>
    <t>Distribution Volumetric Rate</t>
  </si>
  <si>
    <t>MSC_Rate_Rider_3</t>
  </si>
  <si>
    <t>Residential Suburban</t>
  </si>
  <si>
    <t>Distribution Volumetric Rate Rider(s)</t>
  </si>
  <si>
    <t>MSC_Rate_Rider_4</t>
  </si>
  <si>
    <t>Residential Suburban Seasonal</t>
  </si>
  <si>
    <t>Low Voltage Volumetric Rate</t>
  </si>
  <si>
    <t>MSC_Rate_Rider_6</t>
  </si>
  <si>
    <t>Residential Suburban Year Round</t>
  </si>
  <si>
    <t>Retail Transmission Rate – Network Service Rate</t>
  </si>
  <si>
    <t>MSC_Rate_Rider_7</t>
  </si>
  <si>
    <t>Residential - Time of Use</t>
  </si>
  <si>
    <t>Retail Transmission Rate – Line and Transformation Connection Service Rate</t>
  </si>
  <si>
    <t>MSC_Rate_Rider_9</t>
  </si>
  <si>
    <t>Residential - Hensall</t>
  </si>
  <si>
    <t xml:space="preserve">Wholesale Market Service Rate </t>
  </si>
  <si>
    <t>MSC_Rate_Rider_10</t>
  </si>
  <si>
    <t>Residential – High Density [R1]</t>
  </si>
  <si>
    <t>Rural Rate Protection Charge</t>
  </si>
  <si>
    <t>Volumetric Rate Riders</t>
  </si>
  <si>
    <t>VC_Rate_Rider_1</t>
  </si>
  <si>
    <t>Residential – Normal Density [R2]</t>
  </si>
  <si>
    <t>Standard Supply Service – Administration Charge (if applicable)</t>
  </si>
  <si>
    <t>VC_Rate_Rider_2</t>
  </si>
  <si>
    <t>Seasonal Residential – High Density [R3]</t>
  </si>
  <si>
    <t>Debt Retirement Charge (DRC)</t>
  </si>
  <si>
    <t>VC_Rate_Rider_3</t>
  </si>
  <si>
    <t>Seasonal Residential – Normal Density [R4]</t>
  </si>
  <si>
    <t>Loss Factor</t>
  </si>
  <si>
    <t>VC_Rate_Rider_4</t>
  </si>
  <si>
    <t>Residential – Urban [UR]</t>
  </si>
  <si>
    <t>VC_Rate_Rider_5</t>
  </si>
  <si>
    <t>VC_Rate_Rider_6</t>
  </si>
  <si>
    <t>General Service Less Than 50 kW – Single Phase energy-billed [G1]</t>
  </si>
  <si>
    <t>Consumption</t>
  </si>
  <si>
    <t>kWh</t>
  </si>
  <si>
    <t>kW</t>
  </si>
  <si>
    <t>Current Loss Factor</t>
  </si>
  <si>
    <t>VC_Rate_Rider_7</t>
  </si>
  <si>
    <t>General Service Less Than 50 kW – Three Phase energy-billed [G3]</t>
  </si>
  <si>
    <t>RPP Tier One</t>
  </si>
  <si>
    <t>Load Factor</t>
  </si>
  <si>
    <t>Proposed Loss Factor</t>
  </si>
  <si>
    <t>VC_Rate_Rider_8</t>
  </si>
  <si>
    <t>General Service Less Than 50 kW – Transmission Class energy-billed [T]</t>
  </si>
  <si>
    <t>VC_Rate_Rider_9</t>
  </si>
  <si>
    <t>General Service Less Than 50 kW – Urban energy-billed [UG]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</si>
  <si>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</si>
  <si>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</si>
  <si>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</si>
  <si>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</si>
  <si>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</si>
  <si>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</si>
  <si>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</si>
  <si>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Bill</t>
  </si>
  <si>
    <t>VC_Rate_Rider_10</t>
  </si>
  <si>
    <t>Westport Sewage Treatment Plant</t>
  </si>
  <si>
    <t>Energy First Tier (kWh)</t>
  </si>
  <si>
    <t>VC_Rate_Rider_11</t>
  </si>
  <si>
    <t>Small Commercial and USL - per meter</t>
  </si>
  <si>
    <t>Energy Second Tier (kWh)</t>
  </si>
  <si>
    <t>VC_Rate_Rider_12</t>
  </si>
  <si>
    <t>Small Commercial and USL - per connection</t>
  </si>
  <si>
    <t>Sub-Total:  Energy</t>
  </si>
  <si>
    <t>VC_Rate_Rider_13</t>
  </si>
  <si>
    <t>Farms – Single Phase energy-billed [F1]</t>
  </si>
  <si>
    <t>VC_Rate_Rider_14</t>
  </si>
  <si>
    <t>General Service 50 to 499 kW</t>
  </si>
  <si>
    <t>y</t>
  </si>
  <si>
    <t>primary &lt; 5</t>
  </si>
  <si>
    <t>VC_Rate_Rider_15</t>
  </si>
  <si>
    <t>General Service 50 to 699 kW</t>
  </si>
  <si>
    <t>VC_Rate_Rider_16</t>
  </si>
  <si>
    <t>General Service 50 to 999 kW</t>
  </si>
  <si>
    <t>VC_Rate_Rider_17</t>
  </si>
  <si>
    <t>General Service 50 to 999 kW - Interval Metered</t>
  </si>
  <si>
    <t>VC_Rate_Rider_18</t>
  </si>
  <si>
    <t>General Service 50 to 1,000 kW</t>
  </si>
  <si>
    <t>Total:  Distribution</t>
  </si>
  <si>
    <t>VC_Rate_Rider_19</t>
  </si>
  <si>
    <t>General Service 50 to 1,000 kW - Interval Meters</t>
  </si>
  <si>
    <t>VC_Rate_Rider_20</t>
  </si>
  <si>
    <t>General Service 50 to 1,000 kW - Non Interval Meters</t>
  </si>
  <si>
    <t>Global Adjustment Rate Rider (kW)</t>
  </si>
  <si>
    <t>VC_GA_Rate_Rider_kW_1</t>
  </si>
  <si>
    <t>General Service 50 to 1,499 kW</t>
  </si>
  <si>
    <t>Total:    Retail Transmission</t>
  </si>
  <si>
    <t>VC_GA_Rate_Rider_kW_2</t>
  </si>
  <si>
    <t>General Service 50 to 1,499 kW - Interval Metered</t>
  </si>
  <si>
    <t>Sub-Total:  Delivery (Distribution and Retail Transmission)</t>
  </si>
  <si>
    <t>VC_GA_Rate_Rider_kW_3</t>
  </si>
  <si>
    <t>General Service  50 to 2,499 kW</t>
  </si>
  <si>
    <t>VC_GA_Rate_Rider_kW_4</t>
  </si>
  <si>
    <t>General Service 50 to 2,999 kW</t>
  </si>
  <si>
    <t>VC_GA_Rate_Rider_kW_5</t>
  </si>
  <si>
    <t>General Service 50 to 2,999 kW - Time of Use</t>
  </si>
  <si>
    <t>Global Adjustment Rate Rider (kWh)</t>
  </si>
  <si>
    <t>VC_GA_Rate_Rider_kWh_1</t>
  </si>
  <si>
    <t>General Service 50 to 4,999 kW</t>
  </si>
  <si>
    <t>Sub-Total:  Regulatory</t>
  </si>
  <si>
    <t>VC_GA_Rate_Rider_kWh_2</t>
  </si>
  <si>
    <t>General Service 50 to 4,999 kW – Interval Metered</t>
  </si>
  <si>
    <t>VC_GA_Rate_Rider_kWh_3</t>
  </si>
  <si>
    <t>General Service 50 to 4,999 kW - Time of Use</t>
  </si>
  <si>
    <t>Total Bill before Taxes</t>
  </si>
  <si>
    <t>VC_GA_Rate_Rider_kWh_4</t>
  </si>
  <si>
    <t>General Service 50 to 4,999 kW (CoGeneration)</t>
  </si>
  <si>
    <t>HST</t>
  </si>
  <si>
    <t>VC_GA_Rate_Rider_kWh_5</t>
  </si>
  <si>
    <t>General Service 50 to 4,999 kW (formerly Time of Use)</t>
  </si>
  <si>
    <t>Total Bill</t>
  </si>
  <si>
    <t>Low Voltage</t>
  </si>
  <si>
    <t>VC_LV_Rate</t>
  </si>
  <si>
    <t>General Service 500 to 4,999 kW</t>
  </si>
  <si>
    <t>Ontario Clean Energy Benefit (OCEB)</t>
  </si>
  <si>
    <t>RTSR - Network</t>
  </si>
  <si>
    <t>RTSR_Network</t>
  </si>
  <si>
    <t>General Service 700 to 4,999 kW</t>
  </si>
  <si>
    <t>Total Bill (less OCEB)</t>
  </si>
  <si>
    <t>RTSR - Line and Transformation Connection</t>
  </si>
  <si>
    <t>RTSR_Connection</t>
  </si>
  <si>
    <t>General Service 1,000 to 2,999 kW</t>
  </si>
  <si>
    <t>RTSR_Network_Interval</t>
  </si>
  <si>
    <t>General Service 1,000 to 4,999 kW</t>
  </si>
  <si>
    <t>RTSR_Network_Interval_GR1000kW</t>
  </si>
  <si>
    <t>General Service 1,000 To 4,999 kW (co-generation)</t>
  </si>
  <si>
    <t>RTSR_Connection_Interval_GR1000kW</t>
  </si>
  <si>
    <t>General Service Greater Than 1,000 kW</t>
  </si>
  <si>
    <t>RTSR_Line_Connection</t>
  </si>
  <si>
    <t>General Service Intermediate Rate Class 1,000 To 4,999 kW (formerly Large Use Customers)</t>
  </si>
  <si>
    <t>RTSR_Transformer_Connection</t>
  </si>
  <si>
    <t>General Service Intermediate Rate Class 1,000 To 4,999 kW (formerly General Service &gt; 50 kW Customers)</t>
  </si>
  <si>
    <t>WMSR</t>
  </si>
  <si>
    <t>General Service 1,500 to 4,999 kW</t>
  </si>
  <si>
    <t>RRRP</t>
  </si>
  <si>
    <t>General Service Equal To Or Greater Than 1,500 kW</t>
  </si>
  <si>
    <t>DRC</t>
  </si>
  <si>
    <t>General Service Equal To Or Greater Than 1,500 kW - Interval Metered</t>
  </si>
  <si>
    <t>SSS</t>
  </si>
  <si>
    <t>General Service Intermediate 1,000 To 4,999 kW</t>
  </si>
  <si>
    <t>General Service 2,500 to 4,999 kW</t>
  </si>
  <si>
    <t>General Service 3,000 to 4,999 kW</t>
  </si>
  <si>
    <t>General Service 3,000 to 4,999 kW - Interval Metered</t>
  </si>
  <si>
    <t>General Service 3,000 to 4,999 kW - Intermediate Use</t>
  </si>
  <si>
    <t>General Service 3,000 to 4,999 kW - Time of Use</t>
  </si>
  <si>
    <t>Intermediate With Self Generation</t>
  </si>
  <si>
    <t>General Service - Commercial</t>
  </si>
  <si>
    <t>General Service - Institutional</t>
  </si>
  <si>
    <t>Farms – Three Phase energy-billed [F3]</t>
  </si>
  <si>
    <t>Large Use</t>
  </si>
  <si>
    <t>primary &gt; 5</t>
  </si>
  <si>
    <t>Large Use - Regular</t>
  </si>
  <si>
    <t>Large Use &gt; 5000 kW</t>
  </si>
  <si>
    <t>Large Use - 3TS</t>
  </si>
  <si>
    <t>Large Use - Ford Annex</t>
  </si>
  <si>
    <t>Unmetered Scattered Load</t>
  </si>
  <si>
    <t>Sentinel Lighting</t>
  </si>
  <si>
    <t>z</t>
  </si>
  <si>
    <t>Street Lighting</t>
  </si>
  <si>
    <t>Embedded Distributor</t>
  </si>
  <si>
    <t>Low Voltage Wheeling Charge Rate</t>
  </si>
  <si>
    <t>Stand-By</t>
  </si>
  <si>
    <t>Standby Power</t>
  </si>
  <si>
    <t>Standby Power – INTERIM APPROVAL</t>
  </si>
  <si>
    <t>Standby Power - APPROVED ON AN INTERIM BASIS</t>
  </si>
  <si>
    <t>Standby - General Service 50 - 1,000 kW</t>
  </si>
  <si>
    <t>Standby Power General Service 50 to 1,499 kW</t>
  </si>
  <si>
    <t>Standby - General Service 1,000 - 5,000 kW</t>
  </si>
  <si>
    <t>Standby Power General Service 1,500 to 4,999 kW</t>
  </si>
  <si>
    <t>Standby - Large Use</t>
  </si>
  <si>
    <t>Standby Power General Service Large Use</t>
  </si>
  <si>
    <t>Standby Distribution Service</t>
  </si>
  <si>
    <t>Connections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</si>
</sst>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0.00000;\(0.00000\)"/>
    <numFmt numFmtId="168" formatCode="_-* #,##0.0000_-;\-* #,##0.0000_-;_-* &quot;-&quot;??_-;_-@_-"/>
    <numFmt numFmtId="169" formatCode="_-* #,##0_-"/>
    <numFmt numFmtId="170" formatCode="0.0000"/>
    <numFmt numFmtId="171" formatCode="0.0%"/>
    <numFmt numFmtId="172" formatCode="0.0%;\(0.0\)%"/>
    <numFmt numFmtId="173" formatCode="0.0000;\(0.0000\)"/>
    <numFmt numFmtId="174" formatCode="#,##0.00_ ;\-#,##0.00\ "/>
    <numFmt numFmtId="175" formatCode="0.00%;\(0.00\)%"/>
    <numFmt numFmtId="176" formatCode="#,##0.00_ ;\(#,##0.00\)"/>
    <numFmt numFmtId="177" formatCode="#,##0.00000"/>
    <numFmt numFmtId="178" formatCode="0%;\(0%\)"/>
    <numFmt numFmtId="179" formatCode="#,##0.0"/>
    <numFmt numFmtId="180" formatCode="_(* #,##0.000_);_(* \(#,##0.000\);_(* &quot;-&quot;??_);_(@_)"/>
    <numFmt numFmtId="181" formatCode="_(* #,##0.0000_);_(* \(#,##0.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left" wrapText="1"/>
      <protection/>
    </xf>
    <xf numFmtId="0" fontId="5" fillId="36" borderId="13" xfId="0" applyFont="1" applyFill="1" applyBorder="1" applyAlignment="1" applyProtection="1">
      <alignment horizontal="left" vertical="center" wrapText="1"/>
      <protection/>
    </xf>
    <xf numFmtId="165" fontId="5" fillId="0" borderId="14" xfId="42" applyNumberFormat="1" applyFont="1" applyFill="1" applyBorder="1" applyAlignment="1" applyProtection="1">
      <alignment horizontal="center" vertical="center"/>
      <protection/>
    </xf>
    <xf numFmtId="166" fontId="0" fillId="0" borderId="0" xfId="44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166" fontId="0" fillId="0" borderId="0" xfId="0" applyNumberFormat="1" applyFill="1" applyBorder="1" applyAlignment="1" applyProtection="1">
      <alignment horizontal="left" vertical="top"/>
      <protection/>
    </xf>
    <xf numFmtId="10" fontId="0" fillId="0" borderId="0" xfId="59" applyNumberFormat="1" applyFont="1" applyFill="1" applyBorder="1" applyAlignment="1" applyProtection="1">
      <alignment horizontal="left" vertical="top"/>
      <protection/>
    </xf>
    <xf numFmtId="165" fontId="5" fillId="0" borderId="13" xfId="42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67" fontId="5" fillId="0" borderId="14" xfId="42" applyNumberFormat="1" applyFont="1" applyFill="1" applyBorder="1" applyAlignment="1" applyProtection="1">
      <alignment horizontal="right" vertical="center"/>
      <protection/>
    </xf>
    <xf numFmtId="167" fontId="5" fillId="0" borderId="13" xfId="42" applyNumberFormat="1" applyFont="1" applyFill="1" applyBorder="1" applyAlignment="1" applyProtection="1">
      <alignment horizontal="right" vertical="center"/>
      <protection/>
    </xf>
    <xf numFmtId="168" fontId="5" fillId="0" borderId="14" xfId="42" applyNumberFormat="1" applyFont="1" applyFill="1" applyBorder="1" applyAlignment="1" applyProtection="1">
      <alignment horizontal="center" vertical="center"/>
      <protection/>
    </xf>
    <xf numFmtId="168" fontId="5" fillId="0" borderId="13" xfId="42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168" fontId="5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10" fontId="3" fillId="0" borderId="0" xfId="59" applyNumberFormat="1" applyFont="1" applyFill="1" applyBorder="1" applyAlignment="1" applyProtection="1">
      <alignment horizontal="left"/>
      <protection/>
    </xf>
    <xf numFmtId="166" fontId="0" fillId="0" borderId="0" xfId="44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66" fontId="0" fillId="0" borderId="0" xfId="0" applyNumberFormat="1" applyFill="1" applyBorder="1" applyAlignment="1" applyProtection="1">
      <alignment horizontal="left" vertical="center"/>
      <protection/>
    </xf>
    <xf numFmtId="10" fontId="0" fillId="0" borderId="0" xfId="59" applyNumberFormat="1" applyFont="1" applyFill="1" applyBorder="1" applyAlignment="1" applyProtection="1">
      <alignment horizontal="left" vertical="center"/>
      <protection/>
    </xf>
    <xf numFmtId="0" fontId="6" fillId="36" borderId="17" xfId="0" applyFont="1" applyFill="1" applyBorder="1" applyAlignment="1" applyProtection="1">
      <alignment vertical="center"/>
      <protection/>
    </xf>
    <xf numFmtId="3" fontId="7" fillId="34" borderId="17" xfId="0" applyNumberFormat="1" applyFont="1" applyFill="1" applyBorder="1" applyAlignment="1" applyProtection="1">
      <alignment horizontal="center" vertical="center"/>
      <protection locked="0"/>
    </xf>
    <xf numFmtId="3" fontId="7" fillId="36" borderId="18" xfId="0" applyNumberFormat="1" applyFont="1" applyFill="1" applyBorder="1" applyAlignment="1" applyProtection="1">
      <alignment horizontal="center" vertical="center"/>
      <protection/>
    </xf>
    <xf numFmtId="169" fontId="7" fillId="34" borderId="19" xfId="42" applyNumberFormat="1" applyFont="1" applyFill="1" applyBorder="1" applyAlignment="1" applyProtection="1">
      <alignment vertical="center"/>
      <protection/>
    </xf>
    <xf numFmtId="3" fontId="7" fillId="36" borderId="20" xfId="0" applyNumberFormat="1" applyFont="1" applyFill="1" applyBorder="1" applyAlignment="1" applyProtection="1">
      <alignment horizontal="center" vertical="center"/>
      <protection/>
    </xf>
    <xf numFmtId="0" fontId="6" fillId="36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170" fontId="6" fillId="0" borderId="23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171" fontId="6" fillId="34" borderId="18" xfId="59" applyNumberFormat="1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170" fontId="6" fillId="0" borderId="27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left" vertical="top"/>
      <protection/>
    </xf>
    <xf numFmtId="10" fontId="3" fillId="0" borderId="0" xfId="59" applyNumberFormat="1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2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172" fontId="3" fillId="36" borderId="31" xfId="59" applyNumberFormat="1" applyFont="1" applyFill="1" applyBorder="1" applyAlignment="1" applyProtection="1">
      <alignment horizontal="center" vertical="center" wrapText="1"/>
      <protection/>
    </xf>
    <xf numFmtId="2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 indent="1"/>
      <protection/>
    </xf>
    <xf numFmtId="4" fontId="5" fillId="36" borderId="12" xfId="0" applyNumberFormat="1" applyFont="1" applyFill="1" applyBorder="1" applyAlignment="1" applyProtection="1">
      <alignment horizontal="center" vertical="center"/>
      <protection/>
    </xf>
    <xf numFmtId="173" fontId="5" fillId="0" borderId="32" xfId="44" applyNumberFormat="1" applyFont="1" applyFill="1" applyBorder="1" applyAlignment="1" applyProtection="1">
      <alignment horizontal="center" vertical="center"/>
      <protection/>
    </xf>
    <xf numFmtId="174" fontId="5" fillId="36" borderId="12" xfId="0" applyNumberFormat="1" applyFont="1" applyFill="1" applyBorder="1" applyAlignment="1" applyProtection="1">
      <alignment horizontal="center" vertical="center"/>
      <protection/>
    </xf>
    <xf numFmtId="3" fontId="5" fillId="36" borderId="12" xfId="0" applyNumberFormat="1" applyFont="1" applyFill="1" applyBorder="1" applyAlignment="1" applyProtection="1">
      <alignment horizontal="center" vertical="center"/>
      <protection/>
    </xf>
    <xf numFmtId="175" fontId="5" fillId="36" borderId="33" xfId="59" applyNumberFormat="1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left" vertical="center" wrapText="1" indent="1"/>
      <protection/>
    </xf>
    <xf numFmtId="4" fontId="5" fillId="36" borderId="16" xfId="0" applyNumberFormat="1" applyFont="1" applyFill="1" applyBorder="1" applyAlignment="1" applyProtection="1">
      <alignment horizontal="center" vertical="center"/>
      <protection/>
    </xf>
    <xf numFmtId="173" fontId="5" fillId="0" borderId="16" xfId="44" applyNumberFormat="1" applyFont="1" applyFill="1" applyBorder="1" applyAlignment="1" applyProtection="1">
      <alignment horizontal="center" vertical="center"/>
      <protection/>
    </xf>
    <xf numFmtId="174" fontId="5" fillId="36" borderId="14" xfId="0" applyNumberFormat="1" applyFont="1" applyFill="1" applyBorder="1" applyAlignment="1" applyProtection="1">
      <alignment horizontal="center" vertical="center"/>
      <protection/>
    </xf>
    <xf numFmtId="3" fontId="5" fillId="36" borderId="16" xfId="0" applyNumberFormat="1" applyFont="1" applyFill="1" applyBorder="1" applyAlignment="1" applyProtection="1">
      <alignment horizontal="center" vertical="center"/>
      <protection/>
    </xf>
    <xf numFmtId="174" fontId="5" fillId="36" borderId="16" xfId="0" applyNumberFormat="1" applyFont="1" applyFill="1" applyBorder="1" applyAlignment="1" applyProtection="1">
      <alignment horizontal="center" vertical="center"/>
      <protection/>
    </xf>
    <xf numFmtId="164" fontId="3" fillId="37" borderId="11" xfId="0" applyNumberFormat="1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center" vertical="center"/>
      <protection/>
    </xf>
    <xf numFmtId="164" fontId="3" fillId="37" borderId="11" xfId="0" applyNumberFormat="1" applyFont="1" applyFill="1" applyBorder="1" applyAlignment="1" applyProtection="1">
      <alignment horizontal="left" vertical="center"/>
      <protection/>
    </xf>
    <xf numFmtId="174" fontId="3" fillId="37" borderId="11" xfId="46" applyNumberFormat="1" applyFont="1" applyFill="1" applyBorder="1" applyAlignment="1" applyProtection="1">
      <alignment horizontal="center" vertical="center"/>
      <protection/>
    </xf>
    <xf numFmtId="175" fontId="3" fillId="37" borderId="18" xfId="59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" fontId="5" fillId="0" borderId="12" xfId="44" applyNumberFormat="1" applyFont="1" applyFill="1" applyBorder="1" applyAlignment="1" applyProtection="1">
      <alignment horizontal="center" vertical="center"/>
      <protection/>
    </xf>
    <xf numFmtId="176" fontId="5" fillId="36" borderId="12" xfId="46" applyNumberFormat="1" applyFont="1" applyFill="1" applyBorder="1" applyAlignment="1" applyProtection="1">
      <alignment horizontal="center" vertical="center"/>
      <protection/>
    </xf>
    <xf numFmtId="174" fontId="5" fillId="36" borderId="12" xfId="46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3" xfId="44" applyNumberFormat="1" applyFont="1" applyFill="1" applyBorder="1" applyAlignment="1" applyProtection="1">
      <alignment horizontal="center" vertical="center"/>
      <protection/>
    </xf>
    <xf numFmtId="176" fontId="5" fillId="36" borderId="13" xfId="46" applyNumberFormat="1" applyFont="1" applyFill="1" applyBorder="1" applyAlignment="1" applyProtection="1">
      <alignment horizontal="center" vertical="center"/>
      <protection/>
    </xf>
    <xf numFmtId="174" fontId="5" fillId="36" borderId="13" xfId="46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3" fontId="5" fillId="36" borderId="13" xfId="0" applyNumberFormat="1" applyFont="1" applyFill="1" applyBorder="1" applyAlignment="1" applyProtection="1">
      <alignment horizontal="center" vertical="center"/>
      <protection/>
    </xf>
    <xf numFmtId="173" fontId="5" fillId="0" borderId="13" xfId="44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 indent="1"/>
      <protection/>
    </xf>
    <xf numFmtId="3" fontId="5" fillId="36" borderId="34" xfId="0" applyNumberFormat="1" applyFont="1" applyFill="1" applyBorder="1" applyAlignment="1" applyProtection="1">
      <alignment horizontal="center" vertical="center"/>
      <protection/>
    </xf>
    <xf numFmtId="173" fontId="5" fillId="0" borderId="34" xfId="44" applyNumberFormat="1" applyFont="1" applyFill="1" applyBorder="1" applyAlignment="1" applyProtection="1">
      <alignment horizontal="center" vertical="center"/>
      <protection/>
    </xf>
    <xf numFmtId="176" fontId="5" fillId="36" borderId="16" xfId="46" applyNumberFormat="1" applyFont="1" applyFill="1" applyBorder="1" applyAlignment="1" applyProtection="1">
      <alignment horizontal="center" vertical="center"/>
      <protection/>
    </xf>
    <xf numFmtId="164" fontId="3" fillId="38" borderId="11" xfId="0" applyNumberFormat="1" applyFont="1" applyFill="1" applyBorder="1" applyAlignment="1" applyProtection="1">
      <alignment horizontal="left" vertical="center" wrapText="1"/>
      <protection/>
    </xf>
    <xf numFmtId="3" fontId="3" fillId="38" borderId="11" xfId="0" applyNumberFormat="1" applyFont="1" applyFill="1" applyBorder="1" applyAlignment="1" applyProtection="1">
      <alignment horizontal="left" vertical="center"/>
      <protection/>
    </xf>
    <xf numFmtId="164" fontId="3" fillId="38" borderId="11" xfId="0" applyNumberFormat="1" applyFont="1" applyFill="1" applyBorder="1" applyAlignment="1" applyProtection="1">
      <alignment horizontal="left" vertical="center"/>
      <protection/>
    </xf>
    <xf numFmtId="174" fontId="3" fillId="38" borderId="11" xfId="46" applyNumberFormat="1" applyFont="1" applyFill="1" applyBorder="1" applyAlignment="1" applyProtection="1">
      <alignment horizontal="center" vertical="center"/>
      <protection/>
    </xf>
    <xf numFmtId="175" fontId="3" fillId="38" borderId="18" xfId="59" applyNumberFormat="1" applyFont="1" applyFill="1" applyBorder="1" applyAlignment="1" applyProtection="1">
      <alignment horizontal="center" vertical="center"/>
      <protection/>
    </xf>
    <xf numFmtId="4" fontId="5" fillId="36" borderId="14" xfId="0" applyNumberFormat="1" applyFont="1" applyFill="1" applyBorder="1" applyAlignment="1" applyProtection="1">
      <alignment horizontal="center" vertical="center"/>
      <protection/>
    </xf>
    <xf numFmtId="164" fontId="5" fillId="0" borderId="14" xfId="44" applyNumberFormat="1" applyFont="1" applyFill="1" applyBorder="1" applyAlignment="1" applyProtection="1">
      <alignment horizontal="center" vertical="center"/>
      <protection/>
    </xf>
    <xf numFmtId="4" fontId="5" fillId="36" borderId="13" xfId="0" applyNumberFormat="1" applyFont="1" applyFill="1" applyBorder="1" applyAlignment="1" applyProtection="1">
      <alignment horizontal="center" vertical="center"/>
      <protection/>
    </xf>
    <xf numFmtId="164" fontId="5" fillId="0" borderId="13" xfId="44" applyNumberFormat="1" applyFont="1" applyFill="1" applyBorder="1" applyAlignment="1" applyProtection="1">
      <alignment horizontal="center" vertical="center"/>
      <protection/>
    </xf>
    <xf numFmtId="174" fontId="5" fillId="36" borderId="34" xfId="46" applyNumberFormat="1" applyFont="1" applyFill="1" applyBorder="1" applyAlignment="1" applyProtection="1">
      <alignment horizontal="center" vertical="center"/>
      <protection/>
    </xf>
    <xf numFmtId="164" fontId="5" fillId="36" borderId="14" xfId="0" applyNumberFormat="1" applyFont="1" applyFill="1" applyBorder="1" applyAlignment="1" applyProtection="1">
      <alignment horizontal="center" vertical="center"/>
      <protection/>
    </xf>
    <xf numFmtId="174" fontId="5" fillId="36" borderId="32" xfId="0" applyNumberFormat="1" applyFont="1" applyFill="1" applyBorder="1" applyAlignment="1" applyProtection="1">
      <alignment horizontal="center" vertical="center"/>
      <protection/>
    </xf>
    <xf numFmtId="174" fontId="5" fillId="36" borderId="32" xfId="46" applyNumberFormat="1" applyFont="1" applyFill="1" applyBorder="1" applyAlignment="1" applyProtection="1">
      <alignment horizontal="center" vertical="center"/>
      <protection/>
    </xf>
    <xf numFmtId="164" fontId="5" fillId="36" borderId="13" xfId="0" applyNumberFormat="1" applyFont="1" applyFill="1" applyBorder="1" applyAlignment="1" applyProtection="1">
      <alignment horizontal="center" vertical="center"/>
      <protection/>
    </xf>
    <xf numFmtId="174" fontId="5" fillId="36" borderId="13" xfId="0" applyNumberFormat="1" applyFont="1" applyFill="1" applyBorder="1" applyAlignment="1" applyProtection="1">
      <alignment horizontal="center" vertical="center"/>
      <protection/>
    </xf>
    <xf numFmtId="3" fontId="5" fillId="36" borderId="14" xfId="0" applyNumberFormat="1" applyFont="1" applyFill="1" applyBorder="1" applyAlignment="1" applyProtection="1">
      <alignment horizontal="center" vertical="center"/>
      <protection/>
    </xf>
    <xf numFmtId="174" fontId="5" fillId="36" borderId="16" xfId="46" applyNumberFormat="1" applyFont="1" applyFill="1" applyBorder="1" applyAlignment="1" applyProtection="1">
      <alignment horizontal="center" vertical="center"/>
      <protection/>
    </xf>
    <xf numFmtId="4" fontId="5" fillId="0" borderId="16" xfId="42" applyNumberFormat="1" applyFont="1" applyFill="1" applyBorder="1" applyAlignment="1" applyProtection="1">
      <alignment horizontal="center" vertical="center"/>
      <protection/>
    </xf>
    <xf numFmtId="174" fontId="5" fillId="36" borderId="14" xfId="4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4" fontId="5" fillId="37" borderId="11" xfId="0" applyNumberFormat="1" applyFont="1" applyFill="1" applyBorder="1" applyAlignment="1" applyProtection="1">
      <alignment horizontal="center" vertical="center"/>
      <protection/>
    </xf>
    <xf numFmtId="177" fontId="5" fillId="37" borderId="11" xfId="44" applyNumberFormat="1" applyFont="1" applyFill="1" applyBorder="1" applyAlignment="1" applyProtection="1">
      <alignment horizontal="center" vertical="center"/>
      <protection/>
    </xf>
    <xf numFmtId="174" fontId="3" fillId="37" borderId="24" xfId="46" applyNumberFormat="1" applyFont="1" applyFill="1" applyBorder="1" applyAlignment="1" applyProtection="1">
      <alignment horizontal="center" vertical="center"/>
      <protection/>
    </xf>
    <xf numFmtId="3" fontId="5" fillId="37" borderId="11" xfId="0" applyNumberFormat="1" applyFont="1" applyFill="1" applyBorder="1" applyAlignment="1" applyProtection="1">
      <alignment horizontal="center" vertical="center"/>
      <protection/>
    </xf>
    <xf numFmtId="164" fontId="5" fillId="37" borderId="11" xfId="44" applyNumberFormat="1" applyFont="1" applyFill="1" applyBorder="1" applyAlignment="1" applyProtection="1">
      <alignment horizontal="center" vertical="center"/>
      <protection/>
    </xf>
    <xf numFmtId="164" fontId="3" fillId="39" borderId="11" xfId="0" applyNumberFormat="1" applyFont="1" applyFill="1" applyBorder="1" applyAlignment="1" applyProtection="1">
      <alignment horizontal="left" vertical="center" wrapText="1"/>
      <protection/>
    </xf>
    <xf numFmtId="164" fontId="3" fillId="39" borderId="11" xfId="0" applyNumberFormat="1" applyFont="1" applyFill="1" applyBorder="1" applyAlignment="1" applyProtection="1">
      <alignment horizontal="left" vertical="center"/>
      <protection/>
    </xf>
    <xf numFmtId="174" fontId="3" fillId="39" borderId="11" xfId="46" applyNumberFormat="1" applyFont="1" applyFill="1" applyBorder="1" applyAlignment="1" applyProtection="1">
      <alignment horizontal="center" vertical="center"/>
      <protection/>
    </xf>
    <xf numFmtId="175" fontId="3" fillId="39" borderId="18" xfId="59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5" fillId="0" borderId="11" xfId="44" applyNumberFormat="1" applyFont="1" applyFill="1" applyBorder="1" applyAlignment="1" applyProtection="1">
      <alignment horizontal="center" vertical="center"/>
      <protection/>
    </xf>
    <xf numFmtId="9" fontId="5" fillId="0" borderId="11" xfId="59" applyFont="1" applyFill="1" applyBorder="1" applyAlignment="1" applyProtection="1">
      <alignment horizontal="center" vertical="center"/>
      <protection/>
    </xf>
    <xf numFmtId="174" fontId="3" fillId="0" borderId="24" xfId="46" applyNumberFormat="1" applyFont="1" applyFill="1" applyBorder="1" applyAlignment="1" applyProtection="1">
      <alignment horizontal="center" vertical="center"/>
      <protection/>
    </xf>
    <xf numFmtId="174" fontId="3" fillId="0" borderId="11" xfId="46" applyNumberFormat="1" applyFont="1" applyFill="1" applyBorder="1" applyAlignment="1" applyProtection="1">
      <alignment horizontal="center" vertical="center"/>
      <protection/>
    </xf>
    <xf numFmtId="175" fontId="3" fillId="0" borderId="18" xfId="59" applyNumberFormat="1" applyFont="1" applyFill="1" applyBorder="1" applyAlignment="1" applyProtection="1">
      <alignment horizontal="center" vertical="center"/>
      <protection/>
    </xf>
    <xf numFmtId="0" fontId="0" fillId="39" borderId="24" xfId="0" applyFill="1" applyBorder="1" applyAlignment="1" applyProtection="1">
      <alignment/>
      <protection/>
    </xf>
    <xf numFmtId="164" fontId="3" fillId="40" borderId="15" xfId="0" applyNumberFormat="1" applyFont="1" applyFill="1" applyBorder="1" applyAlignment="1" applyProtection="1">
      <alignment horizontal="left" vertical="center" wrapText="1"/>
      <protection/>
    </xf>
    <xf numFmtId="164" fontId="3" fillId="40" borderId="15" xfId="0" applyNumberFormat="1" applyFont="1" applyFill="1" applyBorder="1" applyAlignment="1" applyProtection="1">
      <alignment horizontal="left" vertical="center"/>
      <protection/>
    </xf>
    <xf numFmtId="178" fontId="8" fillId="40" borderId="15" xfId="59" applyNumberFormat="1" applyFont="1" applyFill="1" applyBorder="1" applyAlignment="1" applyProtection="1">
      <alignment horizontal="center" vertical="center"/>
      <protection/>
    </xf>
    <xf numFmtId="174" fontId="8" fillId="40" borderId="15" xfId="46" applyNumberFormat="1" applyFont="1" applyFill="1" applyBorder="1" applyAlignment="1" applyProtection="1">
      <alignment horizontal="center" vertical="center"/>
      <protection/>
    </xf>
    <xf numFmtId="174" fontId="3" fillId="40" borderId="15" xfId="46" applyNumberFormat="1" applyFont="1" applyFill="1" applyBorder="1" applyAlignment="1" applyProtection="1">
      <alignment horizontal="center" vertical="center"/>
      <protection/>
    </xf>
    <xf numFmtId="175" fontId="3" fillId="40" borderId="27" xfId="59" applyNumberFormat="1" applyFont="1" applyFill="1" applyBorder="1" applyAlignment="1" applyProtection="1">
      <alignment horizontal="center" vertical="center"/>
      <protection/>
    </xf>
    <xf numFmtId="164" fontId="4" fillId="39" borderId="11" xfId="0" applyNumberFormat="1" applyFont="1" applyFill="1" applyBorder="1" applyAlignment="1" applyProtection="1">
      <alignment horizontal="left" vertical="center" wrapText="1"/>
      <protection/>
    </xf>
    <xf numFmtId="174" fontId="4" fillId="39" borderId="11" xfId="46" applyNumberFormat="1" applyFont="1" applyFill="1" applyBorder="1" applyAlignment="1" applyProtection="1">
      <alignment horizontal="center" vertical="center"/>
      <protection/>
    </xf>
    <xf numFmtId="176" fontId="4" fillId="39" borderId="11" xfId="46" applyNumberFormat="1" applyFont="1" applyFill="1" applyBorder="1" applyAlignment="1" applyProtection="1">
      <alignment horizontal="center" vertical="center"/>
      <protection/>
    </xf>
    <xf numFmtId="175" fontId="4" fillId="39" borderId="18" xfId="59" applyNumberFormat="1" applyFont="1" applyFill="1" applyBorder="1" applyAlignment="1" applyProtection="1">
      <alignment horizontal="center" vertical="center"/>
      <protection/>
    </xf>
    <xf numFmtId="3" fontId="7" fillId="36" borderId="17" xfId="0" applyNumberFormat="1" applyFont="1" applyFill="1" applyBorder="1" applyAlignment="1" applyProtection="1">
      <alignment horizontal="center" vertical="center"/>
      <protection/>
    </xf>
    <xf numFmtId="169" fontId="7" fillId="34" borderId="19" xfId="42" applyNumberFormat="1" applyFont="1" applyFill="1" applyBorder="1" applyAlignment="1" applyProtection="1">
      <alignment vertical="center"/>
      <protection locked="0"/>
    </xf>
    <xf numFmtId="171" fontId="6" fillId="34" borderId="18" xfId="59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9" fontId="5" fillId="36" borderId="16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0" xfId="42" applyNumberFormat="1" applyFont="1" applyAlignment="1" applyProtection="1">
      <alignment/>
      <protection/>
    </xf>
    <xf numFmtId="0" fontId="4" fillId="37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ullivan\My%20Documents\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Rates%20Summary%20&amp;%20Rate%20Impacts%20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A084</v>
          </cell>
        </row>
        <row r="8">
          <cell r="A8" t="str">
            <v>A081</v>
          </cell>
        </row>
        <row r="14">
          <cell r="A14" t="str">
            <v>A356</v>
          </cell>
        </row>
        <row r="18">
          <cell r="A18" t="str">
            <v>N582</v>
          </cell>
        </row>
        <row r="20">
          <cell r="A20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2"/>
      <sheetName val="Table 13"/>
      <sheetName val="Table 14"/>
      <sheetName val="Summary of Current Rates"/>
      <sheetName val="Current vs Proposed Rate Comp."/>
    </sheetNames>
    <sheetDataSet>
      <sheetData sheetId="0">
        <row r="10">
          <cell r="D10">
            <v>0.82</v>
          </cell>
        </row>
      </sheetData>
      <sheetData sheetId="1">
        <row r="10">
          <cell r="D10">
            <v>8.5207</v>
          </cell>
          <cell r="E10">
            <v>2.1693</v>
          </cell>
          <cell r="F10">
            <v>1.5241</v>
          </cell>
          <cell r="G10">
            <v>0.4461</v>
          </cell>
          <cell r="H10">
            <v>-0.6678</v>
          </cell>
          <cell r="I10">
            <v>-0.4973</v>
          </cell>
          <cell r="J10">
            <v>0</v>
          </cell>
          <cell r="K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90" zoomScaleNormal="90" zoomScalePageLayoutView="0" workbookViewId="0" topLeftCell="B1">
      <selection activeCell="H29" sqref="H29"/>
    </sheetView>
  </sheetViews>
  <sheetFormatPr defaultColWidth="9.140625" defaultRowHeight="15"/>
  <cols>
    <col min="1" max="1" width="34.28125" style="2" hidden="1" customWidth="1"/>
    <col min="2" max="2" width="1.14843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57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9.83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0.0143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0.0075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7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250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5"/>
      <c r="G25" s="145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258.72499999999997</v>
      </c>
      <c r="E27" s="62">
        <v>0.071</v>
      </c>
      <c r="F27" s="63">
        <f>E27*D27</f>
        <v>18.369474999999994</v>
      </c>
      <c r="G27" s="61">
        <f>IF($D$23&lt;$D$24,$D$23*$K$24,$D$24)</f>
        <v>258.72499999999997</v>
      </c>
      <c r="H27" s="62">
        <v>0.071</v>
      </c>
      <c r="I27" s="63">
        <f>H27*G27</f>
        <v>18.369474999999994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0.41800808805620465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0.083</v>
      </c>
      <c r="F28" s="69">
        <f>E28*D28</f>
        <v>0</v>
      </c>
      <c r="G28" s="70">
        <f>IF($D$23&gt;$D$24,($D$23*$K$23-$D$24),0)</f>
        <v>0</v>
      </c>
      <c r="H28" s="68">
        <v>0.083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18.369474999999994</v>
      </c>
      <c r="G29" s="74"/>
      <c r="H29" s="74"/>
      <c r="I29" s="75">
        <f>SUM(I27:I28)</f>
        <v>18.369474999999994</v>
      </c>
      <c r="J29" s="75">
        <f t="shared" si="0"/>
        <v>0</v>
      </c>
      <c r="K29" s="76">
        <f t="shared" si="1"/>
        <v>0</v>
      </c>
      <c r="L29" s="76">
        <f>I29/$I$47</f>
        <v>0.41800808805620465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9.83</v>
      </c>
      <c r="I30" s="80">
        <f>G30*H30</f>
        <v>9.83</v>
      </c>
      <c r="J30" s="81">
        <f t="shared" si="0"/>
        <v>0.08000000000000007</v>
      </c>
      <c r="K30" s="65">
        <f t="shared" si="1"/>
        <v>0.008205128205128212</v>
      </c>
      <c r="L30" s="65">
        <f t="shared" si="2"/>
        <v>0.22368736752642593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0.016384018781182775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250</v>
      </c>
      <c r="E32" s="89">
        <f>$D$11</f>
        <v>0.0142</v>
      </c>
      <c r="F32" s="85">
        <f>E32*D32</f>
        <v>3.5500000000000003</v>
      </c>
      <c r="G32" s="88">
        <f>$D$23</f>
        <v>250</v>
      </c>
      <c r="H32" s="89">
        <f>E11</f>
        <v>0.0143</v>
      </c>
      <c r="I32" s="85">
        <f>H32*G32</f>
        <v>3.575</v>
      </c>
      <c r="J32" s="86">
        <f t="shared" si="0"/>
        <v>0.02499999999999991</v>
      </c>
      <c r="K32" s="65">
        <f t="shared" si="1"/>
        <v>0.007042253521126735</v>
      </c>
      <c r="L32" s="65">
        <f t="shared" si="2"/>
        <v>0.08135120436490058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250</v>
      </c>
      <c r="E33" s="92">
        <f>$D$13</f>
        <v>0</v>
      </c>
      <c r="F33" s="85">
        <f>E33*D33</f>
        <v>0</v>
      </c>
      <c r="G33" s="91">
        <f>$D$23</f>
        <v>250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250</v>
      </c>
      <c r="E34" s="68">
        <f>$D$12</f>
        <v>-0.0015</v>
      </c>
      <c r="F34" s="93">
        <f>E34*D34</f>
        <v>-0.375</v>
      </c>
      <c r="G34" s="91">
        <f>$D$23</f>
        <v>250</v>
      </c>
      <c r="H34" s="92">
        <f>E12</f>
        <v>-0.0026000000000000003</v>
      </c>
      <c r="I34" s="93">
        <f>H34*G34</f>
        <v>-0.6500000000000001</v>
      </c>
      <c r="J34" s="86">
        <f t="shared" si="0"/>
        <v>-0.27500000000000013</v>
      </c>
      <c r="K34" s="65">
        <f t="shared" si="1"/>
        <v>0.7333333333333337</v>
      </c>
      <c r="L34" s="65">
        <f t="shared" si="2"/>
        <v>-0.014791128066345563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15.955000000000002</v>
      </c>
      <c r="G35" s="95"/>
      <c r="H35" s="96"/>
      <c r="I35" s="97">
        <f>SUM(I30:I34)</f>
        <v>13.475</v>
      </c>
      <c r="J35" s="97">
        <f t="shared" si="0"/>
        <v>-2.480000000000002</v>
      </c>
      <c r="K35" s="98">
        <f t="shared" si="1"/>
        <v>-0.1554371670322784</v>
      </c>
      <c r="L35" s="98">
        <f t="shared" si="2"/>
        <v>0.3066314626061637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258.72499999999997</v>
      </c>
      <c r="E36" s="100">
        <f>D14</f>
        <v>0.0065</v>
      </c>
      <c r="F36" s="86">
        <f>E36*D36</f>
        <v>1.6817124999999997</v>
      </c>
      <c r="G36" s="99">
        <f>D23*K24</f>
        <v>258.72499999999997</v>
      </c>
      <c r="H36" s="100">
        <f>E14</f>
        <v>0.0075</v>
      </c>
      <c r="I36" s="86">
        <f>H36*G36</f>
        <v>1.9404374999999996</v>
      </c>
      <c r="J36" s="81">
        <f t="shared" si="0"/>
        <v>0.25872499999999987</v>
      </c>
      <c r="K36" s="65">
        <f t="shared" si="1"/>
        <v>0.1538461538461538</v>
      </c>
      <c r="L36" s="65">
        <f t="shared" si="2"/>
        <v>0.044155783949599084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258.72499999999997</v>
      </c>
      <c r="E37" s="102">
        <f>D15</f>
        <v>0.005</v>
      </c>
      <c r="F37" s="103">
        <f>E37*D37</f>
        <v>1.2936249999999998</v>
      </c>
      <c r="G37" s="101">
        <f>D23*K24</f>
        <v>258.72499999999997</v>
      </c>
      <c r="H37" s="102">
        <f>E15</f>
        <v>0.0055</v>
      </c>
      <c r="I37" s="103">
        <f>H37*G37</f>
        <v>1.4229874999999996</v>
      </c>
      <c r="J37" s="86">
        <f t="shared" si="0"/>
        <v>0.12936249999999982</v>
      </c>
      <c r="K37" s="65">
        <f t="shared" si="1"/>
        <v>0.09999999999999988</v>
      </c>
      <c r="L37" s="65">
        <f t="shared" si="2"/>
        <v>0.032380908229706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2.9753374999999993</v>
      </c>
      <c r="G38" s="96"/>
      <c r="H38" s="96"/>
      <c r="I38" s="97">
        <f>SUM(I36:I37)</f>
        <v>3.3634249999999994</v>
      </c>
      <c r="J38" s="97">
        <f t="shared" si="0"/>
        <v>0.38808750000000014</v>
      </c>
      <c r="K38" s="98">
        <f t="shared" si="1"/>
        <v>0.13043478260869573</v>
      </c>
      <c r="L38" s="98">
        <f t="shared" si="2"/>
        <v>0.07653669217930509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18.9303375</v>
      </c>
      <c r="G39" s="74"/>
      <c r="H39" s="74"/>
      <c r="I39" s="75">
        <f>SUM(I38,I35)</f>
        <v>16.838425</v>
      </c>
      <c r="J39" s="75">
        <f t="shared" si="0"/>
        <v>-2.0919124999999994</v>
      </c>
      <c r="K39" s="76">
        <f t="shared" si="1"/>
        <v>-0.11050582167380794</v>
      </c>
      <c r="L39" s="76">
        <f t="shared" si="2"/>
        <v>0.38316815478546884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258.72499999999997</v>
      </c>
      <c r="E40" s="104">
        <f>E16</f>
        <v>0.0052</v>
      </c>
      <c r="F40" s="105">
        <f>E40*D40</f>
        <v>1.3453699999999997</v>
      </c>
      <c r="G40" s="99">
        <f>D23*K24</f>
        <v>258.72499999999997</v>
      </c>
      <c r="H40" s="100">
        <f>E16</f>
        <v>0.0052</v>
      </c>
      <c r="I40" s="105">
        <f>G40*H40</f>
        <v>1.3453699999999997</v>
      </c>
      <c r="J40" s="106">
        <f t="shared" si="0"/>
        <v>0</v>
      </c>
      <c r="K40" s="65">
        <f t="shared" si="1"/>
        <v>0</v>
      </c>
      <c r="L40" s="65">
        <f t="shared" si="2"/>
        <v>0.030614676871722032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258.72499999999997</v>
      </c>
      <c r="E41" s="107">
        <f>E17</f>
        <v>0.0013</v>
      </c>
      <c r="F41" s="108">
        <f>E41*D41</f>
        <v>0.33634249999999993</v>
      </c>
      <c r="G41" s="101">
        <f>D23*K24</f>
        <v>258.72499999999997</v>
      </c>
      <c r="H41" s="102">
        <f>E17</f>
        <v>0.0013</v>
      </c>
      <c r="I41" s="108">
        <f>G41*H41</f>
        <v>0.33634249999999993</v>
      </c>
      <c r="J41" s="86">
        <f t="shared" si="0"/>
        <v>0</v>
      </c>
      <c r="K41" s="65">
        <f t="shared" si="1"/>
        <v>0</v>
      </c>
      <c r="L41" s="65">
        <f t="shared" si="2"/>
        <v>0.007653669217930508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0.005688895410132908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1.9317124999999997</v>
      </c>
      <c r="G43" s="74"/>
      <c r="H43" s="74"/>
      <c r="I43" s="75">
        <f>SUM(I40:I42)</f>
        <v>1.9317124999999997</v>
      </c>
      <c r="J43" s="75"/>
      <c r="K43" s="76"/>
      <c r="L43" s="76">
        <f t="shared" si="2"/>
        <v>0.04395724149978545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250</v>
      </c>
      <c r="E44" s="115">
        <f>D19</f>
        <v>0.007</v>
      </c>
      <c r="F44" s="116">
        <f>D44*E44</f>
        <v>1.75</v>
      </c>
      <c r="G44" s="117">
        <f>D23</f>
        <v>250</v>
      </c>
      <c r="H44" s="118">
        <f>E19</f>
        <v>0.007</v>
      </c>
      <c r="I44" s="116">
        <f>G44*H44</f>
        <v>1.75</v>
      </c>
      <c r="J44" s="75">
        <f>I44-F44</f>
        <v>0</v>
      </c>
      <c r="K44" s="76">
        <f>IF(ISERROR(J44/F44),0,J44/F44)</f>
        <v>0</v>
      </c>
      <c r="L44" s="76">
        <f t="shared" si="2"/>
        <v>0.03982226787093035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40.98152499999999</v>
      </c>
      <c r="G45" s="120"/>
      <c r="H45" s="120"/>
      <c r="I45" s="121">
        <f>SUM(I44,I43,I39,I29)</f>
        <v>38.8896125</v>
      </c>
      <c r="J45" s="121">
        <f>I45-F45</f>
        <v>-2.0919124999999923</v>
      </c>
      <c r="K45" s="122">
        <f>IF(ISERROR(J45/F45),0,J45/F45)</f>
        <v>-0.05104525758863275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5.3275982499999985</v>
      </c>
      <c r="G46" s="124"/>
      <c r="H46" s="125">
        <v>0.13</v>
      </c>
      <c r="I46" s="127">
        <f>I45*H46</f>
        <v>5.055649625</v>
      </c>
      <c r="J46" s="126">
        <f>I46-F46</f>
        <v>-0.2719486249999985</v>
      </c>
      <c r="K46" s="128">
        <f>IF(ISERROR(J46/F46),0,J46/F46)</f>
        <v>-0.05104525758863266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46.30912324999999</v>
      </c>
      <c r="G47" s="129"/>
      <c r="H47" s="129"/>
      <c r="I47" s="121">
        <f>SUM(I45:I46)</f>
        <v>43.945262125</v>
      </c>
      <c r="J47" s="121">
        <f>I47-F47</f>
        <v>-2.3638611249999926</v>
      </c>
      <c r="K47" s="122">
        <f>IF(ISERROR(J47/F47),0,J47/F47)</f>
        <v>-0.05104525758863278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-4.630912325</v>
      </c>
      <c r="G48" s="131"/>
      <c r="H48" s="132">
        <v>-0.1</v>
      </c>
      <c r="I48" s="134">
        <f>H48*I47</f>
        <v>-4.3945262125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41.678210924999995</v>
      </c>
      <c r="G49" s="129"/>
      <c r="H49" s="129"/>
      <c r="I49" s="137">
        <f>SUM(I47:I48)</f>
        <v>39.5507359125</v>
      </c>
      <c r="J49" s="138">
        <f>I49-F49</f>
        <v>-2.1274750124999926</v>
      </c>
      <c r="K49" s="139">
        <f>IF(ISERROR(J49/F49),0,J49/F49)</f>
        <v>-0.05104525758863276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I43:I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">
      <selection activeCell="I27" sqref="I27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00390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49" t="s">
        <v>139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1227.95</v>
      </c>
      <c r="E8" s="12">
        <v>1164.89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3.5321</v>
      </c>
      <c r="E11" s="23">
        <v>3.3507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-0.4118</v>
      </c>
      <c r="E12" s="24">
        <v>-0.4851000000000001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2.5397</v>
      </c>
      <c r="E14" s="24">
        <v>2.9218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1.8033</v>
      </c>
      <c r="E15" s="24">
        <v>1.9679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494231.9</v>
      </c>
      <c r="E23" s="39" t="s">
        <v>57</v>
      </c>
      <c r="F23" s="141">
        <v>857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0.79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36.75" thickBot="1">
      <c r="C26" s="53" t="str">
        <f>C5</f>
        <v>General Service 700 to 4,999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511480.59330999997</v>
      </c>
      <c r="E27" s="62">
        <v>0.071</v>
      </c>
      <c r="F27" s="63">
        <f>E27*D27</f>
        <v>36315.12212500999</v>
      </c>
      <c r="G27" s="64">
        <f>$D$23*$K$24</f>
        <v>511480.59330999997</v>
      </c>
      <c r="H27" s="62">
        <v>0.071</v>
      </c>
      <c r="I27" s="63">
        <f>H27*G27</f>
        <v>36315.12212500999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0.6312464687219775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36315.12212500999</v>
      </c>
      <c r="G29" s="74"/>
      <c r="H29" s="74"/>
      <c r="I29" s="75">
        <f>SUM(I27:I28)</f>
        <v>36315.12212500999</v>
      </c>
      <c r="J29" s="75">
        <f t="shared" si="0"/>
        <v>0</v>
      </c>
      <c r="K29" s="76">
        <f t="shared" si="1"/>
        <v>0</v>
      </c>
      <c r="L29" s="76">
        <f t="shared" si="2"/>
        <v>0.6312464687219775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1227.95</v>
      </c>
      <c r="F30" s="80">
        <f>D30*E30</f>
        <v>1227.95</v>
      </c>
      <c r="G30" s="78">
        <v>1</v>
      </c>
      <c r="H30" s="79">
        <f>E8</f>
        <v>1164.89</v>
      </c>
      <c r="I30" s="80">
        <f>G30*H30</f>
        <v>1164.89</v>
      </c>
      <c r="J30" s="81">
        <f t="shared" si="0"/>
        <v>-63.059999999999945</v>
      </c>
      <c r="K30" s="65">
        <f t="shared" si="1"/>
        <v>-0.0513538824870719</v>
      </c>
      <c r="L30" s="65">
        <f t="shared" si="2"/>
        <v>0.02024866380507435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 t="shared" si="2"/>
        <v>3.4764937127238363E-07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857</v>
      </c>
      <c r="E32" s="89">
        <f>$D$11</f>
        <v>3.5321</v>
      </c>
      <c r="F32" s="85">
        <f>E32*D32</f>
        <v>3027.0096999999996</v>
      </c>
      <c r="G32" s="88">
        <f>F23</f>
        <v>857</v>
      </c>
      <c r="H32" s="89">
        <f>E11</f>
        <v>3.3507</v>
      </c>
      <c r="I32" s="85">
        <f>H32*G32</f>
        <v>2871.5499</v>
      </c>
      <c r="J32" s="86">
        <f t="shared" si="0"/>
        <v>-155.45979999999963</v>
      </c>
      <c r="K32" s="65">
        <f t="shared" si="1"/>
        <v>-0.05135754933325772</v>
      </c>
      <c r="L32" s="65">
        <f t="shared" si="2"/>
        <v>0.0499146258656138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857</v>
      </c>
      <c r="E33" s="92">
        <f>$D$13</f>
        <v>0</v>
      </c>
      <c r="F33" s="85">
        <f>E33*D33</f>
        <v>0</v>
      </c>
      <c r="G33" s="91">
        <f>F23</f>
        <v>857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857</v>
      </c>
      <c r="E34" s="68">
        <f>$D$12</f>
        <v>-0.4118</v>
      </c>
      <c r="F34" s="93">
        <f>E34*D34</f>
        <v>-352.9126</v>
      </c>
      <c r="G34" s="91">
        <f>F23</f>
        <v>857</v>
      </c>
      <c r="H34" s="92">
        <f>SUM(E12)</f>
        <v>-0.4851000000000001</v>
      </c>
      <c r="I34" s="93">
        <f>H34*G34</f>
        <v>-415.73070000000007</v>
      </c>
      <c r="J34" s="86">
        <f t="shared" si="0"/>
        <v>-62.81810000000007</v>
      </c>
      <c r="K34" s="65">
        <f t="shared" si="1"/>
        <v>0.17799902865468695</v>
      </c>
      <c r="L34" s="65">
        <f t="shared" si="2"/>
        <v>-0.007226425823681398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3904.3770999999992</v>
      </c>
      <c r="G35" s="95"/>
      <c r="H35" s="96"/>
      <c r="I35" s="97">
        <f>SUM(I30:I34)</f>
        <v>3620.7291999999998</v>
      </c>
      <c r="J35" s="97">
        <f t="shared" si="0"/>
        <v>-283.6478999999995</v>
      </c>
      <c r="K35" s="98">
        <f t="shared" si="1"/>
        <v>-0.07264869471752601</v>
      </c>
      <c r="L35" s="98">
        <f aca="true" t="shared" si="3" ref="L35:L47">I35/$I$47</f>
        <v>0.06293721149637801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857</v>
      </c>
      <c r="E36" s="100">
        <f>D14</f>
        <v>2.5397</v>
      </c>
      <c r="F36" s="86">
        <f>E36*D36</f>
        <v>2176.5229</v>
      </c>
      <c r="G36" s="109">
        <f>F23</f>
        <v>857</v>
      </c>
      <c r="H36" s="100">
        <f>E14</f>
        <v>2.9218</v>
      </c>
      <c r="I36" s="86">
        <f>H36*G36</f>
        <v>2503.9826000000003</v>
      </c>
      <c r="J36" s="81">
        <f t="shared" si="0"/>
        <v>327.45970000000034</v>
      </c>
      <c r="K36" s="65">
        <f t="shared" si="1"/>
        <v>0.15045084065047068</v>
      </c>
      <c r="L36" s="65">
        <f t="shared" si="3"/>
        <v>0.043525398828349424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857</v>
      </c>
      <c r="E37" s="102">
        <f>D15</f>
        <v>1.8033</v>
      </c>
      <c r="F37" s="103">
        <f>E37*D37</f>
        <v>1545.4280999999999</v>
      </c>
      <c r="G37" s="88">
        <f>F23</f>
        <v>857</v>
      </c>
      <c r="H37" s="102">
        <f>E15</f>
        <v>1.9679</v>
      </c>
      <c r="I37" s="103">
        <f>H37*G37</f>
        <v>1686.4903</v>
      </c>
      <c r="J37" s="86">
        <f t="shared" si="0"/>
        <v>141.06220000000008</v>
      </c>
      <c r="K37" s="65">
        <f t="shared" si="1"/>
        <v>0.09127710308878173</v>
      </c>
      <c r="L37" s="65">
        <f t="shared" si="3"/>
        <v>0.02931536462259868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3721.951</v>
      </c>
      <c r="G38" s="96"/>
      <c r="H38" s="96"/>
      <c r="I38" s="97">
        <f>SUM(I36:I37)</f>
        <v>4190.472900000001</v>
      </c>
      <c r="J38" s="97">
        <f t="shared" si="0"/>
        <v>468.52190000000064</v>
      </c>
      <c r="K38" s="98">
        <f t="shared" si="1"/>
        <v>0.12588072760764465</v>
      </c>
      <c r="L38" s="98">
        <f t="shared" si="3"/>
        <v>0.07284076345094811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7626.328099999999</v>
      </c>
      <c r="G39" s="74"/>
      <c r="H39" s="74"/>
      <c r="I39" s="75">
        <f>SUM(I38,I35)</f>
        <v>7811.2021</v>
      </c>
      <c r="J39" s="75">
        <f t="shared" si="0"/>
        <v>184.87400000000162</v>
      </c>
      <c r="K39" s="76">
        <f t="shared" si="1"/>
        <v>0.024241548170475597</v>
      </c>
      <c r="L39" s="76">
        <f t="shared" si="3"/>
        <v>0.13577797494732613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511480.59330999997</v>
      </c>
      <c r="E40" s="104">
        <f>D16</f>
        <v>0.0052</v>
      </c>
      <c r="F40" s="105">
        <f>E40*D40</f>
        <v>2659.6990852119998</v>
      </c>
      <c r="G40" s="99">
        <f>D23*K24</f>
        <v>511480.59330999997</v>
      </c>
      <c r="H40" s="100">
        <f>E16</f>
        <v>0.0052</v>
      </c>
      <c r="I40" s="105">
        <f>G40*H40</f>
        <v>2659.6990852119998</v>
      </c>
      <c r="J40" s="106">
        <f t="shared" si="0"/>
        <v>0</v>
      </c>
      <c r="K40" s="65">
        <f t="shared" si="1"/>
        <v>0</v>
      </c>
      <c r="L40" s="65">
        <f t="shared" si="3"/>
        <v>0.04623213573738428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511480.59330999997</v>
      </c>
      <c r="E41" s="107">
        <f>D17</f>
        <v>0.0013</v>
      </c>
      <c r="F41" s="108">
        <f>E41*D41</f>
        <v>664.9247713029999</v>
      </c>
      <c r="G41" s="101">
        <f>D23*K24</f>
        <v>511480.59330999997</v>
      </c>
      <c r="H41" s="102">
        <f>E17</f>
        <v>0.0013</v>
      </c>
      <c r="I41" s="108">
        <f>G41*H41</f>
        <v>664.9247713029999</v>
      </c>
      <c r="J41" s="86">
        <f t="shared" si="0"/>
        <v>0</v>
      </c>
      <c r="K41" s="65">
        <f t="shared" si="1"/>
        <v>0</v>
      </c>
      <c r="L41" s="65">
        <f t="shared" si="3"/>
        <v>0.01155803393434607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3"/>
        <v>4.345617140904795E-06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3324.8738565149997</v>
      </c>
      <c r="G43" s="74"/>
      <c r="H43" s="74"/>
      <c r="I43" s="75">
        <f>SUM(I40:I42)</f>
        <v>3324.8738565149997</v>
      </c>
      <c r="J43" s="75"/>
      <c r="K43" s="76"/>
      <c r="L43" s="76">
        <f t="shared" si="3"/>
        <v>0.05779451528887125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494231.9</v>
      </c>
      <c r="E44" s="115">
        <f>D19</f>
        <v>0.007</v>
      </c>
      <c r="F44" s="116">
        <f>D44*E44</f>
        <v>3459.6233</v>
      </c>
      <c r="G44" s="117">
        <f>D23</f>
        <v>494231.9</v>
      </c>
      <c r="H44" s="118">
        <f>E19</f>
        <v>0.007</v>
      </c>
      <c r="I44" s="116">
        <f>G44*H44</f>
        <v>3459.6233</v>
      </c>
      <c r="J44" s="75">
        <f>I44-F44</f>
        <v>0</v>
      </c>
      <c r="K44" s="76">
        <f>IF(ISERROR(J44/F44),0,J44/F44)</f>
        <v>0</v>
      </c>
      <c r="L44" s="76">
        <f t="shared" si="3"/>
        <v>0.060136793254214456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50725.947381524995</v>
      </c>
      <c r="G45" s="120"/>
      <c r="H45" s="120"/>
      <c r="I45" s="121">
        <f>SUM(I44,I43,I39,I29)</f>
        <v>50910.82138152499</v>
      </c>
      <c r="J45" s="121">
        <f>I45-F45</f>
        <v>184.87399999999616</v>
      </c>
      <c r="K45" s="122">
        <f>IF(ISERROR(J45/F45),0,J45/F45)</f>
        <v>0.003644564755183449</v>
      </c>
      <c r="L45" s="122">
        <f t="shared" si="3"/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6594.37315959825</v>
      </c>
      <c r="G46" s="124"/>
      <c r="H46" s="125">
        <v>0.13</v>
      </c>
      <c r="I46" s="127">
        <f>I45*H46</f>
        <v>6618.406779598249</v>
      </c>
      <c r="J46" s="126">
        <f>I46-F46</f>
        <v>24.033619999999246</v>
      </c>
      <c r="K46" s="128">
        <f>IF(ISERROR(J46/F46),0,J46/F46)</f>
        <v>0.00364456475518341</v>
      </c>
      <c r="L46" s="128">
        <f t="shared" si="3"/>
        <v>0.11504424778761063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57320.32054112325</v>
      </c>
      <c r="G47" s="129"/>
      <c r="H47" s="129"/>
      <c r="I47" s="121">
        <f>SUM(I45:I46)</f>
        <v>57529.22816112324</v>
      </c>
      <c r="J47" s="121">
        <f>I47-F47</f>
        <v>208.90761999999086</v>
      </c>
      <c r="K47" s="122">
        <f>IF(ISERROR(J47/F47),0,J47/F47)</f>
        <v>0.003644564755183365</v>
      </c>
      <c r="L47" s="122">
        <f t="shared" si="3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-5732.032054112326</v>
      </c>
      <c r="G48" s="131"/>
      <c r="H48" s="132">
        <v>-0.1</v>
      </c>
      <c r="I48" s="134">
        <f>H48*I47</f>
        <v>-5752.922816112325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51588.28848701093</v>
      </c>
      <c r="G49" s="129"/>
      <c r="H49" s="129"/>
      <c r="I49" s="137">
        <f>SUM(I47:I48)</f>
        <v>51776.305345010915</v>
      </c>
      <c r="J49" s="138">
        <f>I49-F49</f>
        <v>188.01685799998813</v>
      </c>
      <c r="K49" s="139">
        <f>IF(ISERROR(J49/F49),0,J49/F49)</f>
        <v>0.0036445647551832942</v>
      </c>
      <c r="L49" s="139"/>
      <c r="X49" s="2" t="s">
        <v>183</v>
      </c>
      <c r="AA49" s="2" t="s">
        <v>179</v>
      </c>
    </row>
    <row r="50" spans="24:27" ht="4.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36.75" hidden="1" thickBot="1">
      <c r="C55" s="53" t="str">
        <f>C5</f>
        <v>General Service 700 to 4,999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4" ref="J56:J71">I56-F56</f>
        <v>0</v>
      </c>
      <c r="K56" s="65">
        <f aca="true" t="shared" si="5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4"/>
        <v>0</v>
      </c>
      <c r="K57" s="65">
        <f t="shared" si="5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4"/>
        <v>0</v>
      </c>
      <c r="K58" s="76">
        <f t="shared" si="5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1227.95</v>
      </c>
      <c r="F59" s="80">
        <f>D59*E59</f>
        <v>1227.95</v>
      </c>
      <c r="G59" s="78">
        <v>1</v>
      </c>
      <c r="H59" s="79">
        <f>E8</f>
        <v>1164.89</v>
      </c>
      <c r="I59" s="80">
        <f>G59*H59</f>
        <v>1164.89</v>
      </c>
      <c r="J59" s="81">
        <f t="shared" si="4"/>
        <v>-63.059999999999945</v>
      </c>
      <c r="K59" s="65">
        <f t="shared" si="5"/>
        <v>-0.0513538824870719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2.33</v>
      </c>
      <c r="F60" s="85">
        <f>E60*D60</f>
        <v>2.33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4"/>
        <v>#REF!</v>
      </c>
      <c r="K60" s="65">
        <f t="shared" si="5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3.5321</v>
      </c>
      <c r="F61" s="85">
        <f>E61*D61</f>
        <v>0</v>
      </c>
      <c r="G61" s="88">
        <f>F52</f>
        <v>0</v>
      </c>
      <c r="H61" s="89">
        <f>E11</f>
        <v>3.3507</v>
      </c>
      <c r="I61" s="85">
        <f>H61*G61</f>
        <v>0</v>
      </c>
      <c r="J61" s="86">
        <f t="shared" si="4"/>
        <v>0</v>
      </c>
      <c r="K61" s="65">
        <f t="shared" si="5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4"/>
        <v>0</v>
      </c>
      <c r="K62" s="65">
        <f t="shared" si="5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-0.4118</v>
      </c>
      <c r="F63" s="93">
        <f>E63*D63</f>
        <v>0</v>
      </c>
      <c r="G63" s="91">
        <f>F52</f>
        <v>0</v>
      </c>
      <c r="H63" s="92">
        <f>SUM(E12)</f>
        <v>-0.4851000000000001</v>
      </c>
      <c r="I63" s="93">
        <f>H63*G63</f>
        <v>0</v>
      </c>
      <c r="J63" s="86">
        <f t="shared" si="4"/>
        <v>0</v>
      </c>
      <c r="K63" s="65">
        <f t="shared" si="5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1230.28</v>
      </c>
      <c r="G64" s="95"/>
      <c r="H64" s="96"/>
      <c r="I64" s="97" t="e">
        <f>SUM(I59:I63)</f>
        <v>#REF!</v>
      </c>
      <c r="J64" s="97" t="e">
        <f t="shared" si="4"/>
        <v>#REF!</v>
      </c>
      <c r="K64" s="98">
        <f t="shared" si="5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2.9218</v>
      </c>
      <c r="I65" s="86">
        <f>H65*G65</f>
        <v>0</v>
      </c>
      <c r="J65" s="81" t="e">
        <f t="shared" si="4"/>
        <v>#REF!</v>
      </c>
      <c r="K65" s="65">
        <f t="shared" si="5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1.9679</v>
      </c>
      <c r="I66" s="103">
        <f>H66*G66</f>
        <v>0</v>
      </c>
      <c r="J66" s="86" t="e">
        <f t="shared" si="4"/>
        <v>#REF!</v>
      </c>
      <c r="K66" s="65">
        <f t="shared" si="5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4"/>
        <v>#REF!</v>
      </c>
      <c r="K67" s="98">
        <f t="shared" si="5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4"/>
        <v>#REF!</v>
      </c>
      <c r="K68" s="76">
        <f t="shared" si="5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4"/>
        <v>#REF!</v>
      </c>
      <c r="K69" s="65">
        <f t="shared" si="5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4"/>
        <v>#REF!</v>
      </c>
      <c r="K70" s="65">
        <f t="shared" si="5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4"/>
        <v>#REF!</v>
      </c>
      <c r="K71" s="65">
        <f t="shared" si="5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">
      <selection activeCell="I27" sqref="I27"/>
    </sheetView>
  </sheetViews>
  <sheetFormatPr defaultColWidth="9.140625" defaultRowHeight="15"/>
  <cols>
    <col min="1" max="1" width="34.28125" style="2" hidden="1" customWidth="1"/>
    <col min="2" max="2" width="0.85546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49" t="s">
        <v>139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1227.95</v>
      </c>
      <c r="E8" s="12">
        <v>1164.89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3.5321</v>
      </c>
      <c r="E11" s="23">
        <v>3.3507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-0.4118</v>
      </c>
      <c r="E12" s="24">
        <v>-0.4851000000000001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2.5397</v>
      </c>
      <c r="E14" s="24">
        <v>2.9218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1.8033</v>
      </c>
      <c r="E15" s="24">
        <v>1.9679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3.7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1226400</v>
      </c>
      <c r="E23" s="39" t="s">
        <v>57</v>
      </c>
      <c r="F23" s="141">
        <v>2100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0.8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36.75" thickBot="1">
      <c r="C26" s="53" t="str">
        <f>C5</f>
        <v>General Service 700 to 4,999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1269201.3599999999</v>
      </c>
      <c r="E27" s="62">
        <v>0.071</v>
      </c>
      <c r="F27" s="63">
        <f>E27*D27</f>
        <v>90113.29655999999</v>
      </c>
      <c r="G27" s="64">
        <f>$D$23*$K$24</f>
        <v>1269201.3599999999</v>
      </c>
      <c r="H27" s="62">
        <v>0.071</v>
      </c>
      <c r="I27" s="63">
        <f>H27*G27</f>
        <v>90113.29655999999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0.6410514142408426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90113.29655999999</v>
      </c>
      <c r="G29" s="74"/>
      <c r="H29" s="74"/>
      <c r="I29" s="75">
        <f>SUM(I27:I28)</f>
        <v>90113.29655999999</v>
      </c>
      <c r="J29" s="75">
        <f t="shared" si="0"/>
        <v>0</v>
      </c>
      <c r="K29" s="76">
        <f t="shared" si="1"/>
        <v>0</v>
      </c>
      <c r="L29" s="76">
        <f t="shared" si="2"/>
        <v>0.6410514142408426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1227.95</v>
      </c>
      <c r="F30" s="80">
        <f>D30*E30</f>
        <v>1227.95</v>
      </c>
      <c r="G30" s="78">
        <v>1</v>
      </c>
      <c r="H30" s="79">
        <f>E8</f>
        <v>1164.89</v>
      </c>
      <c r="I30" s="80">
        <f>G30*H30</f>
        <v>1164.89</v>
      </c>
      <c r="J30" s="81">
        <f t="shared" si="0"/>
        <v>-63.059999999999945</v>
      </c>
      <c r="K30" s="65">
        <f t="shared" si="1"/>
        <v>-0.0513538824870719</v>
      </c>
      <c r="L30" s="65">
        <f t="shared" si="2"/>
        <v>0.008286839017567235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 t="shared" si="2"/>
        <v>1.4227676463129108E-07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2100</v>
      </c>
      <c r="E32" s="89">
        <f>$D$11</f>
        <v>3.5321</v>
      </c>
      <c r="F32" s="85">
        <f>E32*D32</f>
        <v>7417.41</v>
      </c>
      <c r="G32" s="88">
        <f>F23</f>
        <v>2100</v>
      </c>
      <c r="H32" s="89">
        <f>E11</f>
        <v>3.3507</v>
      </c>
      <c r="I32" s="85">
        <f>H32*G32</f>
        <v>7036.469999999999</v>
      </c>
      <c r="J32" s="86">
        <f t="shared" si="0"/>
        <v>-380.9400000000005</v>
      </c>
      <c r="K32" s="65">
        <f t="shared" si="1"/>
        <v>-0.0513575493332579</v>
      </c>
      <c r="L32" s="65">
        <f t="shared" si="2"/>
        <v>0.05005630930125703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2100</v>
      </c>
      <c r="E33" s="92">
        <f>$D$13</f>
        <v>0</v>
      </c>
      <c r="F33" s="85">
        <f>E33*D33</f>
        <v>0</v>
      </c>
      <c r="G33" s="91">
        <f>F23</f>
        <v>2100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2100</v>
      </c>
      <c r="E34" s="68">
        <f>$D$12</f>
        <v>-0.4118</v>
      </c>
      <c r="F34" s="93">
        <f>E34*D34</f>
        <v>-864.78</v>
      </c>
      <c r="G34" s="91">
        <f>F23</f>
        <v>2100</v>
      </c>
      <c r="H34" s="92">
        <f>SUM(E12)</f>
        <v>-0.4851000000000001</v>
      </c>
      <c r="I34" s="93">
        <f>H34*G34</f>
        <v>-1018.7100000000002</v>
      </c>
      <c r="J34" s="86">
        <f t="shared" si="0"/>
        <v>-153.93000000000018</v>
      </c>
      <c r="K34" s="65">
        <f t="shared" si="1"/>
        <v>0.17799902865468695</v>
      </c>
      <c r="L34" s="65">
        <f t="shared" si="2"/>
        <v>-0.007246938144877128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7782.910000000001</v>
      </c>
      <c r="G35" s="95"/>
      <c r="H35" s="96"/>
      <c r="I35" s="97">
        <f>SUM(I30:I34)</f>
        <v>7182.669999999999</v>
      </c>
      <c r="J35" s="97">
        <f t="shared" si="0"/>
        <v>-600.2400000000016</v>
      </c>
      <c r="K35" s="98">
        <f t="shared" si="1"/>
        <v>-0.0771228242392629</v>
      </c>
      <c r="L35" s="98">
        <f aca="true" t="shared" si="3" ref="L35:L47">I35/$I$47</f>
        <v>0.05109635245071177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2100</v>
      </c>
      <c r="E36" s="100">
        <f>D14</f>
        <v>2.5397</v>
      </c>
      <c r="F36" s="86">
        <f>E36*D36</f>
        <v>5333.37</v>
      </c>
      <c r="G36" s="109">
        <f>F23</f>
        <v>2100</v>
      </c>
      <c r="H36" s="100">
        <f>E14</f>
        <v>2.9218</v>
      </c>
      <c r="I36" s="86">
        <f>H36*G36</f>
        <v>6135.780000000001</v>
      </c>
      <c r="J36" s="81">
        <f t="shared" si="0"/>
        <v>802.4100000000008</v>
      </c>
      <c r="K36" s="65">
        <f t="shared" si="1"/>
        <v>0.15045084065047068</v>
      </c>
      <c r="L36" s="65">
        <f t="shared" si="3"/>
        <v>0.04364894634446916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2100</v>
      </c>
      <c r="E37" s="102">
        <f>D15</f>
        <v>1.8033</v>
      </c>
      <c r="F37" s="103">
        <f>E37*D37</f>
        <v>3786.93</v>
      </c>
      <c r="G37" s="88">
        <f>F23</f>
        <v>2100</v>
      </c>
      <c r="H37" s="102">
        <f>E15</f>
        <v>1.9679</v>
      </c>
      <c r="I37" s="103">
        <f>H37*G37</f>
        <v>4132.59</v>
      </c>
      <c r="J37" s="86">
        <f t="shared" si="0"/>
        <v>345.6600000000003</v>
      </c>
      <c r="K37" s="65">
        <f t="shared" si="1"/>
        <v>0.09127710308878176</v>
      </c>
      <c r="L37" s="65">
        <f t="shared" si="3"/>
        <v>0.029398576737381363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9120.3</v>
      </c>
      <c r="G38" s="96"/>
      <c r="H38" s="96"/>
      <c r="I38" s="97">
        <f>SUM(I36:I37)</f>
        <v>10268.37</v>
      </c>
      <c r="J38" s="97">
        <f t="shared" si="0"/>
        <v>1148.0700000000015</v>
      </c>
      <c r="K38" s="98">
        <f t="shared" si="1"/>
        <v>0.12588072760764465</v>
      </c>
      <c r="L38" s="98">
        <f t="shared" si="3"/>
        <v>0.07304752308185053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16903.21</v>
      </c>
      <c r="G39" s="74"/>
      <c r="H39" s="74"/>
      <c r="I39" s="75">
        <f>SUM(I38,I35)</f>
        <v>17451.04</v>
      </c>
      <c r="J39" s="75">
        <f t="shared" si="0"/>
        <v>547.8300000000017</v>
      </c>
      <c r="K39" s="76">
        <f t="shared" si="1"/>
        <v>0.032409820383229086</v>
      </c>
      <c r="L39" s="76">
        <f t="shared" si="3"/>
        <v>0.1241438755325623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1269201.3599999999</v>
      </c>
      <c r="E40" s="104">
        <f>D16</f>
        <v>0.0052</v>
      </c>
      <c r="F40" s="105">
        <f>E40*D40</f>
        <v>6599.847071999999</v>
      </c>
      <c r="G40" s="99">
        <f>D23*K24</f>
        <v>1269201.3599999999</v>
      </c>
      <c r="H40" s="100">
        <f>E16</f>
        <v>0.0052</v>
      </c>
      <c r="I40" s="105">
        <f>G40*H40</f>
        <v>6599.847071999999</v>
      </c>
      <c r="J40" s="106">
        <f t="shared" si="0"/>
        <v>0</v>
      </c>
      <c r="K40" s="65">
        <f t="shared" si="1"/>
        <v>0</v>
      </c>
      <c r="L40" s="65">
        <f t="shared" si="3"/>
        <v>0.046950244423272974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1269201.3599999999</v>
      </c>
      <c r="E41" s="107">
        <f>D17</f>
        <v>0.0013</v>
      </c>
      <c r="F41" s="108">
        <f>E41*D41</f>
        <v>1649.9617679999997</v>
      </c>
      <c r="G41" s="101">
        <f>D23*K24</f>
        <v>1269201.3599999999</v>
      </c>
      <c r="H41" s="102">
        <f>E17</f>
        <v>0.0013</v>
      </c>
      <c r="I41" s="108">
        <f>G41*H41</f>
        <v>1649.9617679999997</v>
      </c>
      <c r="J41" s="86">
        <f t="shared" si="0"/>
        <v>0</v>
      </c>
      <c r="K41" s="65">
        <f t="shared" si="1"/>
        <v>0</v>
      </c>
      <c r="L41" s="65">
        <f t="shared" si="3"/>
        <v>0.011737561105818244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3"/>
        <v>1.7784595578911385E-06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8250.058839999998</v>
      </c>
      <c r="G43" s="74"/>
      <c r="H43" s="74"/>
      <c r="I43" s="75">
        <f>SUM(I40:I42)</f>
        <v>8250.058839999998</v>
      </c>
      <c r="J43" s="75"/>
      <c r="K43" s="76"/>
      <c r="L43" s="76">
        <f t="shared" si="3"/>
        <v>0.058689583988649104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1226400</v>
      </c>
      <c r="E44" s="115">
        <f>D19</f>
        <v>0.007</v>
      </c>
      <c r="F44" s="116">
        <f>D44*E44</f>
        <v>8584.8</v>
      </c>
      <c r="G44" s="117">
        <f>D23</f>
        <v>1226400</v>
      </c>
      <c r="H44" s="118">
        <f>E19</f>
        <v>0.007</v>
      </c>
      <c r="I44" s="116">
        <f>G44*H44</f>
        <v>8584.8</v>
      </c>
      <c r="J44" s="75">
        <f>I44-F44</f>
        <v>0</v>
      </c>
      <c r="K44" s="76">
        <f>IF(ISERROR(J44/F44),0,J44/F44)</f>
        <v>0</v>
      </c>
      <c r="L44" s="76">
        <f t="shared" si="3"/>
        <v>0.06107087845033538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123851.36539999998</v>
      </c>
      <c r="G45" s="120"/>
      <c r="H45" s="120"/>
      <c r="I45" s="121">
        <f>SUM(I44,I43,I39,I29)</f>
        <v>124399.19539999998</v>
      </c>
      <c r="J45" s="121">
        <f>I45-F45</f>
        <v>547.8300000000017</v>
      </c>
      <c r="K45" s="122">
        <f>IF(ISERROR(J45/F45),0,J45/F45)</f>
        <v>0.00442328591397186</v>
      </c>
      <c r="L45" s="122">
        <f t="shared" si="3"/>
        <v>0.8849557522123893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16100.677501999999</v>
      </c>
      <c r="G46" s="124"/>
      <c r="H46" s="125">
        <v>0.13</v>
      </c>
      <c r="I46" s="127">
        <f>I45*H46</f>
        <v>16171.895401999998</v>
      </c>
      <c r="J46" s="126">
        <f>I46-F46</f>
        <v>71.21789999999964</v>
      </c>
      <c r="K46" s="128">
        <f>IF(ISERROR(J46/F46),0,J46/F46)</f>
        <v>0.0044232859139718235</v>
      </c>
      <c r="L46" s="128">
        <f t="shared" si="3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139952.042902</v>
      </c>
      <c r="G47" s="129"/>
      <c r="H47" s="129"/>
      <c r="I47" s="121">
        <f>SUM(I45:I46)</f>
        <v>140571.090802</v>
      </c>
      <c r="J47" s="121">
        <f>I47-F47</f>
        <v>619.047900000005</v>
      </c>
      <c r="K47" s="122">
        <f>IF(ISERROR(J47/F47),0,J47/F47)</f>
        <v>0.004423285913971882</v>
      </c>
      <c r="L47" s="122">
        <f t="shared" si="3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-13995.2042902</v>
      </c>
      <c r="G48" s="131"/>
      <c r="H48" s="132">
        <v>-0.1</v>
      </c>
      <c r="I48" s="134">
        <f>H48*I47</f>
        <v>-14057.1090802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125956.83861179999</v>
      </c>
      <c r="G49" s="129"/>
      <c r="H49" s="129"/>
      <c r="I49" s="137">
        <f>SUM(I47:I48)</f>
        <v>126513.9817218</v>
      </c>
      <c r="J49" s="138">
        <f>I49-F49</f>
        <v>557.1431100000045</v>
      </c>
      <c r="K49" s="139">
        <f>IF(ISERROR(J49/F49),0,J49/F49)</f>
        <v>0.004423285913971882</v>
      </c>
      <c r="L49" s="139"/>
      <c r="X49" s="2" t="s">
        <v>183</v>
      </c>
      <c r="AA49" s="2" t="s">
        <v>179</v>
      </c>
    </row>
    <row r="50" spans="24:27" ht="4.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36.75" hidden="1" thickBot="1">
      <c r="C55" s="53" t="str">
        <f>C5</f>
        <v>General Service 700 to 4,999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4" ref="J56:J71">I56-F56</f>
        <v>0</v>
      </c>
      <c r="K56" s="65">
        <f aca="true" t="shared" si="5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4"/>
        <v>0</v>
      </c>
      <c r="K57" s="65">
        <f t="shared" si="5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4"/>
        <v>0</v>
      </c>
      <c r="K58" s="76">
        <f t="shared" si="5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1227.95</v>
      </c>
      <c r="F59" s="80">
        <f>D59*E59</f>
        <v>1227.95</v>
      </c>
      <c r="G59" s="78">
        <v>1</v>
      </c>
      <c r="H59" s="79">
        <f>E8</f>
        <v>1164.89</v>
      </c>
      <c r="I59" s="80">
        <f>G59*H59</f>
        <v>1164.89</v>
      </c>
      <c r="J59" s="81">
        <f t="shared" si="4"/>
        <v>-63.059999999999945</v>
      </c>
      <c r="K59" s="65">
        <f t="shared" si="5"/>
        <v>-0.0513538824870719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2.33</v>
      </c>
      <c r="F60" s="85">
        <f>E60*D60</f>
        <v>2.33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4"/>
        <v>#REF!</v>
      </c>
      <c r="K60" s="65">
        <f t="shared" si="5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3.5321</v>
      </c>
      <c r="F61" s="85">
        <f>E61*D61</f>
        <v>0</v>
      </c>
      <c r="G61" s="88">
        <f>F52</f>
        <v>0</v>
      </c>
      <c r="H61" s="89">
        <f>E11</f>
        <v>3.3507</v>
      </c>
      <c r="I61" s="85">
        <f>H61*G61</f>
        <v>0</v>
      </c>
      <c r="J61" s="86">
        <f t="shared" si="4"/>
        <v>0</v>
      </c>
      <c r="K61" s="65">
        <f t="shared" si="5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4"/>
        <v>0</v>
      </c>
      <c r="K62" s="65">
        <f t="shared" si="5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-0.4118</v>
      </c>
      <c r="F63" s="93">
        <f>E63*D63</f>
        <v>0</v>
      </c>
      <c r="G63" s="91">
        <f>F52</f>
        <v>0</v>
      </c>
      <c r="H63" s="92">
        <f>SUM(E12)</f>
        <v>-0.4851000000000001</v>
      </c>
      <c r="I63" s="93">
        <f>H63*G63</f>
        <v>0</v>
      </c>
      <c r="J63" s="86">
        <f t="shared" si="4"/>
        <v>0</v>
      </c>
      <c r="K63" s="65">
        <f t="shared" si="5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1230.28</v>
      </c>
      <c r="G64" s="95"/>
      <c r="H64" s="96"/>
      <c r="I64" s="97" t="e">
        <f>SUM(I59:I63)</f>
        <v>#REF!</v>
      </c>
      <c r="J64" s="97" t="e">
        <f t="shared" si="4"/>
        <v>#REF!</v>
      </c>
      <c r="K64" s="98">
        <f t="shared" si="5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2.9218</v>
      </c>
      <c r="I65" s="86">
        <f>H65*G65</f>
        <v>0</v>
      </c>
      <c r="J65" s="81" t="e">
        <f t="shared" si="4"/>
        <v>#REF!</v>
      </c>
      <c r="K65" s="65">
        <f t="shared" si="5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1.9679</v>
      </c>
      <c r="I66" s="103">
        <f>H66*G66</f>
        <v>0</v>
      </c>
      <c r="J66" s="86" t="e">
        <f t="shared" si="4"/>
        <v>#REF!</v>
      </c>
      <c r="K66" s="65">
        <f t="shared" si="5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4"/>
        <v>#REF!</v>
      </c>
      <c r="K67" s="98">
        <f t="shared" si="5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4"/>
        <v>#REF!</v>
      </c>
      <c r="K68" s="76">
        <f t="shared" si="5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4"/>
        <v>#REF!</v>
      </c>
      <c r="K69" s="65">
        <f t="shared" si="5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4"/>
        <v>#REF!</v>
      </c>
      <c r="K70" s="65">
        <f t="shared" si="5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4"/>
        <v>#REF!</v>
      </c>
      <c r="K71" s="65">
        <f t="shared" si="5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B10">
      <selection activeCell="O45" sqref="O45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5.851562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VLOOKUP(C5,$X$6:$AA$51,4,0)</f>
        <v>y</v>
      </c>
    </row>
    <row r="3" ht="18">
      <c r="C3" s="4" t="s">
        <v>0</v>
      </c>
    </row>
    <row r="5" spans="3:17" ht="18">
      <c r="C5" s="149" t="s">
        <v>171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4395.85</v>
      </c>
      <c r="E8" s="12">
        <v>4430.14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2.1293</v>
      </c>
      <c r="E11" s="23">
        <v>2.1459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-0.2956</v>
      </c>
      <c r="E12" s="24">
        <v>-0.5336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2.8744</v>
      </c>
      <c r="E14" s="24">
        <v>3.3069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2.0843</v>
      </c>
      <c r="E15" s="24">
        <v>2.2745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1.0045</v>
      </c>
      <c r="E20" s="28">
        <v>1.0045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23:29" ht="15.75" thickBot="1">
      <c r="W22" s="2" t="s">
        <v>146</v>
      </c>
      <c r="X22" s="2" t="s">
        <v>147</v>
      </c>
      <c r="Z22" s="2">
        <v>2500</v>
      </c>
      <c r="AA22" s="2" t="s">
        <v>90</v>
      </c>
      <c r="AB22" s="82">
        <v>0.6</v>
      </c>
      <c r="AC22" s="2" t="s">
        <v>91</v>
      </c>
    </row>
    <row r="23" spans="3:29" ht="19.5" thickBot="1">
      <c r="C23" s="37" t="s">
        <v>56</v>
      </c>
      <c r="D23" s="140">
        <f>730*F23*G24</f>
        <v>3066000</v>
      </c>
      <c r="E23" s="39" t="s">
        <v>57</v>
      </c>
      <c r="F23" s="141">
        <v>6000</v>
      </c>
      <c r="G23" s="41" t="s">
        <v>58</v>
      </c>
      <c r="I23" s="42" t="s">
        <v>59</v>
      </c>
      <c r="J23" s="43"/>
      <c r="K23" s="44">
        <f>D20</f>
        <v>1.0045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</v>
      </c>
      <c r="I24" s="48" t="s">
        <v>64</v>
      </c>
      <c r="J24" s="49"/>
      <c r="K24" s="50">
        <f>E20</f>
        <v>1.0045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Large Use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D23*K24</f>
        <v>3079797</v>
      </c>
      <c r="E27" s="62">
        <v>0.071</v>
      </c>
      <c r="F27" s="63">
        <f>E27*D27</f>
        <v>218665.58699999997</v>
      </c>
      <c r="G27" s="64">
        <f>D23*K24</f>
        <v>3079797</v>
      </c>
      <c r="H27" s="62">
        <v>0.071</v>
      </c>
      <c r="I27" s="63">
        <f>H27*G27</f>
        <v>218665.58699999997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0.6288102777217308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218665.58699999997</v>
      </c>
      <c r="G29" s="74"/>
      <c r="H29" s="74"/>
      <c r="I29" s="75">
        <f>SUM(I27:I28)</f>
        <v>218665.58699999997</v>
      </c>
      <c r="J29" s="75">
        <f t="shared" si="0"/>
        <v>0</v>
      </c>
      <c r="K29" s="76">
        <f t="shared" si="1"/>
        <v>0</v>
      </c>
      <c r="L29" s="76">
        <f t="shared" si="2"/>
        <v>0.6288102777217308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4395.85</v>
      </c>
      <c r="F30" s="80">
        <f>D30*E30</f>
        <v>4395.85</v>
      </c>
      <c r="G30" s="78">
        <v>1</v>
      </c>
      <c r="H30" s="79">
        <f>E8</f>
        <v>4430.14</v>
      </c>
      <c r="I30" s="80">
        <f>G30*H30</f>
        <v>4430.14</v>
      </c>
      <c r="J30" s="81">
        <f t="shared" si="0"/>
        <v>34.289999999999964</v>
      </c>
      <c r="K30" s="65">
        <f t="shared" si="1"/>
        <v>0.007800539144875271</v>
      </c>
      <c r="L30" s="65">
        <f t="shared" si="2"/>
        <v>0.012739624931224998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 t="shared" si="2"/>
        <v>5.751341912998234E-08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6000</v>
      </c>
      <c r="E32" s="89">
        <f>$D$11</f>
        <v>2.1293</v>
      </c>
      <c r="F32" s="85">
        <f>E32*D32</f>
        <v>12775.800000000001</v>
      </c>
      <c r="G32" s="88">
        <f>F23</f>
        <v>6000</v>
      </c>
      <c r="H32" s="89">
        <f>E11</f>
        <v>2.1459</v>
      </c>
      <c r="I32" s="85">
        <f>H32*G32</f>
        <v>12875.400000000001</v>
      </c>
      <c r="J32" s="86">
        <f t="shared" si="0"/>
        <v>99.60000000000036</v>
      </c>
      <c r="K32" s="65">
        <f t="shared" si="1"/>
        <v>0.0077959892922556985</v>
      </c>
      <c r="L32" s="65">
        <f t="shared" si="2"/>
        <v>0.037025413833308735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6000</v>
      </c>
      <c r="E33" s="92">
        <f>$D$13</f>
        <v>0</v>
      </c>
      <c r="F33" s="85">
        <f>E33*D33</f>
        <v>0</v>
      </c>
      <c r="G33" s="91">
        <f>F23</f>
        <v>6000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6000</v>
      </c>
      <c r="E34" s="68">
        <f>$D$12</f>
        <v>-0.2956</v>
      </c>
      <c r="F34" s="93">
        <f>E34*D34</f>
        <v>-1773.6</v>
      </c>
      <c r="G34" s="91">
        <f>F23</f>
        <v>6000</v>
      </c>
      <c r="H34" s="92">
        <f>SUM(E12)</f>
        <v>-0.5336</v>
      </c>
      <c r="I34" s="93">
        <f>H34*G34</f>
        <v>-3201.6</v>
      </c>
      <c r="J34" s="86">
        <f t="shared" si="0"/>
        <v>-1428</v>
      </c>
      <c r="K34" s="65">
        <f t="shared" si="1"/>
        <v>0.8051420838971584</v>
      </c>
      <c r="L34" s="65">
        <f t="shared" si="2"/>
        <v>-0.009206748134327572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15400.380000000003</v>
      </c>
      <c r="G35" s="95"/>
      <c r="H35" s="96"/>
      <c r="I35" s="97">
        <f>SUM(I30:I34)</f>
        <v>14103.960000000001</v>
      </c>
      <c r="J35" s="97">
        <f t="shared" si="0"/>
        <v>-1296.420000000002</v>
      </c>
      <c r="K35" s="98">
        <f t="shared" si="1"/>
        <v>-0.08418103968863117</v>
      </c>
      <c r="L35" s="98">
        <f aca="true" t="shared" si="3" ref="L35:L40">I35/$I$47</f>
        <v>0.040558348143625286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88">
        <f>F23</f>
        <v>6000</v>
      </c>
      <c r="E36" s="100">
        <f>D14</f>
        <v>2.8744</v>
      </c>
      <c r="F36" s="86">
        <f>E36*D36</f>
        <v>17246.4</v>
      </c>
      <c r="G36" s="88">
        <f>F23</f>
        <v>6000</v>
      </c>
      <c r="H36" s="100">
        <f>E14</f>
        <v>3.3069</v>
      </c>
      <c r="I36" s="86">
        <f>H36*G36</f>
        <v>19841.4</v>
      </c>
      <c r="J36" s="81">
        <f t="shared" si="0"/>
        <v>2595</v>
      </c>
      <c r="K36" s="65">
        <f t="shared" si="1"/>
        <v>0.15046618424714722</v>
      </c>
      <c r="L36" s="65">
        <f t="shared" si="3"/>
        <v>0.05705733771628158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91">
        <f>F23</f>
        <v>6000</v>
      </c>
      <c r="E37" s="102">
        <f>D15</f>
        <v>2.0843</v>
      </c>
      <c r="F37" s="103">
        <f>E37*D37</f>
        <v>12505.8</v>
      </c>
      <c r="G37" s="91">
        <f>F23</f>
        <v>6000</v>
      </c>
      <c r="H37" s="102">
        <f>E15</f>
        <v>2.2745</v>
      </c>
      <c r="I37" s="103">
        <f>H37*G37</f>
        <v>13647.000000000002</v>
      </c>
      <c r="J37" s="86">
        <f t="shared" si="0"/>
        <v>1141.2000000000025</v>
      </c>
      <c r="K37" s="65">
        <f t="shared" si="1"/>
        <v>0.09125365830254782</v>
      </c>
      <c r="L37" s="65">
        <f t="shared" si="3"/>
        <v>0.03924428154334345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29752.2</v>
      </c>
      <c r="G38" s="96"/>
      <c r="H38" s="96"/>
      <c r="I38" s="97">
        <f>SUM(I36:I37)</f>
        <v>33488.4</v>
      </c>
      <c r="J38" s="97">
        <f t="shared" si="0"/>
        <v>3736.2000000000007</v>
      </c>
      <c r="K38" s="98">
        <f t="shared" si="1"/>
        <v>0.1255772682356263</v>
      </c>
      <c r="L38" s="98">
        <f t="shared" si="3"/>
        <v>0.09630161925962503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45152.58</v>
      </c>
      <c r="G39" s="74"/>
      <c r="H39" s="74"/>
      <c r="I39" s="75">
        <f>SUM(I38,I35)</f>
        <v>47592.36</v>
      </c>
      <c r="J39" s="75">
        <f t="shared" si="0"/>
        <v>2439.779999999999</v>
      </c>
      <c r="K39" s="76">
        <f t="shared" si="1"/>
        <v>0.05403412163823194</v>
      </c>
      <c r="L39" s="76">
        <f t="shared" si="3"/>
        <v>0.13685996740325032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3079797</v>
      </c>
      <c r="E40" s="104">
        <f>D16</f>
        <v>0.0052</v>
      </c>
      <c r="F40" s="105">
        <f>E40*D40</f>
        <v>16014.944399999998</v>
      </c>
      <c r="G40" s="99">
        <f>D23*K24</f>
        <v>3079797</v>
      </c>
      <c r="H40" s="100">
        <f>E16</f>
        <v>0.0052</v>
      </c>
      <c r="I40" s="105">
        <f>G40*H40</f>
        <v>16014.944399999998</v>
      </c>
      <c r="J40" s="106">
        <f t="shared" si="0"/>
        <v>0</v>
      </c>
      <c r="K40" s="65">
        <f t="shared" si="1"/>
        <v>0</v>
      </c>
      <c r="L40" s="65">
        <f t="shared" si="3"/>
        <v>0.04605371048102817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3079797</v>
      </c>
      <c r="E41" s="107">
        <f>D17</f>
        <v>0.0013</v>
      </c>
      <c r="F41" s="108">
        <f>E41*D41</f>
        <v>4003.7360999999996</v>
      </c>
      <c r="G41" s="101">
        <f>D23*K24</f>
        <v>3079797</v>
      </c>
      <c r="H41" s="102">
        <f>E17</f>
        <v>0.0013</v>
      </c>
      <c r="I41" s="108">
        <f>G41*H41</f>
        <v>4003.7360999999996</v>
      </c>
      <c r="J41" s="86">
        <f t="shared" si="0"/>
        <v>0</v>
      </c>
      <c r="K41" s="65">
        <f t="shared" si="1"/>
        <v>0</v>
      </c>
      <c r="L41" s="65">
        <f aca="true" t="shared" si="4" ref="L41:L47">I41/$I$47</f>
        <v>0.011513427620257043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4"/>
        <v>7.189177391247792E-07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20018.9305</v>
      </c>
      <c r="G43" s="74"/>
      <c r="H43" s="74"/>
      <c r="I43" s="75">
        <f>SUM(I40:I42)</f>
        <v>20018.9305</v>
      </c>
      <c r="J43" s="75"/>
      <c r="K43" s="76"/>
      <c r="L43" s="76">
        <f t="shared" si="4"/>
        <v>0.05756785701902434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3066000</v>
      </c>
      <c r="E44" s="115">
        <f>D19</f>
        <v>0.007</v>
      </c>
      <c r="F44" s="116">
        <f>D44*E44</f>
        <v>21462</v>
      </c>
      <c r="G44" s="117">
        <f>D23</f>
        <v>3066000</v>
      </c>
      <c r="H44" s="118">
        <f>E19</f>
        <v>0.007</v>
      </c>
      <c r="I44" s="116">
        <f>G44*H44</f>
        <v>21462</v>
      </c>
      <c r="J44" s="75">
        <f>I44-F44</f>
        <v>0</v>
      </c>
      <c r="K44" s="76">
        <f>IF(ISERROR(J44/F44),0,J44/F44)</f>
        <v>0</v>
      </c>
      <c r="L44" s="76">
        <f t="shared" si="4"/>
        <v>0.06171765006838405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305299.0975</v>
      </c>
      <c r="G45" s="120"/>
      <c r="H45" s="120"/>
      <c r="I45" s="121">
        <f>SUM(I44,I43,I39,I29)</f>
        <v>307738.87749999994</v>
      </c>
      <c r="J45" s="121">
        <f>I45-F45</f>
        <v>2439.7799999999697</v>
      </c>
      <c r="K45" s="122">
        <f>IF(ISERROR(J45/F45),0,J45/F45)</f>
        <v>0.00799144190067568</v>
      </c>
      <c r="L45" s="122">
        <f t="shared" si="4"/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39688.882675</v>
      </c>
      <c r="G46" s="124"/>
      <c r="H46" s="125">
        <v>0.13</v>
      </c>
      <c r="I46" s="127">
        <f>I45*H46</f>
        <v>40006.05407499999</v>
      </c>
      <c r="J46" s="126">
        <f>I46-F46</f>
        <v>317.171399999992</v>
      </c>
      <c r="K46" s="128">
        <f>IF(ISERROR(J46/F46),0,J46/F46)</f>
        <v>0.007991441900675578</v>
      </c>
      <c r="L46" s="128">
        <f t="shared" si="4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344987.980175</v>
      </c>
      <c r="G47" s="129"/>
      <c r="H47" s="129"/>
      <c r="I47" s="121">
        <f>SUM(I45:I46)</f>
        <v>347744.93157499994</v>
      </c>
      <c r="J47" s="121">
        <f>I47-F47</f>
        <v>2756.9513999999617</v>
      </c>
      <c r="K47" s="122">
        <f>IF(ISERROR(J47/F47),0,J47/F47)</f>
        <v>0.007991441900675668</v>
      </c>
      <c r="L47" s="122">
        <f t="shared" si="4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-34498.7980175</v>
      </c>
      <c r="G48" s="131"/>
      <c r="H48" s="132">
        <v>-0.1</v>
      </c>
      <c r="I48" s="134">
        <f>H48*I47</f>
        <v>-34774.493157499994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310489.18215749995</v>
      </c>
      <c r="G49" s="129"/>
      <c r="H49" s="129"/>
      <c r="I49" s="137">
        <f>SUM(I47:I48)</f>
        <v>312970.43841749994</v>
      </c>
      <c r="J49" s="138">
        <f>I49-F49</f>
        <v>2481.2562599999947</v>
      </c>
      <c r="K49" s="139">
        <f>IF(ISERROR(J49/F49),0,J49/F49)</f>
        <v>0.007991441900675763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</sheetData>
  <sheetProtection/>
  <mergeCells count="1">
    <mergeCell ref="C5:F5"/>
  </mergeCells>
  <dataValidations count="1">
    <dataValidation type="list" allowBlank="1" showInputMessage="1" showErrorMessage="1" sqref="C65479:F65479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B7">
      <selection activeCell="Q39" sqref="Q39"/>
    </sheetView>
  </sheetViews>
  <sheetFormatPr defaultColWidth="9.140625" defaultRowHeight="15"/>
  <cols>
    <col min="1" max="1" width="34.28125" style="2" hidden="1" customWidth="1"/>
    <col min="2" max="2" width="1.8515625" style="2" customWidth="1"/>
    <col min="3" max="3" width="42.7109375" style="2" customWidth="1"/>
    <col min="4" max="4" width="15.851562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0.99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VLOOKUP(C5,$X$6:$AA$51,4,0)</f>
        <v>y</v>
      </c>
    </row>
    <row r="3" ht="18">
      <c r="C3" s="4" t="s">
        <v>0</v>
      </c>
    </row>
    <row r="5" spans="3:17" ht="18">
      <c r="C5" s="149" t="s">
        <v>171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4395.85</v>
      </c>
      <c r="E8" s="12">
        <v>4430.14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2.1293</v>
      </c>
      <c r="E11" s="23">
        <v>2.1459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-0.2956</v>
      </c>
      <c r="E12" s="24">
        <v>-0.5336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2.8744</v>
      </c>
      <c r="E14" s="24">
        <v>3.3069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2.0843</v>
      </c>
      <c r="E15" s="24">
        <v>2.2745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1.0045</v>
      </c>
      <c r="E20" s="28">
        <v>1.0045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10220000</v>
      </c>
      <c r="E23" s="39" t="s">
        <v>57</v>
      </c>
      <c r="F23" s="141">
        <v>20000</v>
      </c>
      <c r="G23" s="41" t="s">
        <v>58</v>
      </c>
      <c r="I23" s="42" t="s">
        <v>59</v>
      </c>
      <c r="J23" s="43"/>
      <c r="K23" s="44">
        <f>D20</f>
        <v>1.0045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</v>
      </c>
      <c r="I24" s="48" t="s">
        <v>64</v>
      </c>
      <c r="J24" s="49"/>
      <c r="K24" s="50">
        <f>E20</f>
        <v>1.0045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Large Use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D23*K24</f>
        <v>10265990</v>
      </c>
      <c r="E27" s="62">
        <v>0.071</v>
      </c>
      <c r="F27" s="63">
        <f>E27*D27</f>
        <v>728885.2899999999</v>
      </c>
      <c r="G27" s="64">
        <f>D23*K24</f>
        <v>10265990</v>
      </c>
      <c r="H27" s="62">
        <v>0.071</v>
      </c>
      <c r="I27" s="63">
        <f>H27*G27</f>
        <v>728885.2899999999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0.6352117239009893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728885.2899999999</v>
      </c>
      <c r="G29" s="74"/>
      <c r="H29" s="74"/>
      <c r="I29" s="75">
        <f>SUM(I27:I28)</f>
        <v>728885.2899999999</v>
      </c>
      <c r="J29" s="75">
        <f t="shared" si="0"/>
        <v>0</v>
      </c>
      <c r="K29" s="76">
        <f t="shared" si="1"/>
        <v>0</v>
      </c>
      <c r="L29" s="76">
        <f t="shared" si="2"/>
        <v>0.6352117239009893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4395.85</v>
      </c>
      <c r="F30" s="80">
        <f>D30*E30</f>
        <v>4395.85</v>
      </c>
      <c r="G30" s="78">
        <v>1</v>
      </c>
      <c r="H30" s="79">
        <f>E8</f>
        <v>4430.14</v>
      </c>
      <c r="I30" s="80">
        <f>G30*H30</f>
        <v>4430.14</v>
      </c>
      <c r="J30" s="81">
        <f t="shared" si="0"/>
        <v>34.289999999999964</v>
      </c>
      <c r="K30" s="65">
        <f t="shared" si="1"/>
        <v>0.007800539144875271</v>
      </c>
      <c r="L30" s="65">
        <f t="shared" si="2"/>
        <v>0.0038607952515034697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 t="shared" si="2"/>
        <v>1.7429676044113592E-08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20000</v>
      </c>
      <c r="E32" s="89">
        <f>$D$11</f>
        <v>2.1293</v>
      </c>
      <c r="F32" s="85">
        <f>E32*D32</f>
        <v>42586.00000000001</v>
      </c>
      <c r="G32" s="88">
        <f>F23</f>
        <v>20000</v>
      </c>
      <c r="H32" s="89">
        <f>E11</f>
        <v>2.1459</v>
      </c>
      <c r="I32" s="85">
        <f>H32*G32</f>
        <v>42918</v>
      </c>
      <c r="J32" s="86">
        <f t="shared" si="0"/>
        <v>331.9999999999927</v>
      </c>
      <c r="K32" s="65">
        <f t="shared" si="1"/>
        <v>0.007795989292255499</v>
      </c>
      <c r="L32" s="65">
        <f t="shared" si="2"/>
        <v>0.03740234182306336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20000</v>
      </c>
      <c r="E33" s="92">
        <f>$D$13</f>
        <v>0</v>
      </c>
      <c r="F33" s="85">
        <f>E33*D33</f>
        <v>0</v>
      </c>
      <c r="G33" s="91">
        <f>F23</f>
        <v>20000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20000</v>
      </c>
      <c r="E34" s="68">
        <f>$D$12</f>
        <v>-0.2956</v>
      </c>
      <c r="F34" s="93">
        <f>E34*D34</f>
        <v>-5911.999999999999</v>
      </c>
      <c r="G34" s="91">
        <f>F23</f>
        <v>20000</v>
      </c>
      <c r="H34" s="92">
        <f>SUM(E12)</f>
        <v>-0.5336</v>
      </c>
      <c r="I34" s="93">
        <f>H34*G34</f>
        <v>-10672</v>
      </c>
      <c r="J34" s="86">
        <f t="shared" si="0"/>
        <v>-4760.000000000001</v>
      </c>
      <c r="K34" s="65">
        <f t="shared" si="1"/>
        <v>0.8051420838971586</v>
      </c>
      <c r="L34" s="65">
        <f t="shared" si="2"/>
        <v>-0.009300475137139013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41072.18000000001</v>
      </c>
      <c r="G35" s="95"/>
      <c r="H35" s="96"/>
      <c r="I35" s="97">
        <f>SUM(I30:I34)</f>
        <v>36676.16</v>
      </c>
      <c r="J35" s="97">
        <f t="shared" si="0"/>
        <v>-4396.020000000004</v>
      </c>
      <c r="K35" s="98">
        <f t="shared" si="1"/>
        <v>-0.10703157222236569</v>
      </c>
      <c r="L35" s="98">
        <f aca="true" t="shared" si="3" ref="L35:L40">I35/$I$47</f>
        <v>0.03196267936710386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88">
        <f>F23</f>
        <v>20000</v>
      </c>
      <c r="E36" s="100">
        <f>D14</f>
        <v>2.8744</v>
      </c>
      <c r="F36" s="86">
        <f>E36*D36</f>
        <v>57488</v>
      </c>
      <c r="G36" s="88">
        <f>F23</f>
        <v>20000</v>
      </c>
      <c r="H36" s="100">
        <f>E14</f>
        <v>3.3069</v>
      </c>
      <c r="I36" s="86">
        <f>H36*G36</f>
        <v>66138</v>
      </c>
      <c r="J36" s="81">
        <f t="shared" si="0"/>
        <v>8650</v>
      </c>
      <c r="K36" s="65">
        <f t="shared" si="1"/>
        <v>0.15046618424714722</v>
      </c>
      <c r="L36" s="65">
        <f t="shared" si="3"/>
        <v>0.057638195710279234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91">
        <f>F23</f>
        <v>20000</v>
      </c>
      <c r="E37" s="102">
        <f>D15</f>
        <v>2.0843</v>
      </c>
      <c r="F37" s="103">
        <f>E37*D37</f>
        <v>41686</v>
      </c>
      <c r="G37" s="91">
        <f>F23</f>
        <v>20000</v>
      </c>
      <c r="H37" s="102">
        <f>E15</f>
        <v>2.2745</v>
      </c>
      <c r="I37" s="103">
        <f>H37*G37</f>
        <v>45490.00000000001</v>
      </c>
      <c r="J37" s="86">
        <f t="shared" si="0"/>
        <v>3804.0000000000073</v>
      </c>
      <c r="K37" s="65">
        <f t="shared" si="1"/>
        <v>0.0912536583025478</v>
      </c>
      <c r="L37" s="65">
        <f t="shared" si="3"/>
        <v>0.039643798162336374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99174</v>
      </c>
      <c r="G38" s="96"/>
      <c r="H38" s="96"/>
      <c r="I38" s="97">
        <f>SUM(I36:I37)</f>
        <v>111628</v>
      </c>
      <c r="J38" s="97">
        <f t="shared" si="0"/>
        <v>12454</v>
      </c>
      <c r="K38" s="98">
        <f t="shared" si="1"/>
        <v>0.12557726823562626</v>
      </c>
      <c r="L38" s="98">
        <f t="shared" si="3"/>
        <v>0.0972819938726156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140246.18</v>
      </c>
      <c r="G39" s="74"/>
      <c r="H39" s="74"/>
      <c r="I39" s="75">
        <f>SUM(I38,I35)</f>
        <v>148304.16</v>
      </c>
      <c r="J39" s="75">
        <f t="shared" si="0"/>
        <v>8057.9800000000105</v>
      </c>
      <c r="K39" s="76">
        <f t="shared" si="1"/>
        <v>0.057455967784648475</v>
      </c>
      <c r="L39" s="76">
        <f t="shared" si="3"/>
        <v>0.12924467323971947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10265990</v>
      </c>
      <c r="E40" s="104">
        <f>D16</f>
        <v>0.0052</v>
      </c>
      <c r="F40" s="105">
        <f>E40*D40</f>
        <v>53383.148</v>
      </c>
      <c r="G40" s="99">
        <f>D23*K24</f>
        <v>10265990</v>
      </c>
      <c r="H40" s="100">
        <f>E16</f>
        <v>0.0052</v>
      </c>
      <c r="I40" s="105">
        <f>G40*H40</f>
        <v>53383.148</v>
      </c>
      <c r="J40" s="106">
        <f t="shared" si="0"/>
        <v>0</v>
      </c>
      <c r="K40" s="65">
        <f t="shared" si="1"/>
        <v>0</v>
      </c>
      <c r="L40" s="65">
        <f t="shared" si="3"/>
        <v>0.04652254879274852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10265990</v>
      </c>
      <c r="E41" s="107">
        <f>D17</f>
        <v>0.0013</v>
      </c>
      <c r="F41" s="108">
        <f>E41*D41</f>
        <v>13345.787</v>
      </c>
      <c r="G41" s="101">
        <f>D23*K24</f>
        <v>10265990</v>
      </c>
      <c r="H41" s="102">
        <f>E17</f>
        <v>0.0013</v>
      </c>
      <c r="I41" s="108">
        <f>G41*H41</f>
        <v>13345.787</v>
      </c>
      <c r="J41" s="86">
        <f t="shared" si="0"/>
        <v>0</v>
      </c>
      <c r="K41" s="65">
        <f t="shared" si="1"/>
        <v>0</v>
      </c>
      <c r="L41" s="65">
        <f aca="true" t="shared" si="4" ref="L41:L47">I41/$I$47</f>
        <v>0.01163063719818713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4"/>
        <v>2.178709505514199E-07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66729.185</v>
      </c>
      <c r="G43" s="74"/>
      <c r="H43" s="74"/>
      <c r="I43" s="75">
        <f>SUM(I40:I42)</f>
        <v>66729.185</v>
      </c>
      <c r="J43" s="75"/>
      <c r="K43" s="76"/>
      <c r="L43" s="76">
        <f t="shared" si="4"/>
        <v>0.0581534038618862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10220000</v>
      </c>
      <c r="E44" s="115">
        <f>D19</f>
        <v>0.007</v>
      </c>
      <c r="F44" s="116">
        <f>D44*E44</f>
        <v>71540</v>
      </c>
      <c r="G44" s="117">
        <f>D23</f>
        <v>10220000</v>
      </c>
      <c r="H44" s="118">
        <f>E19</f>
        <v>0.007</v>
      </c>
      <c r="I44" s="116">
        <f>G44*H44</f>
        <v>71540</v>
      </c>
      <c r="J44" s="75">
        <f>I44-F44</f>
        <v>0</v>
      </c>
      <c r="K44" s="76">
        <f>IF(ISERROR(J44/F44),0,J44/F44)</f>
        <v>0</v>
      </c>
      <c r="L44" s="76">
        <f t="shared" si="4"/>
        <v>0.06234595120979432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1007400.6549999999</v>
      </c>
      <c r="G45" s="120"/>
      <c r="H45" s="120"/>
      <c r="I45" s="121">
        <f>SUM(I44,I43,I39,I29)</f>
        <v>1015458.6349999999</v>
      </c>
      <c r="J45" s="121">
        <f>I45-F45</f>
        <v>8057.979999999981</v>
      </c>
      <c r="K45" s="122">
        <f>IF(ISERROR(J45/F45),0,J45/F45)</f>
        <v>0.007998783760965474</v>
      </c>
      <c r="L45" s="122">
        <f t="shared" si="4"/>
        <v>0.8849557522123893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130962.08515</v>
      </c>
      <c r="G46" s="124"/>
      <c r="H46" s="125">
        <v>0.13</v>
      </c>
      <c r="I46" s="127">
        <f>I45*H46</f>
        <v>132009.62255</v>
      </c>
      <c r="J46" s="126">
        <f>I46-F46</f>
        <v>1047.537400000001</v>
      </c>
      <c r="K46" s="128">
        <f>IF(ISERROR(J46/F46),0,J46/F46)</f>
        <v>0.0079987837609655</v>
      </c>
      <c r="L46" s="128">
        <f t="shared" si="4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1138362.74015</v>
      </c>
      <c r="G47" s="129"/>
      <c r="H47" s="129"/>
      <c r="I47" s="121">
        <f>SUM(I45:I46)</f>
        <v>1147468.25755</v>
      </c>
      <c r="J47" s="121">
        <f>I47-F47</f>
        <v>9105.517400000012</v>
      </c>
      <c r="K47" s="122">
        <f>IF(ISERROR(J47/F47),0,J47/F47)</f>
        <v>0.007998783760965503</v>
      </c>
      <c r="L47" s="122">
        <f t="shared" si="4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-113836.274015</v>
      </c>
      <c r="G48" s="131"/>
      <c r="H48" s="132">
        <v>-0.1</v>
      </c>
      <c r="I48" s="134">
        <f>H48*I47</f>
        <v>-114746.825755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1024526.466135</v>
      </c>
      <c r="G49" s="129"/>
      <c r="H49" s="129"/>
      <c r="I49" s="137">
        <f>SUM(I47:I48)</f>
        <v>1032721.431795</v>
      </c>
      <c r="J49" s="138">
        <f>I49-F49</f>
        <v>8194.965659999987</v>
      </c>
      <c r="K49" s="139">
        <f>IF(ISERROR(J49/F49),0,J49/F49)</f>
        <v>0.007998783760965479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</sheetData>
  <sheetProtection/>
  <mergeCells count="1">
    <mergeCell ref="C5:F5"/>
  </mergeCells>
  <dataValidations count="1">
    <dataValidation type="list" allowBlank="1" showInputMessage="1" showErrorMessage="1" sqref="C65473:F65473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I43:I47 F43:F48 I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7">
      <selection activeCell="H29" sqref="H29"/>
    </sheetView>
  </sheetViews>
  <sheetFormatPr defaultColWidth="9.140625" defaultRowHeight="15"/>
  <cols>
    <col min="1" max="1" width="34.28125" style="2" hidden="1" customWidth="1"/>
    <col min="2" max="2" width="1.2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0.99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VLOOKUP(C5,$X$6:$AA$50,4,0)</f>
        <v>#N/A</v>
      </c>
    </row>
    <row r="3" ht="18">
      <c r="C3" s="4" t="s">
        <v>0</v>
      </c>
    </row>
    <row r="5" spans="3:17" ht="18">
      <c r="C5" s="149" t="s">
        <v>177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0.93</v>
      </c>
      <c r="E8" s="12">
        <v>0.94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0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</v>
      </c>
      <c r="E10" s="21">
        <v>0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0.0171</v>
      </c>
      <c r="E11" s="23">
        <v>0.0172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-0.002</v>
      </c>
      <c r="E12" s="24">
        <v>-0.0034000000000000002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0.0067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1000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Unmetered Scattered Load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750</v>
      </c>
      <c r="E27" s="62">
        <v>0.071</v>
      </c>
      <c r="F27" s="63">
        <f>E27*D27</f>
        <v>53.24999999999999</v>
      </c>
      <c r="G27" s="61">
        <f>IF($D$23&lt;$D$24,$D$23*$K$24,$D$24)</f>
        <v>750</v>
      </c>
      <c r="H27" s="62">
        <v>0.071</v>
      </c>
      <c r="I27" s="63">
        <f>H27*G27</f>
        <v>53.24999999999999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0.4013570214795115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IF($D$23&gt;$D$24,($D$23*$K$23-$D$24),0)</f>
        <v>284.89999999999986</v>
      </c>
      <c r="E28" s="68">
        <v>0.083</v>
      </c>
      <c r="F28" s="69">
        <f>E28*D28</f>
        <v>23.64669999999999</v>
      </c>
      <c r="G28" s="67">
        <f>IF($D$23&gt;$D$24,($D$23*$K$23-$D$24),0)</f>
        <v>284.89999999999986</v>
      </c>
      <c r="H28" s="68">
        <v>0.083</v>
      </c>
      <c r="I28" s="69">
        <f>H28*G28</f>
        <v>23.64669999999999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0.17823040525482745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76.89669999999998</v>
      </c>
      <c r="G29" s="74"/>
      <c r="H29" s="74"/>
      <c r="I29" s="75">
        <f>SUM(I27:I28)</f>
        <v>76.89669999999998</v>
      </c>
      <c r="J29" s="75">
        <f t="shared" si="0"/>
        <v>0</v>
      </c>
      <c r="K29" s="76">
        <f t="shared" si="1"/>
        <v>0</v>
      </c>
      <c r="L29" s="76">
        <f t="shared" si="2"/>
        <v>0.5795874267343389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0.93</v>
      </c>
      <c r="F30" s="80">
        <f>D30*E30</f>
        <v>0.93</v>
      </c>
      <c r="G30" s="78">
        <v>1</v>
      </c>
      <c r="H30" s="79">
        <f>E8</f>
        <v>0.94</v>
      </c>
      <c r="I30" s="80">
        <f>G30*H30</f>
        <v>0.94</v>
      </c>
      <c r="J30" s="81">
        <f t="shared" si="0"/>
        <v>0.009999999999999898</v>
      </c>
      <c r="K30" s="65">
        <f t="shared" si="1"/>
        <v>0.0107526881720429</v>
      </c>
      <c r="L30" s="65">
        <f t="shared" si="2"/>
        <v>0.007084987797009218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0</v>
      </c>
      <c r="F31" s="85">
        <f>E31*D31</f>
        <v>0</v>
      </c>
      <c r="G31" s="83">
        <v>1</v>
      </c>
      <c r="H31" s="84">
        <f>SUM(E9:E10)</f>
        <v>0</v>
      </c>
      <c r="I31" s="85">
        <f>H31*G31</f>
        <v>0</v>
      </c>
      <c r="J31" s="86">
        <f t="shared" si="0"/>
        <v>0</v>
      </c>
      <c r="K31" s="65">
        <f t="shared" si="1"/>
        <v>0</v>
      </c>
      <c r="L31" s="65">
        <f t="shared" si="2"/>
        <v>0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1000</v>
      </c>
      <c r="E32" s="89">
        <f>$D$11</f>
        <v>0.0171</v>
      </c>
      <c r="F32" s="85">
        <f>E32*D32</f>
        <v>17.1</v>
      </c>
      <c r="G32" s="88">
        <f>$D$23</f>
        <v>1000</v>
      </c>
      <c r="H32" s="89">
        <f>E11</f>
        <v>0.0172</v>
      </c>
      <c r="I32" s="85">
        <f>H32*G32</f>
        <v>17.2</v>
      </c>
      <c r="J32" s="86">
        <f t="shared" si="0"/>
        <v>0.09999999999999787</v>
      </c>
      <c r="K32" s="65">
        <f t="shared" si="1"/>
        <v>0.005847953216374144</v>
      </c>
      <c r="L32" s="65">
        <f t="shared" si="2"/>
        <v>0.1296402022431474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1000</v>
      </c>
      <c r="E33" s="92">
        <f>$D$13</f>
        <v>0</v>
      </c>
      <c r="F33" s="85">
        <f>E33*D33</f>
        <v>0</v>
      </c>
      <c r="G33" s="91">
        <f>$D$23</f>
        <v>1000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1000</v>
      </c>
      <c r="E34" s="68">
        <f>$D$12</f>
        <v>-0.002</v>
      </c>
      <c r="F34" s="93">
        <f>E34*D34</f>
        <v>-2</v>
      </c>
      <c r="G34" s="91">
        <f>$D$23</f>
        <v>1000</v>
      </c>
      <c r="H34" s="92">
        <f>E12</f>
        <v>-0.0034000000000000002</v>
      </c>
      <c r="I34" s="93">
        <f>H34*G34</f>
        <v>-3.4000000000000004</v>
      </c>
      <c r="J34" s="86">
        <f t="shared" si="0"/>
        <v>-1.4000000000000004</v>
      </c>
      <c r="K34" s="65">
        <f t="shared" si="1"/>
        <v>0.7000000000000002</v>
      </c>
      <c r="L34" s="65">
        <f t="shared" si="2"/>
        <v>-0.02562655160620356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16.03</v>
      </c>
      <c r="G35" s="95"/>
      <c r="H35" s="96"/>
      <c r="I35" s="97">
        <f>SUM(I30:I34)</f>
        <v>14.74</v>
      </c>
      <c r="J35" s="97">
        <f t="shared" si="0"/>
        <v>-1.290000000000001</v>
      </c>
      <c r="K35" s="98">
        <f t="shared" si="1"/>
        <v>-0.08047411104179668</v>
      </c>
      <c r="L35" s="98">
        <f t="shared" si="2"/>
        <v>0.11109863843395307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1034.8999999999999</v>
      </c>
      <c r="E36" s="100">
        <f>D14</f>
        <v>0.0058</v>
      </c>
      <c r="F36" s="86">
        <f>E36*D36</f>
        <v>6.002419999999999</v>
      </c>
      <c r="G36" s="99">
        <f>D23*K24</f>
        <v>1034.8999999999999</v>
      </c>
      <c r="H36" s="100">
        <f>E14</f>
        <v>0.0067</v>
      </c>
      <c r="I36" s="86">
        <f>H36*G36</f>
        <v>6.9338299999999995</v>
      </c>
      <c r="J36" s="81">
        <f t="shared" si="0"/>
        <v>0.9314100000000005</v>
      </c>
      <c r="K36" s="65">
        <f t="shared" si="1"/>
        <v>0.15517241379310356</v>
      </c>
      <c r="L36" s="65">
        <f t="shared" si="2"/>
        <v>0.052261809506953645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1034.8999999999999</v>
      </c>
      <c r="E37" s="102">
        <f>D15</f>
        <v>0.0043</v>
      </c>
      <c r="F37" s="103">
        <f>E37*D37</f>
        <v>4.450069999999999</v>
      </c>
      <c r="G37" s="101">
        <f>D23*K24</f>
        <v>1034.8999999999999</v>
      </c>
      <c r="H37" s="102">
        <f>E15</f>
        <v>0.0047</v>
      </c>
      <c r="I37" s="103">
        <f>H37*G37</f>
        <v>4.86403</v>
      </c>
      <c r="J37" s="86">
        <f t="shared" si="0"/>
        <v>0.4139600000000003</v>
      </c>
      <c r="K37" s="65">
        <f t="shared" si="1"/>
        <v>0.09302325581395357</v>
      </c>
      <c r="L37" s="65">
        <f t="shared" si="2"/>
        <v>0.0366612693556242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10.452489999999997</v>
      </c>
      <c r="G38" s="96"/>
      <c r="H38" s="96"/>
      <c r="I38" s="97">
        <f>SUM(I36:I37)</f>
        <v>11.79786</v>
      </c>
      <c r="J38" s="97">
        <f t="shared" si="0"/>
        <v>1.3453700000000026</v>
      </c>
      <c r="K38" s="98">
        <f t="shared" si="1"/>
        <v>0.128712871287129</v>
      </c>
      <c r="L38" s="98">
        <f t="shared" si="2"/>
        <v>0.08892307886257785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26.48249</v>
      </c>
      <c r="G39" s="74"/>
      <c r="H39" s="74"/>
      <c r="I39" s="75">
        <f>SUM(I38,I35)</f>
        <v>26.537860000000002</v>
      </c>
      <c r="J39" s="75">
        <f t="shared" si="0"/>
        <v>0.05537000000000347</v>
      </c>
      <c r="K39" s="76">
        <f t="shared" si="1"/>
        <v>0.0020908154784540075</v>
      </c>
      <c r="L39" s="76">
        <f t="shared" si="2"/>
        <v>0.20002171729653093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1034.8999999999999</v>
      </c>
      <c r="E40" s="104">
        <f>E16</f>
        <v>0.0052</v>
      </c>
      <c r="F40" s="105">
        <f>E40*D40</f>
        <v>5.381479999999999</v>
      </c>
      <c r="G40" s="99">
        <f>D23*K24</f>
        <v>1034.8999999999999</v>
      </c>
      <c r="H40" s="100">
        <f>E16</f>
        <v>0.0052</v>
      </c>
      <c r="I40" s="105">
        <f>G40*H40</f>
        <v>5.381479999999999</v>
      </c>
      <c r="J40" s="106">
        <f t="shared" si="0"/>
        <v>0</v>
      </c>
      <c r="K40" s="65">
        <f t="shared" si="1"/>
        <v>0</v>
      </c>
      <c r="L40" s="65">
        <f t="shared" si="2"/>
        <v>0.040561404393456554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1034.8999999999999</v>
      </c>
      <c r="E41" s="107">
        <f>E17</f>
        <v>0.0013</v>
      </c>
      <c r="F41" s="108">
        <f>E41*D41</f>
        <v>1.3453699999999997</v>
      </c>
      <c r="G41" s="101">
        <f>D23*K24</f>
        <v>1034.8999999999999</v>
      </c>
      <c r="H41" s="102">
        <f>E17</f>
        <v>0.0013</v>
      </c>
      <c r="I41" s="108">
        <f>G41*H41</f>
        <v>1.3453699999999997</v>
      </c>
      <c r="J41" s="86">
        <f t="shared" si="0"/>
        <v>0</v>
      </c>
      <c r="K41" s="65">
        <f t="shared" si="1"/>
        <v>0</v>
      </c>
      <c r="L41" s="65">
        <f t="shared" si="2"/>
        <v>0.010140351098364139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0.0018843052651620262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6.976849999999999</v>
      </c>
      <c r="G43" s="74"/>
      <c r="H43" s="74"/>
      <c r="I43" s="75">
        <f>SUM(I40:I42)</f>
        <v>6.976849999999999</v>
      </c>
      <c r="J43" s="75"/>
      <c r="K43" s="76"/>
      <c r="L43" s="76">
        <f t="shared" si="2"/>
        <v>0.052586060756982723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1000</v>
      </c>
      <c r="E44" s="115">
        <f>D19</f>
        <v>0.007</v>
      </c>
      <c r="F44" s="116">
        <f>D44*E44</f>
        <v>7</v>
      </c>
      <c r="G44" s="117">
        <f>D23</f>
        <v>1000</v>
      </c>
      <c r="H44" s="118">
        <f>E19</f>
        <v>0.007</v>
      </c>
      <c r="I44" s="116">
        <f>G44*H44</f>
        <v>7</v>
      </c>
      <c r="J44" s="75">
        <f>I44-F44</f>
        <v>0</v>
      </c>
      <c r="K44" s="76">
        <f>IF(ISERROR(J44/F44),0,J44/F44)</f>
        <v>0</v>
      </c>
      <c r="L44" s="76">
        <f t="shared" si="2"/>
        <v>0.05276054742453674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117.35603999999998</v>
      </c>
      <c r="G45" s="120"/>
      <c r="H45" s="120"/>
      <c r="I45" s="121">
        <f>SUM(I44,I43,I39,I29)</f>
        <v>117.41140999999999</v>
      </c>
      <c r="J45" s="121">
        <f>I45-F45</f>
        <v>0.05537000000001058</v>
      </c>
      <c r="K45" s="122">
        <f>IF(ISERROR(J45/F45),0,J45/F45)</f>
        <v>0.0004718121027261195</v>
      </c>
      <c r="L45" s="122">
        <f t="shared" si="2"/>
        <v>0.8849557522123894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15.256285199999997</v>
      </c>
      <c r="G46" s="124"/>
      <c r="H46" s="125">
        <v>0.13</v>
      </c>
      <c r="I46" s="127">
        <f>I45*H46</f>
        <v>15.263483299999999</v>
      </c>
      <c r="J46" s="126">
        <f>I46-F46</f>
        <v>0.0071981000000018724</v>
      </c>
      <c r="K46" s="128">
        <f>IF(ISERROR(J46/F46),0,J46/F46)</f>
        <v>0.0004718121027261521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132.6123252</v>
      </c>
      <c r="G47" s="129"/>
      <c r="H47" s="129"/>
      <c r="I47" s="121">
        <f>SUM(I45:I46)</f>
        <v>132.67489329999998</v>
      </c>
      <c r="J47" s="121">
        <f>I47-F47</f>
        <v>0.06256809999999291</v>
      </c>
      <c r="K47" s="122">
        <f>IF(ISERROR(J47/F47),0,J47/F47)</f>
        <v>0.00047181210272597584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-13.26123252</v>
      </c>
      <c r="G48" s="131"/>
      <c r="H48" s="132">
        <v>-0.1</v>
      </c>
      <c r="I48" s="134">
        <f>H48*I47</f>
        <v>-13.267489329999998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119.35109268</v>
      </c>
      <c r="G49" s="129"/>
      <c r="H49" s="129"/>
      <c r="I49" s="137">
        <f>SUM(I47:I48)</f>
        <v>119.40740396999998</v>
      </c>
      <c r="J49" s="138">
        <f>I49-F49</f>
        <v>0.05631128999998225</v>
      </c>
      <c r="K49" s="139">
        <f>IF(ISERROR(J49/F49),0,J49/F49)</f>
        <v>0.0004718121027258806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15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F35 I35 I43:I48 F43:F4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B1">
      <selection activeCell="I27" sqref="I27"/>
    </sheetView>
  </sheetViews>
  <sheetFormatPr defaultColWidth="9.140625" defaultRowHeight="15"/>
  <cols>
    <col min="1" max="1" width="34.28125" style="2" hidden="1" customWidth="1"/>
    <col min="2" max="2" width="1.2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4.140625" style="2" bestFit="1" customWidth="1"/>
    <col min="7" max="7" width="12.421875" style="2" customWidth="1"/>
    <col min="8" max="8" width="12.8515625" style="2" customWidth="1"/>
    <col min="9" max="9" width="20.28125" style="2" customWidth="1"/>
    <col min="10" max="10" width="25.140625" style="2" bestFit="1" customWidth="1"/>
    <col min="11" max="11" width="15.8515625" style="2" customWidth="1"/>
    <col min="12" max="12" width="12.140625" style="2" customWidth="1"/>
    <col min="13" max="13" width="9.140625" style="2" hidden="1" customWidth="1"/>
    <col min="14" max="14" width="1.1484375" style="2" customWidth="1"/>
    <col min="15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VLOOKUP(C5,$X$6:$AA$30,4,0)</f>
        <v>#N/A</v>
      </c>
    </row>
    <row r="3" ht="18">
      <c r="C3" s="4" t="s">
        <v>0</v>
      </c>
    </row>
    <row r="5" spans="3:17" ht="18">
      <c r="C5" s="149" t="s">
        <v>180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0.47</v>
      </c>
      <c r="E8" s="12">
        <f>+'[2]Table 12'!$D$10</f>
        <v>0.82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0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</v>
      </c>
      <c r="E10" s="21">
        <v>0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4.8973</v>
      </c>
      <c r="E11" s="23">
        <f>+'[2]Table 13'!$D$10</f>
        <v>8.5207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2.6211</v>
      </c>
      <c r="E12" s="24">
        <f>SUM('[2]Table 13'!$G$10:$K$10)</f>
        <v>-0.719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1.8856</v>
      </c>
      <c r="E14" s="24">
        <f>+'[2]Table 13'!$E$10</f>
        <v>2.1693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1.3966</v>
      </c>
      <c r="E15" s="24">
        <f>+'[2]Table 13'!$F$10</f>
        <v>1.5241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24:27" ht="6" customHeight="1" thickBot="1">
      <c r="X22" s="2" t="s">
        <v>185</v>
      </c>
      <c r="AA22" s="2" t="s">
        <v>179</v>
      </c>
    </row>
    <row r="23" spans="3:27" ht="19.5" thickBot="1">
      <c r="C23" s="37" t="s">
        <v>56</v>
      </c>
      <c r="D23" s="38">
        <v>2010000</v>
      </c>
      <c r="E23" s="39" t="s">
        <v>57</v>
      </c>
      <c r="F23" s="141">
        <v>6700</v>
      </c>
      <c r="G23" s="41" t="s">
        <v>58</v>
      </c>
      <c r="I23" s="42" t="s">
        <v>59</v>
      </c>
      <c r="J23" s="43"/>
      <c r="K23" s="44">
        <v>1.0349</v>
      </c>
      <c r="X23" s="2" t="s">
        <v>186</v>
      </c>
      <c r="AA23" s="2" t="s">
        <v>179</v>
      </c>
    </row>
    <row r="24" spans="3:27" ht="19.5" thickBot="1">
      <c r="C24" s="37" t="s">
        <v>194</v>
      </c>
      <c r="D24" s="143">
        <v>18000</v>
      </c>
      <c r="E24" s="39" t="s">
        <v>57</v>
      </c>
      <c r="F24" s="46" t="s">
        <v>63</v>
      </c>
      <c r="G24" s="142"/>
      <c r="I24" s="48" t="s">
        <v>64</v>
      </c>
      <c r="J24" s="49"/>
      <c r="K24" s="50">
        <f>K23</f>
        <v>1.0349</v>
      </c>
      <c r="X24" s="2" t="s">
        <v>187</v>
      </c>
      <c r="AA24" s="2" t="s">
        <v>179</v>
      </c>
    </row>
    <row r="25" spans="24:27" ht="15.75" thickBot="1">
      <c r="X25" s="2" t="s">
        <v>188</v>
      </c>
      <c r="AA25" s="2" t="s">
        <v>179</v>
      </c>
    </row>
    <row r="26" spans="3:27" ht="26.25" thickBot="1">
      <c r="C26" s="53" t="str">
        <f>C5</f>
        <v>Street Lighting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X26" s="2" t="s">
        <v>189</v>
      </c>
      <c r="AA26" s="2" t="s">
        <v>179</v>
      </c>
    </row>
    <row r="27" spans="3:27" ht="15">
      <c r="C27" s="60" t="s">
        <v>79</v>
      </c>
      <c r="D27" s="61">
        <f>D23*K24</f>
        <v>2080148.9999999998</v>
      </c>
      <c r="E27" s="62">
        <v>0.071</v>
      </c>
      <c r="F27" s="63">
        <f>E27*D27</f>
        <v>147690.57899999997</v>
      </c>
      <c r="G27" s="64">
        <f>D23*K24</f>
        <v>2080148.9999999998</v>
      </c>
      <c r="H27" s="62">
        <v>0.071</v>
      </c>
      <c r="I27" s="63">
        <f>H27*G27</f>
        <v>147690.57899999997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0.489403627435309</v>
      </c>
      <c r="X27" s="2" t="s">
        <v>190</v>
      </c>
      <c r="AA27" s="2" t="s">
        <v>179</v>
      </c>
    </row>
    <row r="28" spans="3:27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X28" s="2" t="s">
        <v>191</v>
      </c>
      <c r="AA28" s="2" t="s">
        <v>179</v>
      </c>
    </row>
    <row r="29" spans="3:27" ht="15.75" thickBot="1">
      <c r="C29" s="72" t="s">
        <v>85</v>
      </c>
      <c r="D29" s="73"/>
      <c r="E29" s="74"/>
      <c r="F29" s="75">
        <f>SUM(F27:F28)</f>
        <v>147690.57899999997</v>
      </c>
      <c r="G29" s="74"/>
      <c r="H29" s="74"/>
      <c r="I29" s="75">
        <f>SUM(I27:I28)</f>
        <v>147690.57899999997</v>
      </c>
      <c r="J29" s="75">
        <f t="shared" si="0"/>
        <v>0</v>
      </c>
      <c r="K29" s="76">
        <f t="shared" si="1"/>
        <v>0</v>
      </c>
      <c r="L29" s="76">
        <f t="shared" si="2"/>
        <v>0.489403627435309</v>
      </c>
      <c r="X29" s="2" t="s">
        <v>192</v>
      </c>
      <c r="AA29" s="2" t="s">
        <v>179</v>
      </c>
    </row>
    <row r="30" spans="3:27" ht="15">
      <c r="C30" s="77" t="s">
        <v>12</v>
      </c>
      <c r="D30" s="147">
        <f>D24</f>
        <v>18000</v>
      </c>
      <c r="E30" s="79">
        <f>$D$8</f>
        <v>0.47</v>
      </c>
      <c r="F30" s="80">
        <f>D30*E30</f>
        <v>8460</v>
      </c>
      <c r="G30" s="147">
        <f>D24</f>
        <v>18000</v>
      </c>
      <c r="H30" s="79">
        <f>E8</f>
        <v>0.82</v>
      </c>
      <c r="I30" s="80">
        <f>G30*H30</f>
        <v>14760</v>
      </c>
      <c r="J30" s="81">
        <f t="shared" si="0"/>
        <v>6300</v>
      </c>
      <c r="K30" s="65">
        <f t="shared" si="1"/>
        <v>0.7446808510638298</v>
      </c>
      <c r="L30" s="65">
        <f t="shared" si="2"/>
        <v>0.048910347497149176</v>
      </c>
      <c r="X30" s="2" t="s">
        <v>193</v>
      </c>
      <c r="AA30" s="2" t="s">
        <v>179</v>
      </c>
    </row>
    <row r="31" spans="3:12" ht="15">
      <c r="C31" s="66" t="s">
        <v>19</v>
      </c>
      <c r="D31" s="83">
        <v>1</v>
      </c>
      <c r="E31" s="84">
        <f>SUM($D$9:$D$10)</f>
        <v>0</v>
      </c>
      <c r="F31" s="85">
        <f>E31*D31</f>
        <v>0</v>
      </c>
      <c r="G31" s="83">
        <v>1</v>
      </c>
      <c r="H31" s="84">
        <f>SUM(E9:E10)</f>
        <v>0</v>
      </c>
      <c r="I31" s="85">
        <f>H31*G31</f>
        <v>0</v>
      </c>
      <c r="J31" s="86">
        <f t="shared" si="0"/>
        <v>0</v>
      </c>
      <c r="K31" s="65">
        <f t="shared" si="1"/>
        <v>0</v>
      </c>
      <c r="L31" s="65">
        <f t="shared" si="2"/>
        <v>0</v>
      </c>
    </row>
    <row r="32" spans="3:12" ht="15">
      <c r="C32" s="87" t="s">
        <v>22</v>
      </c>
      <c r="D32" s="88">
        <f>F23</f>
        <v>6700</v>
      </c>
      <c r="E32" s="89">
        <f>$D$11</f>
        <v>4.8973</v>
      </c>
      <c r="F32" s="85">
        <f>E32*D32</f>
        <v>32811.91</v>
      </c>
      <c r="G32" s="88">
        <f>F23</f>
        <v>6700</v>
      </c>
      <c r="H32" s="89">
        <f>E11</f>
        <v>8.5207</v>
      </c>
      <c r="I32" s="85">
        <f>H32*G32</f>
        <v>57088.689999999995</v>
      </c>
      <c r="J32" s="86">
        <f t="shared" si="0"/>
        <v>24276.77999999999</v>
      </c>
      <c r="K32" s="65">
        <f t="shared" si="1"/>
        <v>0.7398770751230266</v>
      </c>
      <c r="L32" s="65">
        <f t="shared" si="2"/>
        <v>0.18917531612852473</v>
      </c>
    </row>
    <row r="33" spans="3:12" ht="15">
      <c r="C33" s="90" t="s">
        <v>28</v>
      </c>
      <c r="D33" s="91">
        <f>F23</f>
        <v>6700</v>
      </c>
      <c r="E33" s="92">
        <f>$D$13</f>
        <v>0</v>
      </c>
      <c r="F33" s="85">
        <f>E33*D33</f>
        <v>0</v>
      </c>
      <c r="G33" s="91">
        <f>F23</f>
        <v>6700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</row>
    <row r="34" spans="3:12" ht="15.75" thickBot="1">
      <c r="C34" s="66" t="s">
        <v>25</v>
      </c>
      <c r="D34" s="91">
        <f>F23</f>
        <v>6700</v>
      </c>
      <c r="E34" s="68">
        <f>$D$12</f>
        <v>2.6211</v>
      </c>
      <c r="F34" s="93">
        <f>E34*D34</f>
        <v>17561.370000000003</v>
      </c>
      <c r="G34" s="91">
        <f>F23</f>
        <v>6700</v>
      </c>
      <c r="H34" s="92">
        <f>SUM(E12)</f>
        <v>-0.719</v>
      </c>
      <c r="I34" s="93">
        <f>H34*G34</f>
        <v>-4817.3</v>
      </c>
      <c r="J34" s="86">
        <f t="shared" si="0"/>
        <v>-22378.670000000002</v>
      </c>
      <c r="K34" s="65">
        <f t="shared" si="1"/>
        <v>-1.2743123116248902</v>
      </c>
      <c r="L34" s="65">
        <f t="shared" si="2"/>
        <v>-0.015963131232927964</v>
      </c>
    </row>
    <row r="35" spans="3:12" ht="15.75" thickBot="1">
      <c r="C35" s="94" t="s">
        <v>100</v>
      </c>
      <c r="D35" s="95"/>
      <c r="E35" s="96"/>
      <c r="F35" s="97">
        <f>SUM(F30:F34)</f>
        <v>58833.280000000006</v>
      </c>
      <c r="G35" s="95"/>
      <c r="H35" s="96"/>
      <c r="I35" s="97">
        <f>SUM(I30:I34)</f>
        <v>67031.39</v>
      </c>
      <c r="J35" s="97">
        <f t="shared" si="0"/>
        <v>8198.109999999993</v>
      </c>
      <c r="K35" s="98">
        <f t="shared" si="1"/>
        <v>0.13934477221055824</v>
      </c>
      <c r="L35" s="98">
        <f aca="true" t="shared" si="3" ref="L35:L40">I35/$I$47</f>
        <v>0.22212253239274596</v>
      </c>
    </row>
    <row r="36" spans="3:12" ht="25.5">
      <c r="C36" s="87" t="s">
        <v>31</v>
      </c>
      <c r="D36" s="109">
        <f>F23</f>
        <v>6700</v>
      </c>
      <c r="E36" s="102">
        <f>D14</f>
        <v>1.8856</v>
      </c>
      <c r="F36" s="86">
        <f>E36*D36</f>
        <v>12633.52</v>
      </c>
      <c r="G36" s="109">
        <f>F23</f>
        <v>6700</v>
      </c>
      <c r="H36" s="100">
        <f>E14</f>
        <v>2.1693</v>
      </c>
      <c r="I36" s="86">
        <f>H36*G36</f>
        <v>14534.309999999998</v>
      </c>
      <c r="J36" s="81">
        <f t="shared" si="0"/>
        <v>1900.7899999999972</v>
      </c>
      <c r="K36" s="65">
        <f t="shared" si="1"/>
        <v>0.15045608824777237</v>
      </c>
      <c r="L36" s="65">
        <f t="shared" si="3"/>
        <v>0.04816247647230963</v>
      </c>
    </row>
    <row r="37" spans="3:12" ht="26.25" thickBot="1">
      <c r="C37" s="87" t="s">
        <v>34</v>
      </c>
      <c r="D37" s="88">
        <f>F23</f>
        <v>6700</v>
      </c>
      <c r="E37" s="102">
        <f>D15</f>
        <v>1.3966</v>
      </c>
      <c r="F37" s="103">
        <f>E37*D37</f>
        <v>9357.220000000001</v>
      </c>
      <c r="G37" s="88">
        <f>F23</f>
        <v>6700</v>
      </c>
      <c r="H37" s="102">
        <f>E15</f>
        <v>1.5241</v>
      </c>
      <c r="I37" s="103">
        <f>H37*G37</f>
        <v>10211.47</v>
      </c>
      <c r="J37" s="86">
        <f t="shared" si="0"/>
        <v>854.2499999999982</v>
      </c>
      <c r="K37" s="65">
        <f t="shared" si="1"/>
        <v>0.09129314048403245</v>
      </c>
      <c r="L37" s="65">
        <f t="shared" si="3"/>
        <v>0.03383784188053617</v>
      </c>
    </row>
    <row r="38" spans="3:12" ht="15.75" thickBot="1">
      <c r="C38" s="94" t="s">
        <v>108</v>
      </c>
      <c r="D38" s="96"/>
      <c r="E38" s="96"/>
      <c r="F38" s="97">
        <f>SUM(F36:F37)</f>
        <v>21990.74</v>
      </c>
      <c r="G38" s="96"/>
      <c r="H38" s="96"/>
      <c r="I38" s="97">
        <f>SUM(I36:I37)</f>
        <v>24745.78</v>
      </c>
      <c r="J38" s="97">
        <f t="shared" si="0"/>
        <v>2755.0399999999972</v>
      </c>
      <c r="K38" s="98">
        <f t="shared" si="1"/>
        <v>0.1252818231673876</v>
      </c>
      <c r="L38" s="98">
        <f t="shared" si="3"/>
        <v>0.08200031835284581</v>
      </c>
    </row>
    <row r="39" spans="3:12" ht="26.25" thickBot="1">
      <c r="C39" s="72" t="s">
        <v>111</v>
      </c>
      <c r="D39" s="74"/>
      <c r="E39" s="74"/>
      <c r="F39" s="75">
        <f>SUM(F38,F35)</f>
        <v>80824.02</v>
      </c>
      <c r="G39" s="74"/>
      <c r="H39" s="74"/>
      <c r="I39" s="75">
        <f>SUM(I38,I35)</f>
        <v>91777.17</v>
      </c>
      <c r="J39" s="75">
        <f t="shared" si="0"/>
        <v>10953.149999999994</v>
      </c>
      <c r="K39" s="76">
        <f t="shared" si="1"/>
        <v>0.1355185005645598</v>
      </c>
      <c r="L39" s="76">
        <f t="shared" si="3"/>
        <v>0.30412285074559176</v>
      </c>
    </row>
    <row r="40" spans="3:12" ht="15">
      <c r="C40" s="66" t="s">
        <v>37</v>
      </c>
      <c r="D40" s="99">
        <f>D23*K23</f>
        <v>2080148.9999999998</v>
      </c>
      <c r="E40" s="104">
        <f>D16</f>
        <v>0.0052</v>
      </c>
      <c r="F40" s="105">
        <f>E40*D40</f>
        <v>10816.774799999997</v>
      </c>
      <c r="G40" s="99">
        <f>D23*K24</f>
        <v>2080148.9999999998</v>
      </c>
      <c r="H40" s="100">
        <f>E16</f>
        <v>0.0052</v>
      </c>
      <c r="I40" s="105">
        <f>G40*H40</f>
        <v>10816.774799999997</v>
      </c>
      <c r="J40" s="106">
        <f t="shared" si="0"/>
        <v>0</v>
      </c>
      <c r="K40" s="65">
        <f t="shared" si="1"/>
        <v>0</v>
      </c>
      <c r="L40" s="65">
        <f t="shared" si="3"/>
        <v>0.03584364595300855</v>
      </c>
    </row>
    <row r="41" spans="3:12" ht="15">
      <c r="C41" s="66" t="s">
        <v>40</v>
      </c>
      <c r="D41" s="101">
        <f>D23*K23</f>
        <v>2080148.9999999998</v>
      </c>
      <c r="E41" s="104">
        <f>D17</f>
        <v>0.0013</v>
      </c>
      <c r="F41" s="108">
        <f>E41*D41</f>
        <v>2704.1936999999994</v>
      </c>
      <c r="G41" s="101">
        <f>D23*K24</f>
        <v>2080148.9999999998</v>
      </c>
      <c r="H41" s="102">
        <f>E17</f>
        <v>0.0013</v>
      </c>
      <c r="I41" s="108">
        <f>G41*H41</f>
        <v>2704.1936999999994</v>
      </c>
      <c r="J41" s="86">
        <f t="shared" si="0"/>
        <v>0</v>
      </c>
      <c r="K41" s="65">
        <f t="shared" si="1"/>
        <v>0</v>
      </c>
      <c r="L41" s="65">
        <f aca="true" t="shared" si="4" ref="L41:L47">I41/$I$47</f>
        <v>0.008960911488252137</v>
      </c>
    </row>
    <row r="42" spans="3:12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4"/>
        <v>8.284272950059143E-07</v>
      </c>
    </row>
    <row r="43" spans="3:12" ht="15.75" thickBot="1">
      <c r="C43" s="72" t="s">
        <v>121</v>
      </c>
      <c r="D43" s="74"/>
      <c r="E43" s="74"/>
      <c r="F43" s="75">
        <f>SUM(F40:F42)</f>
        <v>13521.218499999997</v>
      </c>
      <c r="G43" s="74"/>
      <c r="H43" s="74"/>
      <c r="I43" s="75">
        <f>SUM(I40:I42)</f>
        <v>13521.218499999997</v>
      </c>
      <c r="J43" s="75"/>
      <c r="K43" s="76"/>
      <c r="L43" s="76">
        <f t="shared" si="4"/>
        <v>0.044805385868555696</v>
      </c>
    </row>
    <row r="44" spans="3:12" ht="15.75" thickBot="1">
      <c r="C44" s="72" t="s">
        <v>47</v>
      </c>
      <c r="D44" s="114">
        <f>D23</f>
        <v>2010000</v>
      </c>
      <c r="E44" s="115">
        <f>D19</f>
        <v>0.007</v>
      </c>
      <c r="F44" s="116">
        <f>D44*E44</f>
        <v>14070</v>
      </c>
      <c r="G44" s="117">
        <f>D23</f>
        <v>2010000</v>
      </c>
      <c r="H44" s="118">
        <f>E19</f>
        <v>0.007</v>
      </c>
      <c r="I44" s="116">
        <f>G44*H44</f>
        <v>14070</v>
      </c>
      <c r="J44" s="75">
        <f>I44-F44</f>
        <v>0</v>
      </c>
      <c r="K44" s="76">
        <f>IF(ISERROR(J44/F44),0,J44/F44)</f>
        <v>0</v>
      </c>
      <c r="L44" s="76">
        <f t="shared" si="4"/>
        <v>0.04662388816293286</v>
      </c>
    </row>
    <row r="45" spans="3:12" ht="15.75" thickBot="1">
      <c r="C45" s="119" t="s">
        <v>126</v>
      </c>
      <c r="D45" s="120"/>
      <c r="E45" s="120"/>
      <c r="F45" s="121">
        <f>SUM(F44,F43,F39,F29)</f>
        <v>256105.81749999998</v>
      </c>
      <c r="G45" s="120"/>
      <c r="H45" s="120"/>
      <c r="I45" s="121">
        <f>SUM(I44,I43,I39,I29)</f>
        <v>267058.96749999997</v>
      </c>
      <c r="J45" s="121">
        <f>I45-F45</f>
        <v>10953.149999999994</v>
      </c>
      <c r="K45" s="122">
        <f>IF(ISERROR(J45/F45),0,J45/F45)</f>
        <v>0.04276806402494154</v>
      </c>
      <c r="L45" s="122">
        <f t="shared" si="4"/>
        <v>0.8849557522123893</v>
      </c>
    </row>
    <row r="46" spans="3:12" ht="15.75" thickBot="1">
      <c r="C46" s="123" t="s">
        <v>129</v>
      </c>
      <c r="D46" s="124"/>
      <c r="E46" s="125">
        <v>0.13</v>
      </c>
      <c r="F46" s="126">
        <f>E46*F45</f>
        <v>33293.756275</v>
      </c>
      <c r="G46" s="124"/>
      <c r="H46" s="125">
        <v>0.13</v>
      </c>
      <c r="I46" s="127">
        <f>I45*H46</f>
        <v>34717.665774999994</v>
      </c>
      <c r="J46" s="126">
        <f>I46-F46</f>
        <v>1423.9094999999943</v>
      </c>
      <c r="K46" s="128">
        <f>IF(ISERROR(J46/F46),0,J46/F46)</f>
        <v>0.0427680640249414</v>
      </c>
      <c r="L46" s="128">
        <f t="shared" si="4"/>
        <v>0.1150442477876106</v>
      </c>
    </row>
    <row r="47" spans="3:12" ht="15.75" thickBot="1">
      <c r="C47" s="119" t="s">
        <v>132</v>
      </c>
      <c r="D47" s="129"/>
      <c r="E47" s="129"/>
      <c r="F47" s="121">
        <f>SUM(F45:F46)</f>
        <v>289399.573775</v>
      </c>
      <c r="G47" s="129"/>
      <c r="H47" s="129"/>
      <c r="I47" s="121">
        <f>SUM(I45:I46)</f>
        <v>301776.633275</v>
      </c>
      <c r="J47" s="121">
        <f>I47-F47</f>
        <v>12377.059499999974</v>
      </c>
      <c r="K47" s="122">
        <f>IF(ISERROR(J47/F47),0,J47/F47)</f>
        <v>0.042768064024941474</v>
      </c>
      <c r="L47" s="122">
        <f t="shared" si="4"/>
        <v>1</v>
      </c>
    </row>
    <row r="48" spans="3:12" ht="15.75" thickBot="1">
      <c r="C48" s="130" t="s">
        <v>136</v>
      </c>
      <c r="D48" s="131"/>
      <c r="E48" s="132">
        <v>-0.1</v>
      </c>
      <c r="F48" s="133">
        <f>F47*E48</f>
        <v>-28939.957377500003</v>
      </c>
      <c r="G48" s="131"/>
      <c r="H48" s="132">
        <v>-0.1</v>
      </c>
      <c r="I48" s="134">
        <f>H48*I47</f>
        <v>-30177.6633275</v>
      </c>
      <c r="J48" s="134"/>
      <c r="K48" s="135"/>
      <c r="L48" s="135"/>
    </row>
    <row r="49" spans="3:12" ht="18.75" thickBot="1">
      <c r="C49" s="136" t="s">
        <v>140</v>
      </c>
      <c r="D49" s="129"/>
      <c r="E49" s="129"/>
      <c r="F49" s="137">
        <f>SUM(F47:F48)</f>
        <v>260459.61639749998</v>
      </c>
      <c r="G49" s="129"/>
      <c r="H49" s="129"/>
      <c r="I49" s="137">
        <f>SUM(I47:I48)</f>
        <v>271598.9699475</v>
      </c>
      <c r="J49" s="138">
        <f>I49-F49</f>
        <v>11139.35355</v>
      </c>
      <c r="K49" s="139">
        <f>IF(ISERROR(J49/F49),0,J49/F49)</f>
        <v>0.04276806402494157</v>
      </c>
      <c r="L49" s="139"/>
    </row>
    <row r="50" ht="5.25" customHeight="1"/>
    <row r="51" ht="15">
      <c r="I51" s="144"/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="70" zoomScaleNormal="70" zoomScalePageLayoutView="0" workbookViewId="0" topLeftCell="B10">
      <selection activeCell="I52" sqref="I52"/>
    </sheetView>
  </sheetViews>
  <sheetFormatPr defaultColWidth="9.140625" defaultRowHeight="15"/>
  <cols>
    <col min="1" max="1" width="34.28125" style="2" hidden="1" customWidth="1"/>
    <col min="2" max="2" width="2.00390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8515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9.83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0.0143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0.0075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9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800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5"/>
      <c r="G25" s="145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827.92</v>
      </c>
      <c r="E27" s="62">
        <v>0.071</v>
      </c>
      <c r="F27" s="63">
        <f>E27*D27</f>
        <v>58.78231999999999</v>
      </c>
      <c r="G27" s="61">
        <f>IF($D$23&lt;$D$24,$D$23*$K$24,$D$24)</f>
        <v>827.92</v>
      </c>
      <c r="H27" s="62">
        <v>0.071</v>
      </c>
      <c r="I27" s="63">
        <f>H27*G27</f>
        <v>58.78231999999999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0.516649380836064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0.083</v>
      </c>
      <c r="F28" s="69">
        <f>E28*D28</f>
        <v>0</v>
      </c>
      <c r="G28" s="70">
        <f>IF($D$23&gt;$D$24,($D$23*$K$23-$D$24),0)</f>
        <v>0</v>
      </c>
      <c r="H28" s="68">
        <v>0.083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58.78231999999999</v>
      </c>
      <c r="G29" s="74"/>
      <c r="H29" s="74"/>
      <c r="I29" s="75">
        <f>SUM(I27:I28)</f>
        <v>58.78231999999999</v>
      </c>
      <c r="J29" s="75">
        <f t="shared" si="0"/>
        <v>0</v>
      </c>
      <c r="K29" s="76">
        <f t="shared" si="1"/>
        <v>0</v>
      </c>
      <c r="L29" s="76">
        <f>I29/$I$47</f>
        <v>0.516649380836064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9.83</v>
      </c>
      <c r="I30" s="80">
        <f>G30*H30</f>
        <v>9.83</v>
      </c>
      <c r="J30" s="81">
        <f t="shared" si="0"/>
        <v>0.08000000000000007</v>
      </c>
      <c r="K30" s="65">
        <f t="shared" si="1"/>
        <v>0.008205128205128212</v>
      </c>
      <c r="L30" s="65">
        <f t="shared" si="2"/>
        <v>0.0863978048776998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0.0063282217204418964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800</v>
      </c>
      <c r="E32" s="89">
        <f>$D$11</f>
        <v>0.0142</v>
      </c>
      <c r="F32" s="85">
        <f>E32*D32</f>
        <v>11.360000000000001</v>
      </c>
      <c r="G32" s="88">
        <f>$D$23</f>
        <v>800</v>
      </c>
      <c r="H32" s="89">
        <f>E11</f>
        <v>0.0143</v>
      </c>
      <c r="I32" s="85">
        <f>H32*G32</f>
        <v>11.44</v>
      </c>
      <c r="J32" s="86">
        <f t="shared" si="0"/>
        <v>0.0799999999999983</v>
      </c>
      <c r="K32" s="65">
        <f t="shared" si="1"/>
        <v>0.00704225352112661</v>
      </c>
      <c r="L32" s="65">
        <f t="shared" si="2"/>
        <v>0.10054841178035458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800</v>
      </c>
      <c r="E33" s="92">
        <f>$D$13</f>
        <v>0</v>
      </c>
      <c r="F33" s="85">
        <f>E33*D33</f>
        <v>0</v>
      </c>
      <c r="G33" s="91">
        <f>$D$23</f>
        <v>800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800</v>
      </c>
      <c r="E34" s="68">
        <f>$D$12</f>
        <v>-0.0015</v>
      </c>
      <c r="F34" s="93">
        <f>E34*D34</f>
        <v>-1.2</v>
      </c>
      <c r="G34" s="91">
        <f>$D$23</f>
        <v>800</v>
      </c>
      <c r="H34" s="92">
        <f>E12</f>
        <v>-0.0026000000000000003</v>
      </c>
      <c r="I34" s="93">
        <f>H34*G34</f>
        <v>-2.08</v>
      </c>
      <c r="J34" s="86">
        <f t="shared" si="0"/>
        <v>-0.8800000000000001</v>
      </c>
      <c r="K34" s="65">
        <f t="shared" si="1"/>
        <v>0.7333333333333335</v>
      </c>
      <c r="L34" s="65">
        <f t="shared" si="2"/>
        <v>-0.018281529414609924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22.94</v>
      </c>
      <c r="G35" s="95"/>
      <c r="H35" s="96"/>
      <c r="I35" s="97">
        <f>SUM(I30:I34)</f>
        <v>19.910000000000004</v>
      </c>
      <c r="J35" s="97">
        <f t="shared" si="0"/>
        <v>-3.0299999999999976</v>
      </c>
      <c r="K35" s="98">
        <f t="shared" si="1"/>
        <v>-0.13208369659982552</v>
      </c>
      <c r="L35" s="98">
        <f t="shared" si="2"/>
        <v>0.1749929089638864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827.92</v>
      </c>
      <c r="E36" s="100">
        <f>D14</f>
        <v>0.0065</v>
      </c>
      <c r="F36" s="86">
        <f>E36*D36</f>
        <v>5.38148</v>
      </c>
      <c r="G36" s="99">
        <f>D23*K24</f>
        <v>827.92</v>
      </c>
      <c r="H36" s="100">
        <f>E14</f>
        <v>0.0075</v>
      </c>
      <c r="I36" s="86">
        <f>H36*G36</f>
        <v>6.2094</v>
      </c>
      <c r="J36" s="81">
        <f t="shared" si="0"/>
        <v>0.8279199999999998</v>
      </c>
      <c r="K36" s="65">
        <f t="shared" si="1"/>
        <v>0.1538461538461538</v>
      </c>
      <c r="L36" s="65">
        <f t="shared" si="2"/>
        <v>0.05457563882071099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827.92</v>
      </c>
      <c r="E37" s="102">
        <f>D15</f>
        <v>0.005</v>
      </c>
      <c r="F37" s="103">
        <f>E37*D37</f>
        <v>4.1396</v>
      </c>
      <c r="G37" s="101">
        <f>D23*K24</f>
        <v>827.92</v>
      </c>
      <c r="H37" s="102">
        <f>E15</f>
        <v>0.0055</v>
      </c>
      <c r="I37" s="103">
        <f>H37*G37</f>
        <v>4.553559999999999</v>
      </c>
      <c r="J37" s="86">
        <f t="shared" si="0"/>
        <v>0.41395999999999944</v>
      </c>
      <c r="K37" s="65">
        <f t="shared" si="1"/>
        <v>0.09999999999999987</v>
      </c>
      <c r="L37" s="65">
        <f t="shared" si="2"/>
        <v>0.040022135135188056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9.52108</v>
      </c>
      <c r="G38" s="96"/>
      <c r="H38" s="96"/>
      <c r="I38" s="97">
        <f>SUM(I36:I37)</f>
        <v>10.76296</v>
      </c>
      <c r="J38" s="97">
        <f t="shared" si="0"/>
        <v>1.24188</v>
      </c>
      <c r="K38" s="98">
        <f t="shared" si="1"/>
        <v>0.13043478260869568</v>
      </c>
      <c r="L38" s="98">
        <f t="shared" si="2"/>
        <v>0.09459777395589905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32.46108</v>
      </c>
      <c r="G39" s="74"/>
      <c r="H39" s="74"/>
      <c r="I39" s="75">
        <f>SUM(I38,I35)</f>
        <v>30.672960000000003</v>
      </c>
      <c r="J39" s="75">
        <f t="shared" si="0"/>
        <v>-1.7881199999999993</v>
      </c>
      <c r="K39" s="76">
        <f t="shared" si="1"/>
        <v>-0.05508504338118138</v>
      </c>
      <c r="L39" s="76">
        <f t="shared" si="2"/>
        <v>0.26959068291978544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827.92</v>
      </c>
      <c r="E40" s="104">
        <f>E16</f>
        <v>0.0052</v>
      </c>
      <c r="F40" s="105">
        <f>E40*D40</f>
        <v>4.305184</v>
      </c>
      <c r="G40" s="99">
        <f>D23*K24</f>
        <v>827.92</v>
      </c>
      <c r="H40" s="100">
        <f>E16</f>
        <v>0.0052</v>
      </c>
      <c r="I40" s="105">
        <f>G40*H40</f>
        <v>4.305184</v>
      </c>
      <c r="J40" s="106">
        <f t="shared" si="0"/>
        <v>0</v>
      </c>
      <c r="K40" s="65">
        <f t="shared" si="1"/>
        <v>0</v>
      </c>
      <c r="L40" s="65">
        <f t="shared" si="2"/>
        <v>0.03783910958235962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827.92</v>
      </c>
      <c r="E41" s="107">
        <f>E17</f>
        <v>0.0013</v>
      </c>
      <c r="F41" s="108">
        <f>E41*D41</f>
        <v>1.076296</v>
      </c>
      <c r="G41" s="101">
        <f>D23*K24</f>
        <v>827.92</v>
      </c>
      <c r="H41" s="102">
        <f>E17</f>
        <v>0.0013</v>
      </c>
      <c r="I41" s="108">
        <f>G41*H41</f>
        <v>1.076296</v>
      </c>
      <c r="J41" s="86">
        <f t="shared" si="0"/>
        <v>0</v>
      </c>
      <c r="K41" s="65">
        <f t="shared" si="1"/>
        <v>0</v>
      </c>
      <c r="L41" s="65">
        <f t="shared" si="2"/>
        <v>0.009459777395589905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0.0021972992084867697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5.63148</v>
      </c>
      <c r="G43" s="74"/>
      <c r="H43" s="74"/>
      <c r="I43" s="75">
        <f>SUM(I40:I42)</f>
        <v>5.63148</v>
      </c>
      <c r="J43" s="75"/>
      <c r="K43" s="76"/>
      <c r="L43" s="76">
        <f t="shared" si="2"/>
        <v>0.049496186186436295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800</v>
      </c>
      <c r="E44" s="115">
        <f>D19</f>
        <v>0.007</v>
      </c>
      <c r="F44" s="116">
        <f>D44*E44</f>
        <v>5.6000000000000005</v>
      </c>
      <c r="G44" s="117">
        <f>D23</f>
        <v>800</v>
      </c>
      <c r="H44" s="118">
        <f>E19</f>
        <v>0.007</v>
      </c>
      <c r="I44" s="116">
        <f>G44*H44</f>
        <v>5.6000000000000005</v>
      </c>
      <c r="J44" s="75">
        <f>I44-F44</f>
        <v>0</v>
      </c>
      <c r="K44" s="76">
        <f>IF(ISERROR(J44/F44),0,J44/F44)</f>
        <v>0</v>
      </c>
      <c r="L44" s="76">
        <f t="shared" si="2"/>
        <v>0.049219502270103646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102.47487999999998</v>
      </c>
      <c r="G45" s="120"/>
      <c r="H45" s="120"/>
      <c r="I45" s="121">
        <f>SUM(I44,I43,I39,I29)</f>
        <v>100.68675999999999</v>
      </c>
      <c r="J45" s="121">
        <f>I45-F45</f>
        <v>-1.7881199999999922</v>
      </c>
      <c r="K45" s="122">
        <f>IF(ISERROR(J45/F45),0,J45/F45)</f>
        <v>-0.017449349538150152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13.321734399999999</v>
      </c>
      <c r="G46" s="124"/>
      <c r="H46" s="125">
        <v>0.13</v>
      </c>
      <c r="I46" s="127">
        <f>I45*H46</f>
        <v>13.089278799999999</v>
      </c>
      <c r="J46" s="126">
        <f>I46-F46</f>
        <v>-0.23245559999999976</v>
      </c>
      <c r="K46" s="128">
        <f>IF(ISERROR(J46/F46),0,J46/F46)</f>
        <v>-0.01744934953815021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115.79661439999998</v>
      </c>
      <c r="G47" s="129"/>
      <c r="H47" s="129"/>
      <c r="I47" s="121">
        <f>SUM(I45:I46)</f>
        <v>113.7760388</v>
      </c>
      <c r="J47" s="121">
        <f>I47-F47</f>
        <v>-2.0205755999999866</v>
      </c>
      <c r="K47" s="122">
        <f>IF(ISERROR(J47/F47),0,J47/F47)</f>
        <v>-0.017449349538150114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-11.579661439999999</v>
      </c>
      <c r="G48" s="131"/>
      <c r="H48" s="132">
        <v>-0.1</v>
      </c>
      <c r="I48" s="134">
        <f>H48*I47</f>
        <v>-11.37760388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104.21695295999999</v>
      </c>
      <c r="G49" s="129"/>
      <c r="H49" s="129"/>
      <c r="I49" s="137">
        <f>SUM(I47:I48)</f>
        <v>102.39843492</v>
      </c>
      <c r="J49" s="138">
        <f>I49-F49</f>
        <v>-1.8185180399999865</v>
      </c>
      <c r="K49" s="139">
        <f>IF(ISERROR(J49/F49),0,J49/F49)</f>
        <v>-0.0174493495381501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  <row r="52" spans="9:11" ht="15">
      <c r="I52" s="148"/>
      <c r="J52" s="148"/>
      <c r="K52" s="148"/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4">
      <selection activeCell="I11" sqref="I11"/>
    </sheetView>
  </sheetViews>
  <sheetFormatPr defaultColWidth="9.140625" defaultRowHeight="15"/>
  <cols>
    <col min="1" max="1" width="34.28125" style="2" hidden="1" customWidth="1"/>
    <col min="2" max="2" width="2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9.83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0.0143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0.0075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8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1000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5"/>
      <c r="G25" s="145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1000</v>
      </c>
      <c r="E27" s="62">
        <v>0.071</v>
      </c>
      <c r="F27" s="63">
        <f>E27*D27</f>
        <v>71</v>
      </c>
      <c r="G27" s="61">
        <f>IF($D$23&lt;$D$24,$D$23*$K$24,$D$24)</f>
        <v>1000</v>
      </c>
      <c r="H27" s="62">
        <v>0.071</v>
      </c>
      <c r="I27" s="63">
        <f>H27*G27</f>
        <v>71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0.5084419535721959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IF(($D$24*K23)&gt;$D$23,(($D$24*K23)-$D$23),0)</f>
        <v>34.899999999999864</v>
      </c>
      <c r="E28" s="68">
        <v>0.083</v>
      </c>
      <c r="F28" s="69">
        <f>E28*D28</f>
        <v>2.896699999999989</v>
      </c>
      <c r="G28" s="67">
        <f>IF(($D$24*K24)&gt;$D$23,(($D$24*K24)-$D$23),0)</f>
        <v>34.899999999999864</v>
      </c>
      <c r="H28" s="68">
        <v>0.083</v>
      </c>
      <c r="I28" s="69">
        <f>H28*G28</f>
        <v>2.896699999999989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0.020743715590317947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73.8967</v>
      </c>
      <c r="G29" s="74"/>
      <c r="H29" s="74"/>
      <c r="I29" s="75">
        <f>SUM(I27:I28)</f>
        <v>73.8967</v>
      </c>
      <c r="J29" s="75">
        <f t="shared" si="0"/>
        <v>0</v>
      </c>
      <c r="K29" s="76">
        <f t="shared" si="1"/>
        <v>0</v>
      </c>
      <c r="L29" s="76">
        <f>I29/$I$47</f>
        <v>0.5291856691625139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9.83</v>
      </c>
      <c r="I30" s="80">
        <f>G30*H30</f>
        <v>9.83</v>
      </c>
      <c r="J30" s="81">
        <f t="shared" si="0"/>
        <v>0.08000000000000007</v>
      </c>
      <c r="K30" s="65">
        <f t="shared" si="1"/>
        <v>0.008205128205128212</v>
      </c>
      <c r="L30" s="65">
        <f t="shared" si="2"/>
        <v>0.0703941465297843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0.005156031078478607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1000</v>
      </c>
      <c r="E32" s="89">
        <f>$D$11</f>
        <v>0.0142</v>
      </c>
      <c r="F32" s="85">
        <f>E32*D32</f>
        <v>14.200000000000001</v>
      </c>
      <c r="G32" s="88">
        <f>$D$23</f>
        <v>1000</v>
      </c>
      <c r="H32" s="89">
        <f>E11</f>
        <v>0.0143</v>
      </c>
      <c r="I32" s="85">
        <f>H32*G32</f>
        <v>14.3</v>
      </c>
      <c r="J32" s="86">
        <f t="shared" si="0"/>
        <v>0.09999999999999964</v>
      </c>
      <c r="K32" s="65">
        <f t="shared" si="1"/>
        <v>0.007042253521126735</v>
      </c>
      <c r="L32" s="65">
        <f t="shared" si="2"/>
        <v>0.10240450614200566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1000</v>
      </c>
      <c r="E33" s="92">
        <f>$D$13</f>
        <v>0</v>
      </c>
      <c r="F33" s="85">
        <f>E33*D33</f>
        <v>0</v>
      </c>
      <c r="G33" s="91">
        <f>$D$23</f>
        <v>1000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1000</v>
      </c>
      <c r="E34" s="68">
        <f>$D$12</f>
        <v>-0.0015</v>
      </c>
      <c r="F34" s="93">
        <f>E34*D34</f>
        <v>-1.5</v>
      </c>
      <c r="G34" s="91">
        <f>$D$23</f>
        <v>1000</v>
      </c>
      <c r="H34" s="92">
        <f>E12</f>
        <v>-0.0026000000000000003</v>
      </c>
      <c r="I34" s="93">
        <f>H34*G34</f>
        <v>-2.6000000000000005</v>
      </c>
      <c r="J34" s="86">
        <f t="shared" si="0"/>
        <v>-1.1000000000000005</v>
      </c>
      <c r="K34" s="65">
        <f t="shared" si="1"/>
        <v>0.7333333333333337</v>
      </c>
      <c r="L34" s="65">
        <f t="shared" si="2"/>
        <v>-0.018619001116728304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25.480000000000004</v>
      </c>
      <c r="G35" s="95"/>
      <c r="H35" s="96"/>
      <c r="I35" s="97">
        <f>SUM(I30:I34)</f>
        <v>22.25</v>
      </c>
      <c r="J35" s="97">
        <f t="shared" si="0"/>
        <v>-3.230000000000004</v>
      </c>
      <c r="K35" s="98">
        <f t="shared" si="1"/>
        <v>-0.12676609105180547</v>
      </c>
      <c r="L35" s="98">
        <f t="shared" si="2"/>
        <v>0.15933568263354028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1034.8999999999999</v>
      </c>
      <c r="E36" s="100">
        <f>D14</f>
        <v>0.0065</v>
      </c>
      <c r="F36" s="86">
        <f>E36*D36</f>
        <v>6.726849999999999</v>
      </c>
      <c r="G36" s="99">
        <f>D23*K24</f>
        <v>1034.8999999999999</v>
      </c>
      <c r="H36" s="100">
        <f>E14</f>
        <v>0.0075</v>
      </c>
      <c r="I36" s="86">
        <f>H36*G36</f>
        <v>7.761749999999998</v>
      </c>
      <c r="J36" s="81">
        <f t="shared" si="0"/>
        <v>1.0348999999999995</v>
      </c>
      <c r="K36" s="65">
        <f t="shared" si="1"/>
        <v>0.1538461538461538</v>
      </c>
      <c r="L36" s="65">
        <f t="shared" si="2"/>
        <v>0.05558308919914071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1034.8999999999999</v>
      </c>
      <c r="E37" s="102">
        <f>D15</f>
        <v>0.005</v>
      </c>
      <c r="F37" s="103">
        <f>E37*D37</f>
        <v>5.174499999999999</v>
      </c>
      <c r="G37" s="101">
        <f>D23*K24</f>
        <v>1034.8999999999999</v>
      </c>
      <c r="H37" s="102">
        <f>E15</f>
        <v>0.0055</v>
      </c>
      <c r="I37" s="103">
        <f>H37*G37</f>
        <v>5.6919499999999985</v>
      </c>
      <c r="J37" s="86">
        <f t="shared" si="0"/>
        <v>0.5174499999999993</v>
      </c>
      <c r="K37" s="65">
        <f t="shared" si="1"/>
        <v>0.09999999999999988</v>
      </c>
      <c r="L37" s="65">
        <f t="shared" si="2"/>
        <v>0.04076093207936986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11.901349999999997</v>
      </c>
      <c r="G38" s="96"/>
      <c r="H38" s="96"/>
      <c r="I38" s="97">
        <f>SUM(I36:I37)</f>
        <v>13.453699999999998</v>
      </c>
      <c r="J38" s="97">
        <f t="shared" si="0"/>
        <v>1.5523500000000006</v>
      </c>
      <c r="K38" s="98">
        <f t="shared" si="1"/>
        <v>0.13043478260869573</v>
      </c>
      <c r="L38" s="98">
        <f t="shared" si="2"/>
        <v>0.09634402127851058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37.38135</v>
      </c>
      <c r="G39" s="74"/>
      <c r="H39" s="74"/>
      <c r="I39" s="75">
        <f>SUM(I38,I35)</f>
        <v>35.7037</v>
      </c>
      <c r="J39" s="75">
        <f t="shared" si="0"/>
        <v>-1.6776499999999999</v>
      </c>
      <c r="K39" s="76">
        <f t="shared" si="1"/>
        <v>-0.04487933153832058</v>
      </c>
      <c r="L39" s="76">
        <f t="shared" si="2"/>
        <v>0.25567970391205086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1034.8999999999999</v>
      </c>
      <c r="E40" s="104">
        <f>E16</f>
        <v>0.0052</v>
      </c>
      <c r="F40" s="105">
        <f>E40*D40</f>
        <v>5.381479999999999</v>
      </c>
      <c r="G40" s="99">
        <f>D23*K24</f>
        <v>1034.8999999999999</v>
      </c>
      <c r="H40" s="100">
        <f>E16</f>
        <v>0.0052</v>
      </c>
      <c r="I40" s="105">
        <f>G40*H40</f>
        <v>5.381479999999999</v>
      </c>
      <c r="J40" s="106">
        <f t="shared" si="0"/>
        <v>0</v>
      </c>
      <c r="K40" s="65">
        <f t="shared" si="1"/>
        <v>0</v>
      </c>
      <c r="L40" s="65">
        <f t="shared" si="2"/>
        <v>0.03853760851140423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1034.8999999999999</v>
      </c>
      <c r="E41" s="107">
        <f>E17</f>
        <v>0.0013</v>
      </c>
      <c r="F41" s="108">
        <f>E41*D41</f>
        <v>1.3453699999999997</v>
      </c>
      <c r="G41" s="101">
        <f>D23*K24</f>
        <v>1034.8999999999999</v>
      </c>
      <c r="H41" s="102">
        <f>E17</f>
        <v>0.0013</v>
      </c>
      <c r="I41" s="108">
        <f>G41*H41</f>
        <v>1.3453699999999997</v>
      </c>
      <c r="J41" s="86">
        <f t="shared" si="0"/>
        <v>0</v>
      </c>
      <c r="K41" s="65">
        <f t="shared" si="1"/>
        <v>0</v>
      </c>
      <c r="L41" s="65">
        <f t="shared" si="2"/>
        <v>0.009634402127851058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0.0017902885689161827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6.976849999999999</v>
      </c>
      <c r="G43" s="74"/>
      <c r="H43" s="74"/>
      <c r="I43" s="75">
        <f>SUM(I40:I42)</f>
        <v>6.976849999999999</v>
      </c>
      <c r="J43" s="75"/>
      <c r="K43" s="76"/>
      <c r="L43" s="76">
        <f t="shared" si="2"/>
        <v>0.049962299208171475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1000</v>
      </c>
      <c r="E44" s="115">
        <f>D19</f>
        <v>0.007</v>
      </c>
      <c r="F44" s="116">
        <f>D44*E44</f>
        <v>7</v>
      </c>
      <c r="G44" s="117">
        <f>D23</f>
        <v>1000</v>
      </c>
      <c r="H44" s="118">
        <f>E19</f>
        <v>0.007</v>
      </c>
      <c r="I44" s="116">
        <f>G44*H44</f>
        <v>7</v>
      </c>
      <c r="J44" s="75">
        <f>I44-F44</f>
        <v>0</v>
      </c>
      <c r="K44" s="76">
        <f>IF(ISERROR(J44/F44),0,J44/F44)</f>
        <v>0</v>
      </c>
      <c r="L44" s="76">
        <f t="shared" si="2"/>
        <v>0.05012807992965312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125.25489999999999</v>
      </c>
      <c r="G45" s="120"/>
      <c r="H45" s="120"/>
      <c r="I45" s="121">
        <f>SUM(I44,I43,I39,I29)</f>
        <v>123.57724999999999</v>
      </c>
      <c r="J45" s="121">
        <f>I45-F45</f>
        <v>-1.6776499999999999</v>
      </c>
      <c r="K45" s="122">
        <f>IF(ISERROR(J45/F45),0,J45/F45)</f>
        <v>-0.013393887185251835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16.283137</v>
      </c>
      <c r="G46" s="124"/>
      <c r="H46" s="125">
        <v>0.13</v>
      </c>
      <c r="I46" s="127">
        <f>I45*H46</f>
        <v>16.0650425</v>
      </c>
      <c r="J46" s="126">
        <f>I46-F46</f>
        <v>-0.2180944999999994</v>
      </c>
      <c r="K46" s="128">
        <f>IF(ISERROR(J46/F46),0,J46/F46)</f>
        <v>-0.013393887185251798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141.538037</v>
      </c>
      <c r="G47" s="129"/>
      <c r="H47" s="129"/>
      <c r="I47" s="121">
        <f>SUM(I45:I46)</f>
        <v>139.6422925</v>
      </c>
      <c r="J47" s="121">
        <f>I47-F47</f>
        <v>-1.8957445000000064</v>
      </c>
      <c r="K47" s="122">
        <f>IF(ISERROR(J47/F47),0,J47/F47)</f>
        <v>-0.01339388718525188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-14.153803700000001</v>
      </c>
      <c r="G48" s="131"/>
      <c r="H48" s="132">
        <v>-0.1</v>
      </c>
      <c r="I48" s="134">
        <f>H48*I47</f>
        <v>-13.96422925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127.3842333</v>
      </c>
      <c r="G49" s="129"/>
      <c r="H49" s="129"/>
      <c r="I49" s="137">
        <f>SUM(I47:I48)</f>
        <v>125.67806325</v>
      </c>
      <c r="J49" s="138">
        <f>I49-F49</f>
        <v>-1.7061700500000114</v>
      </c>
      <c r="K49" s="139">
        <f>IF(ISERROR(J49/F49),0,J49/F49)</f>
        <v>-0.013393887185251923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H29" sqref="H29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00390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9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9.83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0.0143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0.0075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3.7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5"/>
      <c r="G25" s="145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1000</v>
      </c>
      <c r="E27" s="62">
        <v>0.071</v>
      </c>
      <c r="F27" s="63">
        <f>E27*D27</f>
        <v>71</v>
      </c>
      <c r="G27" s="61">
        <f>IF($D$23&lt;$D$24,$D$23*$K$24,$D$24)</f>
        <v>1000</v>
      </c>
      <c r="H27" s="62">
        <v>0.071</v>
      </c>
      <c r="I27" s="63">
        <f>H27*G27</f>
        <v>71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0.25299263112639253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IF($D$23&gt;$D$24,($D$23*$K$23-$D$24),0)</f>
        <v>1069.7999999999997</v>
      </c>
      <c r="E28" s="68">
        <v>0.083</v>
      </c>
      <c r="F28" s="69">
        <f>E28*D28</f>
        <v>88.79339999999998</v>
      </c>
      <c r="G28" s="146">
        <f>IF($D$23&gt;$D$24,($D$23*$K$23-$D$24),0)</f>
        <v>1069.7999999999997</v>
      </c>
      <c r="H28" s="68">
        <v>0.083</v>
      </c>
      <c r="I28" s="69">
        <f>H28*G28</f>
        <v>88.79339999999998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0.31639543510786217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159.79339999999996</v>
      </c>
      <c r="G29" s="74"/>
      <c r="H29" s="74"/>
      <c r="I29" s="75">
        <f>SUM(I27:I28)</f>
        <v>159.79339999999996</v>
      </c>
      <c r="J29" s="75">
        <f t="shared" si="0"/>
        <v>0</v>
      </c>
      <c r="K29" s="76">
        <f t="shared" si="1"/>
        <v>0</v>
      </c>
      <c r="L29" s="76">
        <f>I29/$I$47</f>
        <v>0.5693880662342546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9.83</v>
      </c>
      <c r="I30" s="80">
        <f>G30*H30</f>
        <v>9.83</v>
      </c>
      <c r="J30" s="81">
        <f t="shared" si="0"/>
        <v>0.08000000000000007</v>
      </c>
      <c r="K30" s="65">
        <f t="shared" si="1"/>
        <v>0.008205128205128212</v>
      </c>
      <c r="L30" s="65">
        <f t="shared" si="2"/>
        <v>0.03502700794327378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0.0025655590762113044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2000</v>
      </c>
      <c r="E32" s="89">
        <f>$D$11</f>
        <v>0.0142</v>
      </c>
      <c r="F32" s="85">
        <f>E32*D32</f>
        <v>28.400000000000002</v>
      </c>
      <c r="G32" s="88">
        <f>$D$23</f>
        <v>2000</v>
      </c>
      <c r="H32" s="89">
        <f>E11</f>
        <v>0.0143</v>
      </c>
      <c r="I32" s="85">
        <f>H32*G32</f>
        <v>28.6</v>
      </c>
      <c r="J32" s="86">
        <f t="shared" si="0"/>
        <v>0.1999999999999993</v>
      </c>
      <c r="K32" s="65">
        <f t="shared" si="1"/>
        <v>0.007042253521126735</v>
      </c>
      <c r="L32" s="65">
        <f t="shared" si="2"/>
        <v>0.1019097077495046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2000</v>
      </c>
      <c r="E33" s="92">
        <f>$D$13</f>
        <v>0</v>
      </c>
      <c r="F33" s="85">
        <f>E33*D33</f>
        <v>0</v>
      </c>
      <c r="G33" s="91">
        <f>$D$23</f>
        <v>2000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2000</v>
      </c>
      <c r="E34" s="68">
        <f>$D$12</f>
        <v>-0.0015</v>
      </c>
      <c r="F34" s="93">
        <f>E34*D34</f>
        <v>-3</v>
      </c>
      <c r="G34" s="91">
        <f>$D$23</f>
        <v>2000</v>
      </c>
      <c r="H34" s="92">
        <f>E12</f>
        <v>-0.0026000000000000003</v>
      </c>
      <c r="I34" s="93">
        <f>H34*G34</f>
        <v>-5.200000000000001</v>
      </c>
      <c r="J34" s="86">
        <f t="shared" si="0"/>
        <v>-2.200000000000001</v>
      </c>
      <c r="K34" s="65">
        <f t="shared" si="1"/>
        <v>0.7333333333333337</v>
      </c>
      <c r="L34" s="65">
        <f t="shared" si="2"/>
        <v>-0.018529037772637202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38.18000000000001</v>
      </c>
      <c r="G35" s="95"/>
      <c r="H35" s="96"/>
      <c r="I35" s="97">
        <f>SUM(I30:I34)</f>
        <v>33.95</v>
      </c>
      <c r="J35" s="97">
        <f t="shared" si="0"/>
        <v>-4.230000000000004</v>
      </c>
      <c r="K35" s="98">
        <f t="shared" si="1"/>
        <v>-0.11079099004714518</v>
      </c>
      <c r="L35" s="98">
        <f t="shared" si="2"/>
        <v>0.12097323699635248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2069.7999999999997</v>
      </c>
      <c r="E36" s="100">
        <f>D14</f>
        <v>0.0065</v>
      </c>
      <c r="F36" s="86">
        <f>E36*D36</f>
        <v>13.453699999999998</v>
      </c>
      <c r="G36" s="99">
        <f>D23*K24</f>
        <v>2069.7999999999997</v>
      </c>
      <c r="H36" s="100">
        <f>E14</f>
        <v>0.0075</v>
      </c>
      <c r="I36" s="86">
        <f>H36*G36</f>
        <v>15.523499999999997</v>
      </c>
      <c r="J36" s="81">
        <f t="shared" si="0"/>
        <v>2.069799999999999</v>
      </c>
      <c r="K36" s="65">
        <f t="shared" si="1"/>
        <v>0.1538461538461538</v>
      </c>
      <c r="L36" s="65">
        <f t="shared" si="2"/>
        <v>0.05531452266606413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2069.7999999999997</v>
      </c>
      <c r="E37" s="102">
        <f>D15</f>
        <v>0.005</v>
      </c>
      <c r="F37" s="103">
        <f>E37*D37</f>
        <v>10.348999999999998</v>
      </c>
      <c r="G37" s="101">
        <f>D23*K24</f>
        <v>2069.7999999999997</v>
      </c>
      <c r="H37" s="102">
        <f>E15</f>
        <v>0.0055</v>
      </c>
      <c r="I37" s="103">
        <f>H37*G37</f>
        <v>11.383899999999997</v>
      </c>
      <c r="J37" s="86">
        <f t="shared" si="0"/>
        <v>1.0348999999999986</v>
      </c>
      <c r="K37" s="65">
        <f t="shared" si="1"/>
        <v>0.09999999999999988</v>
      </c>
      <c r="L37" s="65">
        <f t="shared" si="2"/>
        <v>0.04056398328844703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23.802699999999994</v>
      </c>
      <c r="G38" s="96"/>
      <c r="H38" s="96"/>
      <c r="I38" s="97">
        <f>SUM(I36:I37)</f>
        <v>26.907399999999996</v>
      </c>
      <c r="J38" s="97">
        <f t="shared" si="0"/>
        <v>3.104700000000001</v>
      </c>
      <c r="K38" s="98">
        <f t="shared" si="1"/>
        <v>0.13043478260869573</v>
      </c>
      <c r="L38" s="98">
        <f t="shared" si="2"/>
        <v>0.09587850595451117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61.9827</v>
      </c>
      <c r="G39" s="74"/>
      <c r="H39" s="74"/>
      <c r="I39" s="75">
        <f>SUM(I38,I35)</f>
        <v>60.8574</v>
      </c>
      <c r="J39" s="75">
        <f t="shared" si="0"/>
        <v>-1.1253000000000029</v>
      </c>
      <c r="K39" s="76">
        <f t="shared" si="1"/>
        <v>-0.018155065849019207</v>
      </c>
      <c r="L39" s="76">
        <f t="shared" si="2"/>
        <v>0.21685174295086365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2069.7999999999997</v>
      </c>
      <c r="E40" s="104">
        <f>E16</f>
        <v>0.0052</v>
      </c>
      <c r="F40" s="105">
        <f>E40*D40</f>
        <v>10.762959999999998</v>
      </c>
      <c r="G40" s="99">
        <f>D23*K24</f>
        <v>2069.7999999999997</v>
      </c>
      <c r="H40" s="100">
        <f>E16</f>
        <v>0.0052</v>
      </c>
      <c r="I40" s="105">
        <f>G40*H40</f>
        <v>10.762959999999998</v>
      </c>
      <c r="J40" s="106">
        <f t="shared" si="0"/>
        <v>0</v>
      </c>
      <c r="K40" s="65">
        <f t="shared" si="1"/>
        <v>0</v>
      </c>
      <c r="L40" s="65">
        <f t="shared" si="2"/>
        <v>0.03835140238180446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2069.7999999999997</v>
      </c>
      <c r="E41" s="107">
        <f>E17</f>
        <v>0.0013</v>
      </c>
      <c r="F41" s="108">
        <f>E41*D41</f>
        <v>2.6907399999999995</v>
      </c>
      <c r="G41" s="101">
        <f>D23*K24</f>
        <v>2069.7999999999997</v>
      </c>
      <c r="H41" s="102">
        <f>E17</f>
        <v>0.0013</v>
      </c>
      <c r="I41" s="108">
        <f>G41*H41</f>
        <v>2.6907399999999995</v>
      </c>
      <c r="J41" s="86">
        <f t="shared" si="0"/>
        <v>0</v>
      </c>
      <c r="K41" s="65">
        <f t="shared" si="1"/>
        <v>0</v>
      </c>
      <c r="L41" s="65">
        <f t="shared" si="2"/>
        <v>0.009587850595451116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0.0008908191236844807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13.703699999999998</v>
      </c>
      <c r="G43" s="74"/>
      <c r="H43" s="74"/>
      <c r="I43" s="75">
        <f>SUM(I40:I42)</f>
        <v>13.703699999999998</v>
      </c>
      <c r="J43" s="75"/>
      <c r="K43" s="76"/>
      <c r="L43" s="76">
        <f t="shared" si="2"/>
        <v>0.048830072100940064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2000</v>
      </c>
      <c r="E44" s="115">
        <f>D19</f>
        <v>0.007</v>
      </c>
      <c r="F44" s="116">
        <f>D44*E44</f>
        <v>14</v>
      </c>
      <c r="G44" s="117">
        <f>D23</f>
        <v>2000</v>
      </c>
      <c r="H44" s="118">
        <f>E19</f>
        <v>0.007</v>
      </c>
      <c r="I44" s="116">
        <f>G44*H44</f>
        <v>14</v>
      </c>
      <c r="J44" s="75">
        <f>I44-F44</f>
        <v>0</v>
      </c>
      <c r="K44" s="76">
        <f>IF(ISERROR(J44/F44),0,J44/F44)</f>
        <v>0</v>
      </c>
      <c r="L44" s="76">
        <f t="shared" si="2"/>
        <v>0.04988587092633092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249.47979999999995</v>
      </c>
      <c r="G45" s="120"/>
      <c r="H45" s="120"/>
      <c r="I45" s="121">
        <f>SUM(I44,I43,I39,I29)</f>
        <v>248.35449999999997</v>
      </c>
      <c r="J45" s="121">
        <f>I45-F45</f>
        <v>-1.1252999999999815</v>
      </c>
      <c r="K45" s="122">
        <f>IF(ISERROR(J45/F45),0,J45/F45)</f>
        <v>-0.004510585626571697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32.432373999999996</v>
      </c>
      <c r="G46" s="124"/>
      <c r="H46" s="125">
        <v>0.13</v>
      </c>
      <c r="I46" s="127">
        <f>I45*H46</f>
        <v>32.286085</v>
      </c>
      <c r="J46" s="126">
        <f>I46-F46</f>
        <v>-0.1462889999999959</v>
      </c>
      <c r="K46" s="128">
        <f>IF(ISERROR(J46/F46),0,J46/F46)</f>
        <v>-0.0045105856265716445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281.91217399999994</v>
      </c>
      <c r="G47" s="129"/>
      <c r="H47" s="129"/>
      <c r="I47" s="121">
        <f>SUM(I45:I46)</f>
        <v>280.640585</v>
      </c>
      <c r="J47" s="121">
        <f>I47-F47</f>
        <v>-1.271588999999949</v>
      </c>
      <c r="K47" s="122">
        <f>IF(ISERROR(J47/F47),0,J47/F47)</f>
        <v>-0.004510585626571591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-28.191217399999996</v>
      </c>
      <c r="G48" s="131"/>
      <c r="H48" s="132">
        <v>-0.1</v>
      </c>
      <c r="I48" s="134">
        <f>H48*I47</f>
        <v>-28.0640585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253.72095659999994</v>
      </c>
      <c r="G49" s="129"/>
      <c r="H49" s="129"/>
      <c r="I49" s="137">
        <f>SUM(I47:I48)</f>
        <v>252.5765265</v>
      </c>
      <c r="J49" s="138">
        <f>I49-F49</f>
        <v>-1.144430099999937</v>
      </c>
      <c r="K49" s="139">
        <f>IF(ISERROR(J49/F49),0,J49/F49)</f>
        <v>-0.004510585626571524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AC50"/>
  <sheetViews>
    <sheetView zoomScale="70" zoomScaleNormal="70" zoomScalePageLayoutView="0" workbookViewId="0" topLeftCell="B1">
      <selection activeCell="H29" sqref="H29"/>
    </sheetView>
  </sheetViews>
  <sheetFormatPr defaultColWidth="9.140625" defaultRowHeight="15"/>
  <cols>
    <col min="1" max="1" width="34.28125" style="2" hidden="1" customWidth="1"/>
    <col min="2" max="2" width="1.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3" ht="18">
      <c r="C3" s="4" t="s">
        <v>0</v>
      </c>
    </row>
    <row r="5" spans="3:17" ht="18">
      <c r="C5" s="149" t="s">
        <v>1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17.75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0.0156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0.0067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6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500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517.4499999999999</v>
      </c>
      <c r="E27" s="62">
        <v>0.071</v>
      </c>
      <c r="F27" s="63">
        <f>E27*D27</f>
        <v>36.73894999999999</v>
      </c>
      <c r="G27" s="64">
        <f>IF($D$23&lt;$D$24,$D$23*$K$24,$D$24)</f>
        <v>517.4499999999999</v>
      </c>
      <c r="H27" s="62">
        <v>0.071</v>
      </c>
      <c r="I27" s="63">
        <f>H27*G27</f>
        <v>36.73894999999999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0.42560269303873466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0.083</v>
      </c>
      <c r="F28" s="69">
        <f>E28*D28</f>
        <v>0</v>
      </c>
      <c r="G28" s="70">
        <f>IF($D$23&gt;$D$24,($D$23*$K$23-$D$24),0)</f>
        <v>0</v>
      </c>
      <c r="H28" s="68">
        <v>0.083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36.73894999999999</v>
      </c>
      <c r="G29" s="74"/>
      <c r="H29" s="74"/>
      <c r="I29" s="75">
        <f>SUM(I27:I28)</f>
        <v>36.73894999999999</v>
      </c>
      <c r="J29" s="75">
        <f t="shared" si="0"/>
        <v>0</v>
      </c>
      <c r="K29" s="76">
        <f t="shared" si="1"/>
        <v>0</v>
      </c>
      <c r="L29" s="76">
        <f t="shared" si="2"/>
        <v>0.42560269303873466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17.75</v>
      </c>
      <c r="I30" s="80">
        <f>G30*H30</f>
        <v>17.75</v>
      </c>
      <c r="J30" s="81">
        <f>I30-F30</f>
        <v>0.14000000000000057</v>
      </c>
      <c r="K30" s="65">
        <f t="shared" si="1"/>
        <v>0.007950028392958578</v>
      </c>
      <c r="L30" s="65">
        <f t="shared" si="2"/>
        <v>0.20562503287213005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0.02768697625714878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500</v>
      </c>
      <c r="E32" s="89">
        <f>$D$11</f>
        <v>0.0155</v>
      </c>
      <c r="F32" s="85">
        <f>E32*D32</f>
        <v>7.75</v>
      </c>
      <c r="G32" s="88">
        <f>$D$23</f>
        <v>500</v>
      </c>
      <c r="H32" s="89">
        <f>E11</f>
        <v>0.0156</v>
      </c>
      <c r="I32" s="85">
        <f>H32*G32</f>
        <v>7.8</v>
      </c>
      <c r="J32" s="86">
        <f t="shared" si="0"/>
        <v>0.04999999999999982</v>
      </c>
      <c r="K32" s="65">
        <f t="shared" si="1"/>
        <v>0.006451612903225784</v>
      </c>
      <c r="L32" s="65">
        <f t="shared" si="2"/>
        <v>0.09035916937479517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500</v>
      </c>
      <c r="E33" s="92">
        <f>$D$13</f>
        <v>0</v>
      </c>
      <c r="F33" s="85">
        <f>E33*D33</f>
        <v>0</v>
      </c>
      <c r="G33" s="91">
        <f>$D$23</f>
        <v>500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500</v>
      </c>
      <c r="E34" s="68">
        <f>$D$12</f>
        <v>-0.0033</v>
      </c>
      <c r="F34" s="93">
        <f>E34*D34</f>
        <v>-1.65</v>
      </c>
      <c r="G34" s="91">
        <f>$D$23</f>
        <v>500</v>
      </c>
      <c r="H34" s="92">
        <f>E12</f>
        <v>-0.0026000000000000003</v>
      </c>
      <c r="I34" s="93">
        <f>H34*G34</f>
        <v>-1.3000000000000003</v>
      </c>
      <c r="J34" s="86">
        <f t="shared" si="0"/>
        <v>0.34999999999999964</v>
      </c>
      <c r="K34" s="65">
        <f t="shared" si="1"/>
        <v>-0.2121212121212119</v>
      </c>
      <c r="L34" s="65">
        <f t="shared" si="2"/>
        <v>-0.015059861562465866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28.41</v>
      </c>
      <c r="G35" s="95"/>
      <c r="H35" s="96"/>
      <c r="I35" s="97">
        <f>SUM(I30:I34)</f>
        <v>26.64</v>
      </c>
      <c r="J35" s="97">
        <f t="shared" si="0"/>
        <v>-1.7699999999999996</v>
      </c>
      <c r="K35" s="98">
        <f t="shared" si="1"/>
        <v>-0.06230200633579724</v>
      </c>
      <c r="L35" s="98">
        <f t="shared" si="2"/>
        <v>0.30861131694160815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517.4499999999999</v>
      </c>
      <c r="E36" s="100">
        <f>D14</f>
        <v>0.0058</v>
      </c>
      <c r="F36" s="86">
        <f>E36*D36</f>
        <v>3.0012099999999995</v>
      </c>
      <c r="G36" s="99">
        <f>D23*K24</f>
        <v>517.4499999999999</v>
      </c>
      <c r="H36" s="100">
        <f>E14</f>
        <v>0.0067</v>
      </c>
      <c r="I36" s="86">
        <f>H36*G36</f>
        <v>3.4669149999999997</v>
      </c>
      <c r="J36" s="81">
        <f t="shared" si="0"/>
        <v>0.46570500000000026</v>
      </c>
      <c r="K36" s="65">
        <f t="shared" si="1"/>
        <v>0.15517241379310356</v>
      </c>
      <c r="L36" s="65">
        <f t="shared" si="2"/>
        <v>0.04016250765295103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517.4499999999999</v>
      </c>
      <c r="E37" s="102">
        <f>D15</f>
        <v>0.0043</v>
      </c>
      <c r="F37" s="103">
        <f>E37*D37</f>
        <v>2.2250349999999997</v>
      </c>
      <c r="G37" s="101">
        <f>D23*K24</f>
        <v>517.4499999999999</v>
      </c>
      <c r="H37" s="102">
        <f>E15</f>
        <v>0.0047</v>
      </c>
      <c r="I37" s="103">
        <f>H37*G37</f>
        <v>2.432015</v>
      </c>
      <c r="J37" s="86">
        <f t="shared" si="0"/>
        <v>0.20698000000000016</v>
      </c>
      <c r="K37" s="65">
        <f t="shared" si="1"/>
        <v>0.09302325581395357</v>
      </c>
      <c r="L37" s="65">
        <f t="shared" si="2"/>
        <v>0.02817369939833878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5.226244999999999</v>
      </c>
      <c r="G38" s="96"/>
      <c r="H38" s="96"/>
      <c r="I38" s="97">
        <f>SUM(I36:I37)</f>
        <v>5.89893</v>
      </c>
      <c r="J38" s="97">
        <f t="shared" si="0"/>
        <v>0.6726850000000013</v>
      </c>
      <c r="K38" s="98">
        <f t="shared" si="1"/>
        <v>0.128712871287129</v>
      </c>
      <c r="L38" s="98">
        <f t="shared" si="2"/>
        <v>0.06833620705128982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33.636245</v>
      </c>
      <c r="G39" s="74"/>
      <c r="H39" s="74"/>
      <c r="I39" s="75">
        <f>SUM(I38,I35)</f>
        <v>32.53893</v>
      </c>
      <c r="J39" s="75">
        <f t="shared" si="0"/>
        <v>-1.0973150000000018</v>
      </c>
      <c r="K39" s="76">
        <f t="shared" si="1"/>
        <v>-0.032622993440557996</v>
      </c>
      <c r="L39" s="76">
        <f t="shared" si="2"/>
        <v>0.37694752399289794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517.4499999999999</v>
      </c>
      <c r="E40" s="104">
        <f>D16</f>
        <v>0.0052</v>
      </c>
      <c r="F40" s="105">
        <f>E40*D40</f>
        <v>2.6907399999999995</v>
      </c>
      <c r="G40" s="99">
        <f>D23*K24</f>
        <v>517.4499999999999</v>
      </c>
      <c r="H40" s="100">
        <f>E16</f>
        <v>0.0052</v>
      </c>
      <c r="I40" s="105">
        <f>G40*H40</f>
        <v>2.6907399999999995</v>
      </c>
      <c r="J40" s="106">
        <f t="shared" si="0"/>
        <v>0</v>
      </c>
      <c r="K40" s="65">
        <f t="shared" si="1"/>
        <v>0</v>
      </c>
      <c r="L40" s="65">
        <f t="shared" si="2"/>
        <v>0.031170901461991838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517.4499999999999</v>
      </c>
      <c r="E41" s="104">
        <f>D17</f>
        <v>0.0013</v>
      </c>
      <c r="F41" s="108">
        <f>E41*D41</f>
        <v>0.6726849999999999</v>
      </c>
      <c r="G41" s="101">
        <f>D23*K24</f>
        <v>517.4499999999999</v>
      </c>
      <c r="H41" s="102">
        <f>E17</f>
        <v>0.0013</v>
      </c>
      <c r="I41" s="108">
        <f>G41*H41</f>
        <v>0.6726849999999999</v>
      </c>
      <c r="J41" s="86">
        <f t="shared" si="0"/>
        <v>0</v>
      </c>
      <c r="K41" s="65">
        <f t="shared" si="1"/>
        <v>0</v>
      </c>
      <c r="L41" s="65">
        <f t="shared" si="2"/>
        <v>0.0077927253654979595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0.0028961272235511273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3.6134249999999994</v>
      </c>
      <c r="G43" s="74"/>
      <c r="H43" s="74"/>
      <c r="I43" s="75">
        <f>SUM(I40:I42)</f>
        <v>3.6134249999999994</v>
      </c>
      <c r="J43" s="75"/>
      <c r="K43" s="76"/>
      <c r="L43" s="76">
        <f t="shared" si="2"/>
        <v>0.04185975405104093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500</v>
      </c>
      <c r="E44" s="115">
        <f>D19</f>
        <v>0.007</v>
      </c>
      <c r="F44" s="116">
        <f>D44*E44</f>
        <v>3.5</v>
      </c>
      <c r="G44" s="117">
        <f>D23</f>
        <v>500</v>
      </c>
      <c r="H44" s="118">
        <f>E19</f>
        <v>0.007</v>
      </c>
      <c r="I44" s="116">
        <f>G44*H44</f>
        <v>3.5</v>
      </c>
      <c r="J44" s="75">
        <f>I44-F44</f>
        <v>0</v>
      </c>
      <c r="K44" s="76">
        <f>IF(ISERROR(J44/F44),0,J44/F44)</f>
        <v>0</v>
      </c>
      <c r="L44" s="76">
        <f t="shared" si="2"/>
        <v>0.04054578112971578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77.48862</v>
      </c>
      <c r="G45" s="120"/>
      <c r="H45" s="120"/>
      <c r="I45" s="121">
        <f>SUM(I44,I43,I39,I29)</f>
        <v>76.39130499999999</v>
      </c>
      <c r="J45" s="121">
        <f>I45-F45</f>
        <v>-1.097315000000009</v>
      </c>
      <c r="K45" s="122">
        <f>IF(ISERROR(J45/F45),0,J45/F45)</f>
        <v>-0.01416098260622023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10.0735206</v>
      </c>
      <c r="G46" s="124"/>
      <c r="H46" s="125">
        <v>0.13</v>
      </c>
      <c r="I46" s="127">
        <f>I45*H46</f>
        <v>9.930869649999998</v>
      </c>
      <c r="J46" s="126">
        <f>I46-F46</f>
        <v>-0.14265095000000194</v>
      </c>
      <c r="K46" s="128">
        <f>IF(ISERROR(J46/F46),0,J46/F46)</f>
        <v>-0.014160982606220306</v>
      </c>
      <c r="L46" s="128">
        <f t="shared" si="2"/>
        <v>0.1150442477876106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87.56214059999999</v>
      </c>
      <c r="G47" s="129"/>
      <c r="H47" s="129"/>
      <c r="I47" s="121">
        <f>SUM(I45:I46)</f>
        <v>86.32217465</v>
      </c>
      <c r="J47" s="121">
        <f>I47-F47</f>
        <v>-1.2399659499999984</v>
      </c>
      <c r="K47" s="122">
        <f>IF(ISERROR(J47/F47),0,J47/F47)</f>
        <v>-0.014160982606220097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-8.75621406</v>
      </c>
      <c r="G48" s="131"/>
      <c r="H48" s="132">
        <v>-0.1</v>
      </c>
      <c r="I48" s="134">
        <f>H48*I47</f>
        <v>-8.632217465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78.80592653999999</v>
      </c>
      <c r="G49" s="129"/>
      <c r="H49" s="129"/>
      <c r="I49" s="137">
        <f>SUM(I47:I48)</f>
        <v>77.689957185</v>
      </c>
      <c r="J49" s="138">
        <f>I49-F49</f>
        <v>-1.11596935499999</v>
      </c>
      <c r="K49" s="139">
        <f>IF(ISERROR(J49/F49),0,J49/F49)</f>
        <v>-0.01416098260621999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5.2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H28" sqref="H28"/>
    </sheetView>
  </sheetViews>
  <sheetFormatPr defaultColWidth="9.140625" defaultRowHeight="15"/>
  <cols>
    <col min="1" max="1" width="34.28125" style="2" hidden="1" customWidth="1"/>
    <col min="2" max="2" width="1.57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1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17.75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0.0156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0.0067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6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750</v>
      </c>
      <c r="E27" s="62">
        <v>0.071</v>
      </c>
      <c r="F27" s="63">
        <f>E27*D27</f>
        <v>53.24999999999999</v>
      </c>
      <c r="G27" s="64">
        <f>IF($D$23&lt;$D$24,$D$23*$K$24,$D$24)</f>
        <v>750</v>
      </c>
      <c r="H27" s="62">
        <v>0.071</v>
      </c>
      <c r="I27" s="63">
        <f>H27*G27</f>
        <v>53.24999999999999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0.1810835920131432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1319.7999999999997</v>
      </c>
      <c r="E28" s="68">
        <v>0.083</v>
      </c>
      <c r="F28" s="69">
        <f>E28*D28</f>
        <v>109.54339999999998</v>
      </c>
      <c r="G28" s="70">
        <f>IF($D$23&gt;$D$24,($D$23*$K$23-$D$24),0)</f>
        <v>1319.7999999999997</v>
      </c>
      <c r="H28" s="68">
        <v>0.083</v>
      </c>
      <c r="I28" s="69">
        <f>H28*G28</f>
        <v>109.54339999999998</v>
      </c>
      <c r="J28" s="71">
        <f t="shared" si="0"/>
        <v>0</v>
      </c>
      <c r="K28" s="65">
        <f t="shared" si="1"/>
        <v>0</v>
      </c>
      <c r="L28" s="65">
        <f t="shared" si="2"/>
        <v>0.37251666391234833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162.79339999999996</v>
      </c>
      <c r="G29" s="74"/>
      <c r="H29" s="74"/>
      <c r="I29" s="75">
        <f>SUM(I27:I28)</f>
        <v>162.79339999999996</v>
      </c>
      <c r="J29" s="75">
        <f t="shared" si="0"/>
        <v>0</v>
      </c>
      <c r="K29" s="76">
        <f t="shared" si="1"/>
        <v>0</v>
      </c>
      <c r="L29" s="76">
        <f t="shared" si="2"/>
        <v>0.5536002559254916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17.75</v>
      </c>
      <c r="I30" s="80">
        <f>G30*H30</f>
        <v>17.75</v>
      </c>
      <c r="J30" s="81">
        <f>I30-F30</f>
        <v>0.14000000000000057</v>
      </c>
      <c r="K30" s="65">
        <f t="shared" si="1"/>
        <v>0.007950028392958578</v>
      </c>
      <c r="L30" s="65">
        <f t="shared" si="2"/>
        <v>0.06036119733771441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0.008127507697866899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2000</v>
      </c>
      <c r="E32" s="89">
        <f>$D$11</f>
        <v>0.0155</v>
      </c>
      <c r="F32" s="85">
        <f>E32*D32</f>
        <v>31</v>
      </c>
      <c r="G32" s="88">
        <f>$D$23</f>
        <v>2000</v>
      </c>
      <c r="H32" s="89">
        <f>E11</f>
        <v>0.0156</v>
      </c>
      <c r="I32" s="85">
        <f>H32*G32</f>
        <v>31.2</v>
      </c>
      <c r="J32" s="86">
        <f t="shared" si="0"/>
        <v>0.1999999999999993</v>
      </c>
      <c r="K32" s="65">
        <f t="shared" si="1"/>
        <v>0.006451612903225784</v>
      </c>
      <c r="L32" s="65">
        <f t="shared" si="2"/>
        <v>0.10609968208094026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2000</v>
      </c>
      <c r="E33" s="92">
        <f>$D$13</f>
        <v>0</v>
      </c>
      <c r="F33" s="85">
        <f>E33*D33</f>
        <v>0</v>
      </c>
      <c r="G33" s="91">
        <f>$D$23</f>
        <v>2000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2000</v>
      </c>
      <c r="E34" s="68">
        <f>$D$12</f>
        <v>-0.0033</v>
      </c>
      <c r="F34" s="93">
        <f>E34*D34</f>
        <v>-6.6</v>
      </c>
      <c r="G34" s="91">
        <f>$D$23</f>
        <v>2000</v>
      </c>
      <c r="H34" s="92">
        <f>E12</f>
        <v>-0.0026000000000000003</v>
      </c>
      <c r="I34" s="93">
        <f>H34*G34</f>
        <v>-5.200000000000001</v>
      </c>
      <c r="J34" s="86">
        <f t="shared" si="0"/>
        <v>1.3999999999999986</v>
      </c>
      <c r="K34" s="65">
        <f t="shared" si="1"/>
        <v>-0.2121212121212119</v>
      </c>
      <c r="L34" s="65">
        <f t="shared" si="2"/>
        <v>-0.01768328034682338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46.71</v>
      </c>
      <c r="G35" s="95"/>
      <c r="H35" s="96"/>
      <c r="I35" s="97">
        <f>SUM(I30:I34)</f>
        <v>46.14</v>
      </c>
      <c r="J35" s="97">
        <f t="shared" si="0"/>
        <v>-0.5700000000000003</v>
      </c>
      <c r="K35" s="98">
        <f t="shared" si="1"/>
        <v>-0.012202954399486198</v>
      </c>
      <c r="L35" s="98">
        <f t="shared" si="2"/>
        <v>0.15690510676969818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2069.7999999999997</v>
      </c>
      <c r="E36" s="100">
        <f>D14</f>
        <v>0.0058</v>
      </c>
      <c r="F36" s="86">
        <f>E36*D36</f>
        <v>12.004839999999998</v>
      </c>
      <c r="G36" s="99">
        <f>D23*K24</f>
        <v>2069.7999999999997</v>
      </c>
      <c r="H36" s="100">
        <f>E14</f>
        <v>0.0067</v>
      </c>
      <c r="I36" s="86">
        <f>H36*G36</f>
        <v>13.867659999999999</v>
      </c>
      <c r="J36" s="81">
        <f t="shared" si="0"/>
        <v>1.862820000000001</v>
      </c>
      <c r="K36" s="65">
        <f t="shared" si="1"/>
        <v>0.15517241379310356</v>
      </c>
      <c r="L36" s="65">
        <f t="shared" si="2"/>
        <v>0.04715879221815936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2069.7999999999997</v>
      </c>
      <c r="E37" s="102">
        <f>D15</f>
        <v>0.0043</v>
      </c>
      <c r="F37" s="103">
        <f>E37*D37</f>
        <v>8.900139999999999</v>
      </c>
      <c r="G37" s="101">
        <f>D23*K24</f>
        <v>2069.7999999999997</v>
      </c>
      <c r="H37" s="102">
        <f>E15</f>
        <v>0.0047</v>
      </c>
      <c r="I37" s="103">
        <f>H37*G37</f>
        <v>9.72806</v>
      </c>
      <c r="J37" s="86">
        <f t="shared" si="0"/>
        <v>0.8279200000000007</v>
      </c>
      <c r="K37" s="65">
        <f t="shared" si="1"/>
        <v>0.09302325581395357</v>
      </c>
      <c r="L37" s="65">
        <f t="shared" si="2"/>
        <v>0.033081540809753576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20.904979999999995</v>
      </c>
      <c r="G38" s="96"/>
      <c r="H38" s="96"/>
      <c r="I38" s="97">
        <f>SUM(I36:I37)</f>
        <v>23.59572</v>
      </c>
      <c r="J38" s="97">
        <f t="shared" si="0"/>
        <v>2.6907400000000052</v>
      </c>
      <c r="K38" s="98">
        <f t="shared" si="1"/>
        <v>0.128712871287129</v>
      </c>
      <c r="L38" s="98">
        <f t="shared" si="2"/>
        <v>0.08024033302791293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67.61498</v>
      </c>
      <c r="G39" s="74"/>
      <c r="H39" s="74"/>
      <c r="I39" s="75">
        <f>SUM(I38,I35)</f>
        <v>69.73572</v>
      </c>
      <c r="J39" s="75">
        <f t="shared" si="0"/>
        <v>2.120739999999998</v>
      </c>
      <c r="K39" s="76">
        <f t="shared" si="1"/>
        <v>0.03136494309397116</v>
      </c>
      <c r="L39" s="76">
        <f t="shared" si="2"/>
        <v>0.23714543979761113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2069.7999999999997</v>
      </c>
      <c r="E40" s="104">
        <f>D16</f>
        <v>0.0052</v>
      </c>
      <c r="F40" s="105">
        <f>E40*D40</f>
        <v>10.762959999999998</v>
      </c>
      <c r="G40" s="99">
        <f>D23*K24</f>
        <v>2069.7999999999997</v>
      </c>
      <c r="H40" s="100">
        <f>E16</f>
        <v>0.0052</v>
      </c>
      <c r="I40" s="105">
        <f>G40*H40</f>
        <v>10.762959999999998</v>
      </c>
      <c r="J40" s="106">
        <f t="shared" si="0"/>
        <v>0</v>
      </c>
      <c r="K40" s="65">
        <f t="shared" si="1"/>
        <v>0</v>
      </c>
      <c r="L40" s="65">
        <f t="shared" si="2"/>
        <v>0.03660085366185502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2069.7999999999997</v>
      </c>
      <c r="E41" s="104">
        <f>D17</f>
        <v>0.0013</v>
      </c>
      <c r="F41" s="108">
        <f>E41*D41</f>
        <v>2.6907399999999995</v>
      </c>
      <c r="G41" s="101">
        <f>D23*K24</f>
        <v>2069.7999999999997</v>
      </c>
      <c r="H41" s="102">
        <f>E17</f>
        <v>0.0013</v>
      </c>
      <c r="I41" s="108">
        <f>G41*H41</f>
        <v>2.6907399999999995</v>
      </c>
      <c r="J41" s="86">
        <f t="shared" si="0"/>
        <v>0</v>
      </c>
      <c r="K41" s="65">
        <f t="shared" si="1"/>
        <v>0</v>
      </c>
      <c r="L41" s="65">
        <f t="shared" si="2"/>
        <v>0.009150213415463754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0.0008501577089818931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13.703699999999998</v>
      </c>
      <c r="G43" s="74"/>
      <c r="H43" s="74"/>
      <c r="I43" s="75">
        <f>SUM(I40:I42)</f>
        <v>13.703699999999998</v>
      </c>
      <c r="J43" s="75"/>
      <c r="K43" s="76"/>
      <c r="L43" s="76">
        <f t="shared" si="2"/>
        <v>0.04660122478630067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2000</v>
      </c>
      <c r="E44" s="115">
        <f>D19</f>
        <v>0.007</v>
      </c>
      <c r="F44" s="116">
        <f>D44*E44</f>
        <v>14</v>
      </c>
      <c r="G44" s="117">
        <f>D23</f>
        <v>2000</v>
      </c>
      <c r="H44" s="118">
        <f>E19</f>
        <v>0.007</v>
      </c>
      <c r="I44" s="116">
        <f>G44*H44</f>
        <v>14</v>
      </c>
      <c r="J44" s="75">
        <f>I44-F44</f>
        <v>0</v>
      </c>
      <c r="K44" s="76">
        <f>IF(ISERROR(J44/F44),0,J44/F44)</f>
        <v>0</v>
      </c>
      <c r="L44" s="76">
        <f t="shared" si="2"/>
        <v>0.047608831702986014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258.11208</v>
      </c>
      <c r="G45" s="120"/>
      <c r="H45" s="120"/>
      <c r="I45" s="121">
        <f>SUM(I44,I43,I39,I29)</f>
        <v>260.23281999999995</v>
      </c>
      <c r="J45" s="121">
        <f>I45-F45</f>
        <v>2.120739999999955</v>
      </c>
      <c r="K45" s="122">
        <f>IF(ISERROR(J45/F45),0,J45/F45)</f>
        <v>0.008216353143951865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33.5545704</v>
      </c>
      <c r="G46" s="124"/>
      <c r="H46" s="125">
        <v>0.13</v>
      </c>
      <c r="I46" s="127">
        <f>I45*H46</f>
        <v>33.830266599999995</v>
      </c>
      <c r="J46" s="126">
        <f>I46-F46</f>
        <v>0.2756961999999916</v>
      </c>
      <c r="K46" s="128">
        <f>IF(ISERROR(J46/F46),0,J46/F46)</f>
        <v>0.008216353143951787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291.6666504</v>
      </c>
      <c r="G47" s="129"/>
      <c r="H47" s="129"/>
      <c r="I47" s="121">
        <f>SUM(I45:I46)</f>
        <v>294.06308659999996</v>
      </c>
      <c r="J47" s="121">
        <f>I47-F47</f>
        <v>2.3964361999999824</v>
      </c>
      <c r="K47" s="122">
        <f>IF(ISERROR(J47/F47),0,J47/F47)</f>
        <v>0.008216353143951978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-29.166665039999998</v>
      </c>
      <c r="G48" s="131"/>
      <c r="H48" s="132">
        <v>-0.1</v>
      </c>
      <c r="I48" s="134">
        <f>H48*I47</f>
        <v>-29.406308659999997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262.49998536</v>
      </c>
      <c r="G49" s="129"/>
      <c r="H49" s="129"/>
      <c r="I49" s="137">
        <f>SUM(I47:I48)</f>
        <v>264.65677794</v>
      </c>
      <c r="J49" s="138">
        <f>I49-F49</f>
        <v>2.156792580000001</v>
      </c>
      <c r="K49" s="139">
        <f>IF(ISERROR(J49/F49),0,J49/F49)</f>
        <v>0.008216353143952044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H29" sqref="H29"/>
    </sheetView>
  </sheetViews>
  <sheetFormatPr defaultColWidth="9.140625" defaultRowHeight="15"/>
  <cols>
    <col min="1" max="1" width="34.28125" style="2" hidden="1" customWidth="1"/>
    <col min="2" max="2" width="0.99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57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49" t="s">
        <v>1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17.75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0.0156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24">
        <v>-0.0026000000000000003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0.0067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5000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750</v>
      </c>
      <c r="E27" s="62">
        <v>0.071</v>
      </c>
      <c r="F27" s="63">
        <f>E27*D27</f>
        <v>53.24999999999999</v>
      </c>
      <c r="G27" s="64">
        <f>IF($D$23&lt;$D$24,$D$23*$K$24,$D$24)</f>
        <v>750</v>
      </c>
      <c r="H27" s="62">
        <v>0.071</v>
      </c>
      <c r="I27" s="63">
        <f>H27*G27</f>
        <v>53.24999999999999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0.07438691909506087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4424.5</v>
      </c>
      <c r="E28" s="68">
        <v>0.083</v>
      </c>
      <c r="F28" s="69">
        <f>E28*D28</f>
        <v>367.2335</v>
      </c>
      <c r="G28" s="70">
        <f>IF($D$23&gt;$D$24,($D$23*$K$23-$D$24),0)</f>
        <v>4424.5</v>
      </c>
      <c r="H28" s="68">
        <v>0.083</v>
      </c>
      <c r="I28" s="69">
        <f>H28*G28</f>
        <v>367.2335</v>
      </c>
      <c r="J28" s="71">
        <f t="shared" si="0"/>
        <v>0</v>
      </c>
      <c r="K28" s="65">
        <f t="shared" si="1"/>
        <v>0</v>
      </c>
      <c r="L28" s="65">
        <f t="shared" si="2"/>
        <v>0.5130022282346673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420.4835</v>
      </c>
      <c r="G29" s="74"/>
      <c r="H29" s="74"/>
      <c r="I29" s="75">
        <f>SUM(I27:I28)</f>
        <v>420.4835</v>
      </c>
      <c r="J29" s="75">
        <f t="shared" si="0"/>
        <v>0</v>
      </c>
      <c r="K29" s="76">
        <f t="shared" si="1"/>
        <v>0</v>
      </c>
      <c r="L29" s="76">
        <f t="shared" si="2"/>
        <v>0.5873891473297282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17.75</v>
      </c>
      <c r="I30" s="80">
        <f>G30*H30</f>
        <v>17.75</v>
      </c>
      <c r="J30" s="81">
        <f>I30-F30</f>
        <v>0.14000000000000057</v>
      </c>
      <c r="K30" s="65">
        <f t="shared" si="1"/>
        <v>0.007950028392958578</v>
      </c>
      <c r="L30" s="65">
        <f t="shared" si="2"/>
        <v>0.024795639698353626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0.0033386805002290237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5000</v>
      </c>
      <c r="E32" s="89">
        <f>$D$11</f>
        <v>0.0155</v>
      </c>
      <c r="F32" s="85">
        <f>E32*D32</f>
        <v>77.5</v>
      </c>
      <c r="G32" s="88">
        <f>$D$23</f>
        <v>5000</v>
      </c>
      <c r="H32" s="89">
        <f>E11</f>
        <v>0.0156</v>
      </c>
      <c r="I32" s="85">
        <f>H32*G32</f>
        <v>78</v>
      </c>
      <c r="J32" s="86">
        <f t="shared" si="0"/>
        <v>0.5</v>
      </c>
      <c r="K32" s="65">
        <f t="shared" si="1"/>
        <v>0.0064516129032258064</v>
      </c>
      <c r="L32" s="65">
        <f t="shared" si="2"/>
        <v>0.1089611209279765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5000</v>
      </c>
      <c r="E33" s="92">
        <f>$D$13</f>
        <v>0</v>
      </c>
      <c r="F33" s="85">
        <f>E33*D33</f>
        <v>0</v>
      </c>
      <c r="G33" s="91">
        <f>$D$23</f>
        <v>5000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5000</v>
      </c>
      <c r="E34" s="68">
        <f>$D$12</f>
        <v>-0.0033</v>
      </c>
      <c r="F34" s="93">
        <f>E34*D34</f>
        <v>-16.5</v>
      </c>
      <c r="G34" s="91">
        <f>$D$23</f>
        <v>5000</v>
      </c>
      <c r="H34" s="92">
        <f>E12</f>
        <v>-0.0026000000000000003</v>
      </c>
      <c r="I34" s="93">
        <f>H34*G34</f>
        <v>-13.000000000000002</v>
      </c>
      <c r="J34" s="86">
        <f t="shared" si="0"/>
        <v>3.4999999999999982</v>
      </c>
      <c r="K34" s="65">
        <f t="shared" si="1"/>
        <v>-0.21212121212121202</v>
      </c>
      <c r="L34" s="65">
        <f t="shared" si="2"/>
        <v>-0.01816018682132942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83.31</v>
      </c>
      <c r="G35" s="95"/>
      <c r="H35" s="96"/>
      <c r="I35" s="97">
        <f>SUM(I30:I34)</f>
        <v>85.14</v>
      </c>
      <c r="J35" s="97">
        <f t="shared" si="0"/>
        <v>1.8299999999999983</v>
      </c>
      <c r="K35" s="98">
        <f t="shared" si="1"/>
        <v>0.02196615052214618</v>
      </c>
      <c r="L35" s="98">
        <f t="shared" si="2"/>
        <v>0.11893525430522973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5174.5</v>
      </c>
      <c r="E36" s="100">
        <f>D14</f>
        <v>0.0058</v>
      </c>
      <c r="F36" s="86">
        <f>E36*D36</f>
        <v>30.012099999999997</v>
      </c>
      <c r="G36" s="99">
        <f>D23*K24</f>
        <v>5174.5</v>
      </c>
      <c r="H36" s="100">
        <f>E14</f>
        <v>0.0067</v>
      </c>
      <c r="I36" s="86">
        <f>H36*G36</f>
        <v>34.66915</v>
      </c>
      <c r="J36" s="81">
        <f t="shared" si="0"/>
        <v>4.657050000000005</v>
      </c>
      <c r="K36" s="65">
        <f t="shared" si="1"/>
        <v>0.15517241379310365</v>
      </c>
      <c r="L36" s="65">
        <f t="shared" si="2"/>
        <v>0.048430633918207136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5174.5</v>
      </c>
      <c r="E37" s="102">
        <f>D15</f>
        <v>0.0043</v>
      </c>
      <c r="F37" s="103">
        <f>E37*D37</f>
        <v>22.25035</v>
      </c>
      <c r="G37" s="101">
        <f>D23*K24</f>
        <v>5174.5</v>
      </c>
      <c r="H37" s="102">
        <f>E15</f>
        <v>0.0047</v>
      </c>
      <c r="I37" s="103">
        <f>H37*G37</f>
        <v>24.32015</v>
      </c>
      <c r="J37" s="86">
        <f t="shared" si="0"/>
        <v>2.0698000000000008</v>
      </c>
      <c r="K37" s="65">
        <f t="shared" si="1"/>
        <v>0.09302325581395351</v>
      </c>
      <c r="L37" s="65">
        <f t="shared" si="2"/>
        <v>0.03397372827098113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52.26245</v>
      </c>
      <c r="G38" s="96"/>
      <c r="H38" s="96"/>
      <c r="I38" s="97">
        <f>SUM(I36:I37)</f>
        <v>58.9893</v>
      </c>
      <c r="J38" s="97">
        <f t="shared" si="0"/>
        <v>6.726849999999999</v>
      </c>
      <c r="K38" s="98">
        <f t="shared" si="1"/>
        <v>0.1287128712871287</v>
      </c>
      <c r="L38" s="98">
        <f t="shared" si="2"/>
        <v>0.08240436218918826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135.57245</v>
      </c>
      <c r="G39" s="74"/>
      <c r="H39" s="74"/>
      <c r="I39" s="75">
        <f>SUM(I38,I35)</f>
        <v>144.1293</v>
      </c>
      <c r="J39" s="75">
        <f t="shared" si="0"/>
        <v>8.556849999999997</v>
      </c>
      <c r="K39" s="76">
        <f t="shared" si="1"/>
        <v>0.0631164370047159</v>
      </c>
      <c r="L39" s="76">
        <f t="shared" si="2"/>
        <v>0.201339616494418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5174.5</v>
      </c>
      <c r="E40" s="104">
        <f>D16</f>
        <v>0.0052</v>
      </c>
      <c r="F40" s="105">
        <f>E40*D40</f>
        <v>26.9074</v>
      </c>
      <c r="G40" s="99">
        <f>D23*K24</f>
        <v>5174.5</v>
      </c>
      <c r="H40" s="100">
        <f>E16</f>
        <v>0.0052</v>
      </c>
      <c r="I40" s="105">
        <f>G40*H40</f>
        <v>26.9074</v>
      </c>
      <c r="J40" s="106">
        <f t="shared" si="0"/>
        <v>0</v>
      </c>
      <c r="K40" s="65">
        <f t="shared" si="1"/>
        <v>0</v>
      </c>
      <c r="L40" s="65">
        <f t="shared" si="2"/>
        <v>0.037587954682787625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5174.5</v>
      </c>
      <c r="E41" s="104">
        <f>D17</f>
        <v>0.0013</v>
      </c>
      <c r="F41" s="108">
        <f>E41*D41</f>
        <v>6.72685</v>
      </c>
      <c r="G41" s="101">
        <f>D23*K24</f>
        <v>5174.5</v>
      </c>
      <c r="H41" s="102">
        <f>E17</f>
        <v>0.0013</v>
      </c>
      <c r="I41" s="108">
        <f>G41*H41</f>
        <v>6.72685</v>
      </c>
      <c r="J41" s="86">
        <f t="shared" si="0"/>
        <v>0</v>
      </c>
      <c r="K41" s="65">
        <f t="shared" si="1"/>
        <v>0</v>
      </c>
      <c r="L41" s="65">
        <f t="shared" si="2"/>
        <v>0.009396988670696906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0.00034923436194864263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33.88425</v>
      </c>
      <c r="G43" s="74"/>
      <c r="H43" s="74"/>
      <c r="I43" s="75">
        <f>SUM(I40:I42)</f>
        <v>33.88425</v>
      </c>
      <c r="J43" s="75"/>
      <c r="K43" s="76"/>
      <c r="L43" s="76">
        <f t="shared" si="2"/>
        <v>0.047334177715433176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5000</v>
      </c>
      <c r="E44" s="115">
        <f>D19</f>
        <v>0.007</v>
      </c>
      <c r="F44" s="116">
        <f>D44*E44</f>
        <v>35</v>
      </c>
      <c r="G44" s="117">
        <f>D23</f>
        <v>5000</v>
      </c>
      <c r="H44" s="118">
        <f>E19</f>
        <v>0.007</v>
      </c>
      <c r="I44" s="116">
        <f>G44*H44</f>
        <v>35</v>
      </c>
      <c r="J44" s="75">
        <f>I44-F44</f>
        <v>0</v>
      </c>
      <c r="K44" s="76">
        <f>IF(ISERROR(J44/F44),0,J44/F44)</f>
        <v>0</v>
      </c>
      <c r="L44" s="76">
        <f t="shared" si="2"/>
        <v>0.04889281067280997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624.9402</v>
      </c>
      <c r="G45" s="120"/>
      <c r="H45" s="120"/>
      <c r="I45" s="121">
        <f>SUM(I44,I43,I39,I29)</f>
        <v>633.49705</v>
      </c>
      <c r="J45" s="121">
        <f>I45-F45</f>
        <v>8.55684999999994</v>
      </c>
      <c r="K45" s="122">
        <f>IF(ISERROR(J45/F45),0,J45/F45)</f>
        <v>0.013692270076400814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81.242226</v>
      </c>
      <c r="G46" s="124"/>
      <c r="H46" s="125">
        <v>0.13</v>
      </c>
      <c r="I46" s="127">
        <f>I45*H46</f>
        <v>82.35461649999999</v>
      </c>
      <c r="J46" s="126">
        <f>I46-F46</f>
        <v>1.1123904999999894</v>
      </c>
      <c r="K46" s="128">
        <f>IF(ISERROR(J46/F46),0,J46/F46)</f>
        <v>0.01369227007640078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706.182426</v>
      </c>
      <c r="G47" s="129"/>
      <c r="H47" s="129"/>
      <c r="I47" s="121">
        <f>SUM(I45:I46)</f>
        <v>715.8516665</v>
      </c>
      <c r="J47" s="121">
        <f>I47-F47</f>
        <v>9.6692405</v>
      </c>
      <c r="K47" s="122">
        <f>IF(ISERROR(J47/F47),0,J47/F47)</f>
        <v>0.013692270076400911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-70.6182426</v>
      </c>
      <c r="G48" s="131"/>
      <c r="H48" s="132">
        <v>-0.1</v>
      </c>
      <c r="I48" s="134">
        <f>H48*I47</f>
        <v>-71.58516665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635.5641833999999</v>
      </c>
      <c r="G49" s="129"/>
      <c r="H49" s="129"/>
      <c r="I49" s="137">
        <f>SUM(I47:I48)</f>
        <v>644.26649985</v>
      </c>
      <c r="J49" s="138">
        <f>I49-F49</f>
        <v>8.702316450000012</v>
      </c>
      <c r="K49" s="139">
        <f>IF(ISERROR(J49/F49),0,J49/F49)</f>
        <v>0.01369227007640093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">
      <selection activeCell="H28" sqref="H28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49" t="s">
        <v>93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107.48</v>
      </c>
      <c r="E8" s="12">
        <v>108.32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2.94</v>
      </c>
      <c r="E10" s="21">
        <v>2.15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2.4192</v>
      </c>
      <c r="E11" s="23">
        <v>2.4381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-0.092</v>
      </c>
      <c r="E12" s="24">
        <v>-0.42379999999999995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2.2646</v>
      </c>
      <c r="E14" s="24">
        <v>2.6053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1.6776</v>
      </c>
      <c r="E15" s="24">
        <v>1.8307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4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67160</v>
      </c>
      <c r="E23" s="39" t="s">
        <v>57</v>
      </c>
      <c r="F23" s="141">
        <v>184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0.5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General Service 50 to 699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69503.88399999999</v>
      </c>
      <c r="E27" s="62">
        <v>0.071</v>
      </c>
      <c r="F27" s="63">
        <f>E27*D27</f>
        <v>4934.775763999999</v>
      </c>
      <c r="G27" s="64">
        <f>$D$23*$K$24</f>
        <v>69503.88399999999</v>
      </c>
      <c r="H27" s="62">
        <v>0.071</v>
      </c>
      <c r="I27" s="63">
        <f>H27*G27</f>
        <v>4934.775763999999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0.6104148599367379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4934.775763999999</v>
      </c>
      <c r="G29" s="74"/>
      <c r="H29" s="74"/>
      <c r="I29" s="75">
        <f>SUM(I27:I28)</f>
        <v>4934.775763999999</v>
      </c>
      <c r="J29" s="75">
        <f t="shared" si="0"/>
        <v>0</v>
      </c>
      <c r="K29" s="76">
        <f t="shared" si="1"/>
        <v>0</v>
      </c>
      <c r="L29" s="76">
        <f t="shared" si="2"/>
        <v>0.6104148599367379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107.48</v>
      </c>
      <c r="F30" s="80">
        <f>D30*E30</f>
        <v>107.48</v>
      </c>
      <c r="G30" s="78">
        <v>1</v>
      </c>
      <c r="H30" s="79">
        <f>E8</f>
        <v>108.32</v>
      </c>
      <c r="I30" s="80">
        <f>G30*H30</f>
        <v>108.32</v>
      </c>
      <c r="J30" s="81">
        <f t="shared" si="0"/>
        <v>0.8399999999999892</v>
      </c>
      <c r="K30" s="65">
        <f t="shared" si="1"/>
        <v>0.007815407517677607</v>
      </c>
      <c r="L30" s="65">
        <f t="shared" si="2"/>
        <v>0.01339881299383545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4.46</v>
      </c>
      <c r="F31" s="85">
        <f>E31*D31</f>
        <v>4.46</v>
      </c>
      <c r="G31" s="83">
        <v>1</v>
      </c>
      <c r="H31" s="84">
        <f>SUM(E9:E10)</f>
        <v>2.15</v>
      </c>
      <c r="I31" s="85">
        <f>H31*G31</f>
        <v>2.15</v>
      </c>
      <c r="J31" s="86">
        <f t="shared" si="0"/>
        <v>-2.31</v>
      </c>
      <c r="K31" s="65">
        <f t="shared" si="1"/>
        <v>-0.5179372197309418</v>
      </c>
      <c r="L31" s="65">
        <f t="shared" si="2"/>
        <v>0.00026594763604824797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184</v>
      </c>
      <c r="E32" s="89">
        <f>$D$11</f>
        <v>2.4192</v>
      </c>
      <c r="F32" s="85">
        <f>E32*D32</f>
        <v>445.1328</v>
      </c>
      <c r="G32" s="88">
        <f>F23</f>
        <v>184</v>
      </c>
      <c r="H32" s="89">
        <f>E11</f>
        <v>2.4381</v>
      </c>
      <c r="I32" s="85">
        <f>H32*G32</f>
        <v>448.61039999999997</v>
      </c>
      <c r="J32" s="86">
        <f t="shared" si="0"/>
        <v>3.4775999999999954</v>
      </c>
      <c r="K32" s="65">
        <f t="shared" si="1"/>
        <v>0.00781249999999999</v>
      </c>
      <c r="L32" s="65">
        <f t="shared" si="2"/>
        <v>0.05549156994728322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184</v>
      </c>
      <c r="E33" s="92">
        <f>$D$13</f>
        <v>0</v>
      </c>
      <c r="F33" s="85">
        <f>E33*D33</f>
        <v>0</v>
      </c>
      <c r="G33" s="91">
        <f>F23</f>
        <v>184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184</v>
      </c>
      <c r="E34" s="68">
        <f>$D$12</f>
        <v>-0.092</v>
      </c>
      <c r="F34" s="93">
        <f>E34*D34</f>
        <v>-16.928</v>
      </c>
      <c r="G34" s="91">
        <f>F23</f>
        <v>184</v>
      </c>
      <c r="H34" s="92">
        <f>SUM(E12)</f>
        <v>-0.42379999999999995</v>
      </c>
      <c r="I34" s="93">
        <f>H34*G34</f>
        <v>-77.97919999999999</v>
      </c>
      <c r="J34" s="86">
        <f t="shared" si="0"/>
        <v>-61.051199999999994</v>
      </c>
      <c r="K34" s="65">
        <f t="shared" si="1"/>
        <v>3.606521739130434</v>
      </c>
      <c r="L34" s="65">
        <f t="shared" si="2"/>
        <v>-0.009645759953922575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540.1447999999999</v>
      </c>
      <c r="G35" s="95"/>
      <c r="H35" s="96"/>
      <c r="I35" s="97">
        <f>SUM(I30:I34)</f>
        <v>481.10119999999995</v>
      </c>
      <c r="J35" s="97">
        <f t="shared" si="0"/>
        <v>-59.04359999999997</v>
      </c>
      <c r="K35" s="98">
        <f t="shared" si="1"/>
        <v>-0.10931068854129482</v>
      </c>
      <c r="L35" s="98">
        <f aca="true" t="shared" si="3" ref="L35:L40">I35/$I$47</f>
        <v>0.059510570623244344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184</v>
      </c>
      <c r="E36" s="100">
        <f>D14</f>
        <v>2.2646</v>
      </c>
      <c r="F36" s="86">
        <f>E36*D36</f>
        <v>416.68640000000005</v>
      </c>
      <c r="G36" s="109">
        <f>F23</f>
        <v>184</v>
      </c>
      <c r="H36" s="100">
        <f>E14</f>
        <v>2.6053</v>
      </c>
      <c r="I36" s="86">
        <f>H36*G36</f>
        <v>479.3752</v>
      </c>
      <c r="J36" s="81">
        <f t="shared" si="0"/>
        <v>62.68879999999996</v>
      </c>
      <c r="K36" s="65">
        <f t="shared" si="1"/>
        <v>0.15044599487768248</v>
      </c>
      <c r="L36" s="65">
        <f t="shared" si="3"/>
        <v>0.05929707033495631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184</v>
      </c>
      <c r="E37" s="102">
        <f>D15</f>
        <v>1.6776</v>
      </c>
      <c r="F37" s="103">
        <f>E37*D37</f>
        <v>308.6784</v>
      </c>
      <c r="G37" s="88">
        <f>F23</f>
        <v>184</v>
      </c>
      <c r="H37" s="102">
        <f>E15</f>
        <v>1.8307</v>
      </c>
      <c r="I37" s="103">
        <f>H37*G37</f>
        <v>336.8488</v>
      </c>
      <c r="J37" s="86">
        <f t="shared" si="0"/>
        <v>28.170399999999972</v>
      </c>
      <c r="K37" s="65">
        <f t="shared" si="1"/>
        <v>0.0912613257033857</v>
      </c>
      <c r="L37" s="65">
        <f t="shared" si="3"/>
        <v>0.04166704282125073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725.3648000000001</v>
      </c>
      <c r="G38" s="96"/>
      <c r="H38" s="96"/>
      <c r="I38" s="97">
        <f>SUM(I36:I37)</f>
        <v>816.2239999999999</v>
      </c>
      <c r="J38" s="97">
        <f t="shared" si="0"/>
        <v>90.85919999999987</v>
      </c>
      <c r="K38" s="98">
        <f t="shared" si="1"/>
        <v>0.12526000710263285</v>
      </c>
      <c r="L38" s="98">
        <f t="shared" si="3"/>
        <v>0.10096411315620704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1265.5095999999999</v>
      </c>
      <c r="G39" s="74"/>
      <c r="H39" s="74"/>
      <c r="I39" s="75">
        <f>SUM(I38,I35)</f>
        <v>1297.3251999999998</v>
      </c>
      <c r="J39" s="75">
        <f t="shared" si="0"/>
        <v>31.815599999999904</v>
      </c>
      <c r="K39" s="76">
        <f t="shared" si="1"/>
        <v>0.025140544172877</v>
      </c>
      <c r="L39" s="76">
        <f t="shared" si="3"/>
        <v>0.16047468377945137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69503.88399999999</v>
      </c>
      <c r="E40" s="104">
        <f>D16</f>
        <v>0.0052</v>
      </c>
      <c r="F40" s="105">
        <f>E40*D40</f>
        <v>361.4201967999999</v>
      </c>
      <c r="G40" s="99">
        <f>D23*K24</f>
        <v>69503.88399999999</v>
      </c>
      <c r="H40" s="100">
        <f>E16</f>
        <v>0.0052</v>
      </c>
      <c r="I40" s="105">
        <f>G40*H40</f>
        <v>361.4201967999999</v>
      </c>
      <c r="J40" s="106">
        <f t="shared" si="0"/>
        <v>0</v>
      </c>
      <c r="K40" s="65">
        <f t="shared" si="1"/>
        <v>0</v>
      </c>
      <c r="L40" s="65">
        <f t="shared" si="3"/>
        <v>0.044706440446070944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69503.88399999999</v>
      </c>
      <c r="E41" s="107">
        <f>D17</f>
        <v>0.0013</v>
      </c>
      <c r="F41" s="108">
        <f>E41*D41</f>
        <v>90.35504919999998</v>
      </c>
      <c r="G41" s="101">
        <f>D23*K24</f>
        <v>69503.88399999999</v>
      </c>
      <c r="H41" s="102">
        <f>E17</f>
        <v>0.0013</v>
      </c>
      <c r="I41" s="108">
        <f>G41*H41</f>
        <v>90.35504919999998</v>
      </c>
      <c r="J41" s="86">
        <f t="shared" si="0"/>
        <v>0</v>
      </c>
      <c r="K41" s="65">
        <f t="shared" si="1"/>
        <v>0</v>
      </c>
      <c r="L41" s="65">
        <f aca="true" t="shared" si="4" ref="L41:L47">I41/$I$47</f>
        <v>0.011176610111517736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4"/>
        <v>3.092414372654046E-05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452.0252459999999</v>
      </c>
      <c r="G43" s="74"/>
      <c r="H43" s="74"/>
      <c r="I43" s="75">
        <f>SUM(I40:I42)</f>
        <v>452.0252459999999</v>
      </c>
      <c r="J43" s="75"/>
      <c r="K43" s="76"/>
      <c r="L43" s="76">
        <f t="shared" si="4"/>
        <v>0.055913974701315226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67160</v>
      </c>
      <c r="E44" s="115">
        <f>D19</f>
        <v>0.007</v>
      </c>
      <c r="F44" s="116">
        <f>D44*E44</f>
        <v>470.12</v>
      </c>
      <c r="G44" s="117">
        <f>D23</f>
        <v>67160</v>
      </c>
      <c r="H44" s="118">
        <f>E19</f>
        <v>0.007</v>
      </c>
      <c r="I44" s="116">
        <f>G44*H44</f>
        <v>470.12</v>
      </c>
      <c r="J44" s="75">
        <f>I44-F44</f>
        <v>0</v>
      </c>
      <c r="K44" s="76">
        <f>IF(ISERROR(J44/F44),0,J44/F44)</f>
        <v>0</v>
      </c>
      <c r="L44" s="76">
        <f t="shared" si="4"/>
        <v>0.05815223379488481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7122.430609999999</v>
      </c>
      <c r="G45" s="120"/>
      <c r="H45" s="120"/>
      <c r="I45" s="121">
        <f>SUM(I44,I43,I39,I29)</f>
        <v>7154.246209999999</v>
      </c>
      <c r="J45" s="121">
        <f>I45-F45</f>
        <v>31.815599999999904</v>
      </c>
      <c r="K45" s="122">
        <f>IF(ISERROR(J45/F45),0,J45/F45)</f>
        <v>0.004466958225655484</v>
      </c>
      <c r="L45" s="122">
        <f t="shared" si="4"/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925.9159793</v>
      </c>
      <c r="G46" s="124"/>
      <c r="H46" s="125">
        <v>0.13</v>
      </c>
      <c r="I46" s="127">
        <f>I45*H46</f>
        <v>930.0520072999999</v>
      </c>
      <c r="J46" s="126">
        <f>I46-F46</f>
        <v>4.136027999999897</v>
      </c>
      <c r="K46" s="128">
        <f>IF(ISERROR(J46/F46),0,J46/F46)</f>
        <v>0.004466958225655385</v>
      </c>
      <c r="L46" s="128">
        <f t="shared" si="4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8048.346589299999</v>
      </c>
      <c r="G47" s="129"/>
      <c r="H47" s="129"/>
      <c r="I47" s="121">
        <f>SUM(I45:I46)</f>
        <v>8084.298217299999</v>
      </c>
      <c r="J47" s="121">
        <f>I47-F47</f>
        <v>35.9516279999998</v>
      </c>
      <c r="K47" s="122">
        <f>IF(ISERROR(J47/F47),0,J47/F47)</f>
        <v>0.004466958225655473</v>
      </c>
      <c r="L47" s="122">
        <f t="shared" si="4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-804.8346589299999</v>
      </c>
      <c r="G48" s="131"/>
      <c r="H48" s="132">
        <v>-0.1</v>
      </c>
      <c r="I48" s="134">
        <f>H48*I47</f>
        <v>-808.42982173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7243.511930369999</v>
      </c>
      <c r="G49" s="129"/>
      <c r="H49" s="129"/>
      <c r="I49" s="137">
        <f>SUM(I47:I48)</f>
        <v>7275.868395569999</v>
      </c>
      <c r="J49" s="138">
        <f>I49-F49</f>
        <v>32.35646519999955</v>
      </c>
      <c r="K49" s="139">
        <f>IF(ISERROR(J49/F49),0,J49/F49)</f>
        <v>0.004466958225655435</v>
      </c>
      <c r="L49" s="139"/>
      <c r="X49" s="2" t="s">
        <v>183</v>
      </c>
      <c r="AA49" s="2" t="s">
        <v>179</v>
      </c>
    </row>
    <row r="50" spans="24:27" ht="8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26.25" hidden="1" thickBot="1">
      <c r="C55" s="53" t="str">
        <f>C5</f>
        <v>General Service 50 to 699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5" ref="J56:J71">I56-F56</f>
        <v>0</v>
      </c>
      <c r="K56" s="65">
        <f aca="true" t="shared" si="6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5"/>
        <v>0</v>
      </c>
      <c r="K57" s="65">
        <f t="shared" si="6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5"/>
        <v>0</v>
      </c>
      <c r="K58" s="76">
        <f t="shared" si="6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107.48</v>
      </c>
      <c r="F59" s="80">
        <f>D59*E59</f>
        <v>107.48</v>
      </c>
      <c r="G59" s="78">
        <v>1</v>
      </c>
      <c r="H59" s="79">
        <f>E8</f>
        <v>108.32</v>
      </c>
      <c r="I59" s="80">
        <f>G59*H59</f>
        <v>108.32</v>
      </c>
      <c r="J59" s="81">
        <f t="shared" si="5"/>
        <v>0.8399999999999892</v>
      </c>
      <c r="K59" s="65">
        <f t="shared" si="6"/>
        <v>0.007815407517677607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4.46</v>
      </c>
      <c r="F60" s="85">
        <f>E60*D60</f>
        <v>4.46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5"/>
        <v>#REF!</v>
      </c>
      <c r="K60" s="65">
        <f t="shared" si="6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2.4192</v>
      </c>
      <c r="F61" s="85">
        <f>E61*D61</f>
        <v>0</v>
      </c>
      <c r="G61" s="88">
        <f>F52</f>
        <v>0</v>
      </c>
      <c r="H61" s="89">
        <f>E11</f>
        <v>2.4381</v>
      </c>
      <c r="I61" s="85">
        <f>H61*G61</f>
        <v>0</v>
      </c>
      <c r="J61" s="86">
        <f t="shared" si="5"/>
        <v>0</v>
      </c>
      <c r="K61" s="65">
        <f t="shared" si="6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5"/>
        <v>0</v>
      </c>
      <c r="K62" s="65">
        <f t="shared" si="6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-0.092</v>
      </c>
      <c r="F63" s="93">
        <f>E63*D63</f>
        <v>0</v>
      </c>
      <c r="G63" s="91">
        <f>F52</f>
        <v>0</v>
      </c>
      <c r="H63" s="92">
        <f>SUM(E12)</f>
        <v>-0.42379999999999995</v>
      </c>
      <c r="I63" s="93">
        <f>H63*G63</f>
        <v>0</v>
      </c>
      <c r="J63" s="86">
        <f t="shared" si="5"/>
        <v>0</v>
      </c>
      <c r="K63" s="65">
        <f t="shared" si="6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111.94</v>
      </c>
      <c r="G64" s="95"/>
      <c r="H64" s="96"/>
      <c r="I64" s="97" t="e">
        <f>SUM(I59:I63)</f>
        <v>#REF!</v>
      </c>
      <c r="J64" s="97" t="e">
        <f t="shared" si="5"/>
        <v>#REF!</v>
      </c>
      <c r="K64" s="98">
        <f t="shared" si="6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2.6053</v>
      </c>
      <c r="I65" s="86">
        <f>H65*G65</f>
        <v>0</v>
      </c>
      <c r="J65" s="81" t="e">
        <f t="shared" si="5"/>
        <v>#REF!</v>
      </c>
      <c r="K65" s="65">
        <f t="shared" si="6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1.8307</v>
      </c>
      <c r="I66" s="103">
        <f>H66*G66</f>
        <v>0</v>
      </c>
      <c r="J66" s="86" t="e">
        <f t="shared" si="5"/>
        <v>#REF!</v>
      </c>
      <c r="K66" s="65">
        <f t="shared" si="6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5"/>
        <v>#REF!</v>
      </c>
      <c r="K67" s="98">
        <f t="shared" si="6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5"/>
        <v>#REF!</v>
      </c>
      <c r="K68" s="76">
        <f t="shared" si="6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5"/>
        <v>#REF!</v>
      </c>
      <c r="K69" s="65">
        <f t="shared" si="6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5"/>
        <v>#REF!</v>
      </c>
      <c r="K70" s="65">
        <f t="shared" si="6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5"/>
        <v>#REF!</v>
      </c>
      <c r="K71" s="65">
        <f t="shared" si="6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0">
      <selection activeCell="H28" sqref="H28"/>
    </sheetView>
  </sheetViews>
  <sheetFormatPr defaultColWidth="9.140625" defaultRowHeight="15"/>
  <cols>
    <col min="1" max="1" width="34.28125" style="2" hidden="1" customWidth="1"/>
    <col min="2" max="2" width="2.00390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49" t="s">
        <v>93</v>
      </c>
      <c r="D5" s="149"/>
      <c r="E5" s="149"/>
      <c r="F5" s="149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107.48</v>
      </c>
      <c r="E8" s="12">
        <v>108.32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2.94</v>
      </c>
      <c r="E10" s="21">
        <v>2.15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2.4192</v>
      </c>
      <c r="E11" s="23">
        <v>2.4381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-0.092</v>
      </c>
      <c r="E12" s="24">
        <v>-0.42379999999999995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2.2646</v>
      </c>
      <c r="E14" s="24">
        <v>2.6053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1.6776</v>
      </c>
      <c r="E15" s="24">
        <v>1.8307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7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211699.99999999997</v>
      </c>
      <c r="E23" s="39" t="s">
        <v>57</v>
      </c>
      <c r="F23" s="141">
        <v>500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0.58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General Service 50 to 699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219088.32999999996</v>
      </c>
      <c r="E27" s="62">
        <v>0.071</v>
      </c>
      <c r="F27" s="63">
        <f>E27*D27</f>
        <v>15555.271429999995</v>
      </c>
      <c r="G27" s="64">
        <f>$D$23*$K$24</f>
        <v>219088.32999999996</v>
      </c>
      <c r="H27" s="62">
        <v>0.071</v>
      </c>
      <c r="I27" s="63">
        <f>H27*G27</f>
        <v>15555.271429999995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34">I27/$I$47</f>
        <v>0.6315389245810125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15555.271429999995</v>
      </c>
      <c r="G29" s="74"/>
      <c r="H29" s="74"/>
      <c r="I29" s="75">
        <f>SUM(I27:I28)</f>
        <v>15555.271429999995</v>
      </c>
      <c r="J29" s="75">
        <f t="shared" si="0"/>
        <v>0</v>
      </c>
      <c r="K29" s="76">
        <f t="shared" si="1"/>
        <v>0</v>
      </c>
      <c r="L29" s="76">
        <f t="shared" si="2"/>
        <v>0.6315389245810125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107.48</v>
      </c>
      <c r="F30" s="80">
        <f>D30*E30</f>
        <v>107.48</v>
      </c>
      <c r="G30" s="78">
        <v>1</v>
      </c>
      <c r="H30" s="79">
        <f>E8</f>
        <v>108.32</v>
      </c>
      <c r="I30" s="80">
        <f>G30*H30</f>
        <v>108.32</v>
      </c>
      <c r="J30" s="81">
        <f t="shared" si="0"/>
        <v>0.8399999999999892</v>
      </c>
      <c r="K30" s="65">
        <f t="shared" si="1"/>
        <v>0.007815407517677607</v>
      </c>
      <c r="L30" s="65">
        <f t="shared" si="2"/>
        <v>0.0043977565173618635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4.46</v>
      </c>
      <c r="F31" s="85">
        <f>E31*D31</f>
        <v>4.46</v>
      </c>
      <c r="G31" s="83">
        <v>1</v>
      </c>
      <c r="H31" s="84">
        <f>SUM(E9:E10)</f>
        <v>2.15</v>
      </c>
      <c r="I31" s="85">
        <f>H31*G31</f>
        <v>2.15</v>
      </c>
      <c r="J31" s="86">
        <f t="shared" si="0"/>
        <v>-2.31</v>
      </c>
      <c r="K31" s="65">
        <f t="shared" si="1"/>
        <v>-0.5179372197309418</v>
      </c>
      <c r="L31" s="65">
        <f t="shared" si="2"/>
        <v>8.728929571942399E-05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500</v>
      </c>
      <c r="E32" s="89">
        <f>$D$11</f>
        <v>2.4192</v>
      </c>
      <c r="F32" s="85">
        <f>E32*D32</f>
        <v>1209.6</v>
      </c>
      <c r="G32" s="88">
        <f>F23</f>
        <v>500</v>
      </c>
      <c r="H32" s="89">
        <f>E11</f>
        <v>2.4381</v>
      </c>
      <c r="I32" s="85">
        <f>H32*G32</f>
        <v>1219.05</v>
      </c>
      <c r="J32" s="86">
        <f t="shared" si="0"/>
        <v>9.450000000000045</v>
      </c>
      <c r="K32" s="65">
        <f t="shared" si="1"/>
        <v>0.007812500000000038</v>
      </c>
      <c r="L32" s="65">
        <f t="shared" si="2"/>
        <v>0.0494930306729134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500</v>
      </c>
      <c r="E33" s="92">
        <f>$D$13</f>
        <v>0</v>
      </c>
      <c r="F33" s="85">
        <f>E33*D33</f>
        <v>0</v>
      </c>
      <c r="G33" s="91">
        <f>F23</f>
        <v>500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500</v>
      </c>
      <c r="E34" s="68">
        <f>$D$12</f>
        <v>-0.092</v>
      </c>
      <c r="F34" s="93">
        <f>E34*D34</f>
        <v>-46</v>
      </c>
      <c r="G34" s="91">
        <f>F23</f>
        <v>500</v>
      </c>
      <c r="H34" s="92">
        <f>SUM(E12)</f>
        <v>-0.42379999999999995</v>
      </c>
      <c r="I34" s="93">
        <f>H34*G34</f>
        <v>-211.89999999999998</v>
      </c>
      <c r="J34" s="86">
        <f t="shared" si="0"/>
        <v>-165.89999999999998</v>
      </c>
      <c r="K34" s="65">
        <f t="shared" si="1"/>
        <v>3.6065217391304345</v>
      </c>
      <c r="L34" s="65">
        <f t="shared" si="2"/>
        <v>-0.008603070587416717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1275.54</v>
      </c>
      <c r="G35" s="95"/>
      <c r="H35" s="96"/>
      <c r="I35" s="97">
        <f>SUM(I30:I34)</f>
        <v>1117.62</v>
      </c>
      <c r="J35" s="97">
        <f t="shared" si="0"/>
        <v>-157.92000000000007</v>
      </c>
      <c r="K35" s="98">
        <f t="shared" si="1"/>
        <v>-0.12380638788277912</v>
      </c>
      <c r="L35" s="98">
        <f aca="true" t="shared" si="3" ref="L35:L40">I35/$I$47</f>
        <v>0.045375005898577965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500</v>
      </c>
      <c r="E36" s="100">
        <f>D14</f>
        <v>2.2646</v>
      </c>
      <c r="F36" s="86">
        <f>E36*D36</f>
        <v>1132.3000000000002</v>
      </c>
      <c r="G36" s="109">
        <f>F23</f>
        <v>500</v>
      </c>
      <c r="H36" s="100">
        <f>E14</f>
        <v>2.6053</v>
      </c>
      <c r="I36" s="86">
        <f>H36*G36</f>
        <v>1302.65</v>
      </c>
      <c r="J36" s="81">
        <f t="shared" si="0"/>
        <v>170.3499999999999</v>
      </c>
      <c r="K36" s="65">
        <f t="shared" si="1"/>
        <v>0.15044599487768248</v>
      </c>
      <c r="L36" s="65">
        <f t="shared" si="3"/>
        <v>0.05288716328786403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500</v>
      </c>
      <c r="E37" s="102">
        <f>D15</f>
        <v>1.6776</v>
      </c>
      <c r="F37" s="103">
        <f>E37*D37</f>
        <v>838.8</v>
      </c>
      <c r="G37" s="88">
        <f>F23</f>
        <v>500</v>
      </c>
      <c r="H37" s="102">
        <f>E15</f>
        <v>1.8307</v>
      </c>
      <c r="I37" s="103">
        <f>H37*G37</f>
        <v>915.35</v>
      </c>
      <c r="J37" s="86">
        <f t="shared" si="0"/>
        <v>76.55000000000007</v>
      </c>
      <c r="K37" s="65">
        <f t="shared" si="1"/>
        <v>0.09126132570338588</v>
      </c>
      <c r="L37" s="65">
        <f t="shared" si="3"/>
        <v>0.03716291015663942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1971.1000000000001</v>
      </c>
      <c r="G38" s="96"/>
      <c r="H38" s="96"/>
      <c r="I38" s="97">
        <f>SUM(I36:I37)</f>
        <v>2218</v>
      </c>
      <c r="J38" s="97">
        <f t="shared" si="0"/>
        <v>246.89999999999986</v>
      </c>
      <c r="K38" s="98">
        <f t="shared" si="1"/>
        <v>0.12526000710263296</v>
      </c>
      <c r="L38" s="98">
        <f t="shared" si="3"/>
        <v>0.09005007344450344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3246.6400000000003</v>
      </c>
      <c r="G39" s="74"/>
      <c r="H39" s="74"/>
      <c r="I39" s="75">
        <f>SUM(I38,I35)</f>
        <v>3335.62</v>
      </c>
      <c r="J39" s="75">
        <f t="shared" si="0"/>
        <v>88.97999999999956</v>
      </c>
      <c r="K39" s="76">
        <f t="shared" si="1"/>
        <v>0.027406795949042564</v>
      </c>
      <c r="L39" s="76">
        <f t="shared" si="3"/>
        <v>0.13542507934308143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219088.32999999996</v>
      </c>
      <c r="E40" s="104">
        <f>D16</f>
        <v>0.0052</v>
      </c>
      <c r="F40" s="105">
        <f>E40*D40</f>
        <v>1139.2593159999997</v>
      </c>
      <c r="G40" s="99">
        <f>D23*K24</f>
        <v>219088.32999999996</v>
      </c>
      <c r="H40" s="100">
        <f>E16</f>
        <v>0.0052</v>
      </c>
      <c r="I40" s="105">
        <f>G40*H40</f>
        <v>1139.2593159999997</v>
      </c>
      <c r="J40" s="106">
        <f t="shared" si="0"/>
        <v>0</v>
      </c>
      <c r="K40" s="65">
        <f t="shared" si="1"/>
        <v>0</v>
      </c>
      <c r="L40" s="65">
        <f t="shared" si="3"/>
        <v>0.046253555039736126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219088.32999999996</v>
      </c>
      <c r="E41" s="107">
        <f>D17</f>
        <v>0.0013</v>
      </c>
      <c r="F41" s="108">
        <f>E41*D41</f>
        <v>284.8148289999999</v>
      </c>
      <c r="G41" s="101">
        <f>D23*K24</f>
        <v>219088.32999999996</v>
      </c>
      <c r="H41" s="102">
        <f>E17</f>
        <v>0.0013</v>
      </c>
      <c r="I41" s="108">
        <f>G41*H41</f>
        <v>284.8148289999999</v>
      </c>
      <c r="J41" s="86">
        <f t="shared" si="0"/>
        <v>0</v>
      </c>
      <c r="K41" s="65">
        <f t="shared" si="1"/>
        <v>0</v>
      </c>
      <c r="L41" s="65">
        <f aca="true" t="shared" si="4" ref="L41:L47">I41/$I$47</f>
        <v>0.011563388759934031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4"/>
        <v>1.0149918106909766E-05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1424.3241449999996</v>
      </c>
      <c r="G43" s="74"/>
      <c r="H43" s="74"/>
      <c r="I43" s="75">
        <f>SUM(I40:I42)</f>
        <v>1424.3241449999996</v>
      </c>
      <c r="J43" s="75"/>
      <c r="K43" s="76"/>
      <c r="L43" s="76">
        <f t="shared" si="4"/>
        <v>0.05782709371777707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211699.99999999997</v>
      </c>
      <c r="E44" s="115">
        <f>D19</f>
        <v>0.007</v>
      </c>
      <c r="F44" s="116">
        <f>D44*E44</f>
        <v>1481.8999999999999</v>
      </c>
      <c r="G44" s="117">
        <f>D23</f>
        <v>211699.99999999997</v>
      </c>
      <c r="H44" s="118">
        <f>E19</f>
        <v>0.007</v>
      </c>
      <c r="I44" s="116">
        <f>G44*H44</f>
        <v>1481.8999999999999</v>
      </c>
      <c r="J44" s="75">
        <f>I44-F44</f>
        <v>0</v>
      </c>
      <c r="K44" s="76">
        <f>IF(ISERROR(J44/F44),0,J44/F44)</f>
        <v>0</v>
      </c>
      <c r="L44" s="76">
        <f t="shared" si="4"/>
        <v>0.060164654570518325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21708.135574999993</v>
      </c>
      <c r="G45" s="120"/>
      <c r="H45" s="120"/>
      <c r="I45" s="121">
        <f>SUM(I44,I43,I39,I29)</f>
        <v>21797.115574999996</v>
      </c>
      <c r="J45" s="121">
        <f>I45-F45</f>
        <v>88.9800000000032</v>
      </c>
      <c r="K45" s="122">
        <f>IF(ISERROR(J45/F45),0,J45/F45)</f>
        <v>0.0040989240965712565</v>
      </c>
      <c r="L45" s="122">
        <f t="shared" si="4"/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2822.0576247499994</v>
      </c>
      <c r="G46" s="124"/>
      <c r="H46" s="125">
        <v>0.13</v>
      </c>
      <c r="I46" s="127">
        <f>I45*H46</f>
        <v>2833.6250247499997</v>
      </c>
      <c r="J46" s="126">
        <f>I46-F46</f>
        <v>11.567400000000362</v>
      </c>
      <c r="K46" s="128">
        <f>IF(ISERROR(J46/F46),0,J46/F46)</f>
        <v>0.004098924096571237</v>
      </c>
      <c r="L46" s="128">
        <f t="shared" si="4"/>
        <v>0.11504424778761063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24530.193199749992</v>
      </c>
      <c r="G47" s="129"/>
      <c r="H47" s="129"/>
      <c r="I47" s="121">
        <f>SUM(I45:I46)</f>
        <v>24630.740599749995</v>
      </c>
      <c r="J47" s="121">
        <f>I47-F47</f>
        <v>100.54740000000311</v>
      </c>
      <c r="K47" s="122">
        <f>IF(ISERROR(J47/F47),0,J47/F47)</f>
        <v>0.004098924096571236</v>
      </c>
      <c r="L47" s="122">
        <f t="shared" si="4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-2453.0193199749992</v>
      </c>
      <c r="G48" s="131"/>
      <c r="H48" s="132">
        <v>-0.1</v>
      </c>
      <c r="I48" s="134">
        <f>H48*I47</f>
        <v>-2463.0740599749997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22077.173879774993</v>
      </c>
      <c r="G49" s="129"/>
      <c r="H49" s="129"/>
      <c r="I49" s="137">
        <f>SUM(I47:I48)</f>
        <v>22167.666539774997</v>
      </c>
      <c r="J49" s="138">
        <f>I49-F49</f>
        <v>90.49266000000353</v>
      </c>
      <c r="K49" s="139">
        <f>IF(ISERROR(J49/F49),0,J49/F49)</f>
        <v>0.004098924096571269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26.25" hidden="1" thickBot="1">
      <c r="C55" s="53" t="str">
        <f>C5</f>
        <v>General Service 50 to 699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5" ref="J56:J71">I56-F56</f>
        <v>0</v>
      </c>
      <c r="K56" s="65">
        <f aca="true" t="shared" si="6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5"/>
        <v>0</v>
      </c>
      <c r="K57" s="65">
        <f t="shared" si="6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5"/>
        <v>0</v>
      </c>
      <c r="K58" s="76">
        <f t="shared" si="6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107.48</v>
      </c>
      <c r="F59" s="80">
        <f>D59*E59</f>
        <v>107.48</v>
      </c>
      <c r="G59" s="78">
        <v>1</v>
      </c>
      <c r="H59" s="79">
        <f>E8</f>
        <v>108.32</v>
      </c>
      <c r="I59" s="80">
        <f>G59*H59</f>
        <v>108.32</v>
      </c>
      <c r="J59" s="81">
        <f t="shared" si="5"/>
        <v>0.8399999999999892</v>
      </c>
      <c r="K59" s="65">
        <f t="shared" si="6"/>
        <v>0.007815407517677607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4.46</v>
      </c>
      <c r="F60" s="85">
        <f>E60*D60</f>
        <v>4.46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5"/>
        <v>#REF!</v>
      </c>
      <c r="K60" s="65">
        <f t="shared" si="6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2.4192</v>
      </c>
      <c r="F61" s="85">
        <f>E61*D61</f>
        <v>0</v>
      </c>
      <c r="G61" s="88">
        <f>F52</f>
        <v>0</v>
      </c>
      <c r="H61" s="89">
        <f>E11</f>
        <v>2.4381</v>
      </c>
      <c r="I61" s="85">
        <f>H61*G61</f>
        <v>0</v>
      </c>
      <c r="J61" s="86">
        <f t="shared" si="5"/>
        <v>0</v>
      </c>
      <c r="K61" s="65">
        <f t="shared" si="6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5"/>
        <v>0</v>
      </c>
      <c r="K62" s="65">
        <f t="shared" si="6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-0.092</v>
      </c>
      <c r="F63" s="93">
        <f>E63*D63</f>
        <v>0</v>
      </c>
      <c r="G63" s="91">
        <f>F52</f>
        <v>0</v>
      </c>
      <c r="H63" s="92">
        <f>SUM(E12)</f>
        <v>-0.42379999999999995</v>
      </c>
      <c r="I63" s="93">
        <f>H63*G63</f>
        <v>0</v>
      </c>
      <c r="J63" s="86">
        <f t="shared" si="5"/>
        <v>0</v>
      </c>
      <c r="K63" s="65">
        <f t="shared" si="6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111.94</v>
      </c>
      <c r="G64" s="95"/>
      <c r="H64" s="96"/>
      <c r="I64" s="97" t="e">
        <f>SUM(I59:I63)</f>
        <v>#REF!</v>
      </c>
      <c r="J64" s="97" t="e">
        <f t="shared" si="5"/>
        <v>#REF!</v>
      </c>
      <c r="K64" s="98">
        <f t="shared" si="6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2.6053</v>
      </c>
      <c r="I65" s="86">
        <f>H65*G65</f>
        <v>0</v>
      </c>
      <c r="J65" s="81" t="e">
        <f t="shared" si="5"/>
        <v>#REF!</v>
      </c>
      <c r="K65" s="65">
        <f t="shared" si="6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1.8307</v>
      </c>
      <c r="I66" s="103">
        <f>H66*G66</f>
        <v>0</v>
      </c>
      <c r="J66" s="86" t="e">
        <f t="shared" si="5"/>
        <v>#REF!</v>
      </c>
      <c r="K66" s="65">
        <f t="shared" si="6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5"/>
        <v>#REF!</v>
      </c>
      <c r="K67" s="98">
        <f t="shared" si="6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5"/>
        <v>#REF!</v>
      </c>
      <c r="K68" s="76">
        <f t="shared" si="6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5"/>
        <v>#REF!</v>
      </c>
      <c r="K69" s="65">
        <f t="shared" si="6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5"/>
        <v>#REF!</v>
      </c>
      <c r="K70" s="65">
        <f t="shared" si="6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5"/>
        <v>#REF!</v>
      </c>
      <c r="K71" s="65">
        <f t="shared" si="6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dsullivan</dc:creator>
  <cp:keywords/>
  <dc:description/>
  <cp:lastModifiedBy>DGAPIC</cp:lastModifiedBy>
  <dcterms:created xsi:type="dcterms:W3CDTF">2011-09-09T13:50:59Z</dcterms:created>
  <dcterms:modified xsi:type="dcterms:W3CDTF">2011-12-27T17:58:13Z</dcterms:modified>
  <cp:category/>
  <cp:version/>
  <cp:contentType/>
  <cp:contentStatus/>
</cp:coreProperties>
</file>