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tabRatio="1000" activeTab="0"/>
  </bookViews>
  <sheets>
    <sheet name="Rec &amp; JEs" sheetId="1" r:id="rId1"/>
    <sheet name="Festival Mar 04" sheetId="2" r:id="rId2"/>
    <sheet name="Festival Feb 04 " sheetId="3" r:id="rId3"/>
    <sheet name="Festival Jan 04" sheetId="4" r:id="rId4"/>
    <sheet name="Dec 03 YTD Dist Qties" sheetId="5" r:id="rId5"/>
    <sheet name="Festival Dec 03" sheetId="6" r:id="rId6"/>
    <sheet name="Festival Nov 03" sheetId="7" r:id="rId7"/>
    <sheet name="Festival Oct 03" sheetId="8" r:id="rId8"/>
    <sheet name="Festival Sep 03" sheetId="9" r:id="rId9"/>
    <sheet name="Festival Aug 03 " sheetId="10" r:id="rId10"/>
    <sheet name="Festival Jul 03" sheetId="11" r:id="rId11"/>
    <sheet name="Festival Jun 03" sheetId="12" r:id="rId12"/>
    <sheet name="Festival May 03" sheetId="13" r:id="rId13"/>
    <sheet name="Festival Apr 03" sheetId="14" r:id="rId14"/>
    <sheet name="Festival Mar 03 " sheetId="15" r:id="rId15"/>
    <sheet name="Festival Feb 03" sheetId="16" r:id="rId16"/>
    <sheet name="Festival Jan 03" sheetId="17" r:id="rId17"/>
    <sheet name="2001PILSummary" sheetId="18" r:id="rId18"/>
    <sheet name="2001PILRecoveryAmt" sheetId="19" r:id="rId19"/>
    <sheet name="Festival Dec 30" sheetId="20" r:id="rId20"/>
    <sheet name="Festival Nov 30 " sheetId="21" r:id="rId21"/>
    <sheet name="Festival Oct  30" sheetId="22" r:id="rId22"/>
    <sheet name="Festival Sept 30 " sheetId="23" r:id="rId23"/>
    <sheet name="Festival August 30" sheetId="24" r:id="rId24"/>
    <sheet name="Festival July 31" sheetId="25" r:id="rId25"/>
    <sheet name="Festival June 30" sheetId="26" r:id="rId26"/>
    <sheet name="Festival May 31" sheetId="27" r:id="rId27"/>
    <sheet name="Festival Apr 30" sheetId="28" r:id="rId28"/>
    <sheet name="Festival Mar 31" sheetId="29" r:id="rId29"/>
  </sheets>
  <externalReferences>
    <externalReference r:id="rId32"/>
  </externalReferences>
  <definedNames>
    <definedName name="_xlnm.Print_Area" localSheetId="0">'Rec &amp; JEs'!$A$1:$K$391</definedName>
  </definedNames>
  <calcPr fullCalcOnLoad="1"/>
</workbook>
</file>

<file path=xl/sharedStrings.xml><?xml version="1.0" encoding="utf-8"?>
<sst xmlns="http://schemas.openxmlformats.org/spreadsheetml/2006/main" count="2663" uniqueCount="265">
  <si>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</si>
  <si>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</si>
  <si>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</si>
  <si>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</si>
  <si>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</si>
  <si>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</si>
  <si>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</si>
  <si>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</si>
  <si>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</si>
  <si>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</si>
  <si>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</si>
  <si>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</si>
  <si>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</si>
  <si>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</si>
  <si>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</si>
  <si>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</si>
  <si>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</si>
  <si>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</si>
  <si>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</si>
  <si>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</si>
  <si>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</si>
  <si>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</si>
  <si>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</si>
  <si>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</si>
  <si>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</si>
  <si>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</si>
  <si>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</si>
  <si>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</si>
  <si>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</si>
  <si>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</si>
  <si>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</si>
  <si>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</si>
  <si>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</si>
  <si>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</si>
  <si>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</si>
  <si>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</si>
  <si>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</si>
  <si>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</si>
  <si>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</si>
  <si>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</si>
  <si>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>Period:  March 2002</t>
  </si>
  <si>
    <t>Period:  May 2002</t>
  </si>
  <si>
    <t>Period:  April 2002</t>
  </si>
  <si>
    <t>2001PIL Recovery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</si>
  <si>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</si>
  <si>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</si>
  <si>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</si>
  <si>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</si>
  <si>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</si>
  <si>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</si>
  <si>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</si>
  <si>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</si>
  <si>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</si>
  <si>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</si>
  <si>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</si>
  <si>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</si>
  <si>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</si>
  <si>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</si>
  <si>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 xml:space="preserve">             March 2002 </t>
  </si>
  <si>
    <t>Diff over (under) absorbed</t>
  </si>
  <si>
    <t xml:space="preserve">             April  2002 </t>
  </si>
  <si>
    <t>Recovered</t>
  </si>
  <si>
    <t>Recovery</t>
  </si>
  <si>
    <t>Interest Calculation</t>
  </si>
  <si>
    <t>Opening Balance</t>
  </si>
  <si>
    <t>Recovered in March</t>
  </si>
  <si>
    <t>March Closing balance</t>
  </si>
  <si>
    <t xml:space="preserve">Outstanding </t>
  </si>
  <si>
    <t>Balance</t>
  </si>
  <si>
    <t>March Revised balance</t>
  </si>
  <si>
    <t xml:space="preserve">             May  2002 </t>
  </si>
  <si>
    <t>April Opening balance</t>
  </si>
  <si>
    <t>Recovered in April</t>
  </si>
  <si>
    <t>April Closing balance</t>
  </si>
  <si>
    <t>Recovered in May</t>
  </si>
  <si>
    <t>May Revised balance</t>
  </si>
  <si>
    <t>May Opening balance</t>
  </si>
  <si>
    <t>Principal</t>
  </si>
  <si>
    <t>May Closing balance</t>
  </si>
  <si>
    <t>From Form 6</t>
  </si>
  <si>
    <t>2001 PIL Recovery</t>
  </si>
  <si>
    <t>Interest</t>
  </si>
  <si>
    <t>Income</t>
  </si>
  <si>
    <t>1562-00-BT</t>
  </si>
  <si>
    <t>Period:  Jun 2002</t>
  </si>
  <si>
    <t>ZFG</t>
  </si>
  <si>
    <t>Retailer billed</t>
  </si>
  <si>
    <t xml:space="preserve">             June  2002 </t>
  </si>
  <si>
    <t>Jun Opening balance</t>
  </si>
  <si>
    <t>Recovered in Jun</t>
  </si>
  <si>
    <t>Jun Revised balance</t>
  </si>
  <si>
    <t>Jun Closing balance</t>
  </si>
  <si>
    <t>Deferred PILs</t>
  </si>
  <si>
    <t>4405-00-BT</t>
  </si>
  <si>
    <t>Jan Closing Balance</t>
  </si>
  <si>
    <t>Period:  July 2002</t>
  </si>
  <si>
    <t xml:space="preserve"> </t>
  </si>
  <si>
    <t xml:space="preserve">             July  2002 </t>
  </si>
  <si>
    <t>Jul Opening balance</t>
  </si>
  <si>
    <t>Recovered in July</t>
  </si>
  <si>
    <t>Jul Revised balance</t>
  </si>
  <si>
    <t>Jul Closing balance</t>
  </si>
  <si>
    <t>Check</t>
  </si>
  <si>
    <t>Period:  August 2002</t>
  </si>
  <si>
    <t>SLR</t>
  </si>
  <si>
    <t>ZFF/F1</t>
  </si>
  <si>
    <t>Aug Opening balance</t>
  </si>
  <si>
    <t>Recovered in Aug</t>
  </si>
  <si>
    <t>Aug Revised balance</t>
  </si>
  <si>
    <t>Aug Closing balance</t>
  </si>
  <si>
    <t>Determination of amount to be recovered- Variable Charge</t>
  </si>
  <si>
    <t>the rates - Total</t>
  </si>
  <si>
    <t>rates - Variable</t>
  </si>
  <si>
    <t xml:space="preserve">       Variable charge</t>
  </si>
  <si>
    <t>rates - Fixed</t>
  </si>
  <si>
    <t>Fixed amount</t>
  </si>
  <si>
    <t>being recovered</t>
  </si>
  <si>
    <t xml:space="preserve">monthly </t>
  </si>
  <si>
    <t>Fixed monthly</t>
  </si>
  <si>
    <t>recovery</t>
  </si>
  <si>
    <t>Variable</t>
  </si>
  <si>
    <t>Total</t>
  </si>
  <si>
    <t xml:space="preserve">             August  2002 </t>
  </si>
  <si>
    <t>Period:  September 2002</t>
  </si>
  <si>
    <t xml:space="preserve">             September  2002 </t>
  </si>
  <si>
    <t>Sep Opening balance</t>
  </si>
  <si>
    <t>Recovered in Sep</t>
  </si>
  <si>
    <t>Sep Revised balance</t>
  </si>
  <si>
    <t>Sep Closing balance</t>
  </si>
  <si>
    <t>Period:  October 2002</t>
  </si>
  <si>
    <t xml:space="preserve">             October  2002</t>
  </si>
  <si>
    <t>Oct Opening balance</t>
  </si>
  <si>
    <t>Recovered in Oct</t>
  </si>
  <si>
    <t>Oct Revised balance</t>
  </si>
  <si>
    <t>Oct Closing balance</t>
  </si>
  <si>
    <t>Festvial Hydro Inc.</t>
  </si>
  <si>
    <t>Reconciliation of 2001 PILs</t>
  </si>
  <si>
    <t>ZFF/ZFF1</t>
  </si>
  <si>
    <t>Period:  November 2002</t>
  </si>
  <si>
    <t xml:space="preserve">             November  2002</t>
  </si>
  <si>
    <t>Nov Opening balance</t>
  </si>
  <si>
    <t>Recovered in Nov</t>
  </si>
  <si>
    <t>Nov Closing balance</t>
  </si>
  <si>
    <t>Period:  December 2002</t>
  </si>
  <si>
    <t xml:space="preserve">             December  2002</t>
  </si>
  <si>
    <t>Dec Opening balance</t>
  </si>
  <si>
    <t>Recovered in Dec</t>
  </si>
  <si>
    <t>Dec Revised balance</t>
  </si>
  <si>
    <t>Dec Closing balance</t>
  </si>
  <si>
    <t>Diff</t>
  </si>
  <si>
    <t>Diff - LGH</t>
  </si>
  <si>
    <t>Diff -SGL</t>
  </si>
  <si>
    <t>Total for 2002</t>
  </si>
  <si>
    <t xml:space="preserve">Total </t>
  </si>
  <si>
    <t>Proof</t>
  </si>
  <si>
    <t>Add Interest</t>
  </si>
  <si>
    <t>Less Recovery</t>
  </si>
  <si>
    <t>******</t>
  </si>
  <si>
    <t>billed at KwH in the earlier months and converted to kW consumption</t>
  </si>
  <si>
    <t xml:space="preserve">in month of Dec </t>
  </si>
  <si>
    <t>Streelight kWh</t>
  </si>
  <si>
    <t>Convert to kW</t>
  </si>
  <si>
    <t>divide by 360</t>
  </si>
  <si>
    <t>********* - Dec includes a 2,602.11 adjustment for streelighting</t>
  </si>
  <si>
    <t>Sent Light kWh</t>
  </si>
  <si>
    <t>Dec adjustment</t>
  </si>
  <si>
    <t>Included in Dec-LGH kW</t>
  </si>
  <si>
    <t>Included in Dec-SLG kW</t>
  </si>
  <si>
    <t>Sentinel Lighting  *****</t>
  </si>
  <si>
    <t>****** Dec includes unbilled sent light kwh converted to kW consumption</t>
  </si>
  <si>
    <t xml:space="preserve">   of 42.66 kW</t>
  </si>
  <si>
    <t>Period:  January 2003</t>
  </si>
  <si>
    <t xml:space="preserve">Sentinel Lighting  </t>
  </si>
  <si>
    <t>ZCC</t>
  </si>
  <si>
    <t>Period:  February 2003</t>
  </si>
  <si>
    <t>Recovered in Jan 03</t>
  </si>
  <si>
    <t>YTD</t>
  </si>
  <si>
    <t>Jan Revised balance</t>
  </si>
  <si>
    <t>Jan Closing balance</t>
  </si>
  <si>
    <t>Feb Opening balance</t>
  </si>
  <si>
    <t>Jan Opening balance</t>
  </si>
  <si>
    <t>Recovered in Feb 03</t>
  </si>
  <si>
    <t>Feb Revised balance</t>
  </si>
  <si>
    <t>Feb Closing balance</t>
  </si>
  <si>
    <t>Interest @ 7.25</t>
  </si>
  <si>
    <t>1138-00-VR</t>
  </si>
  <si>
    <t>Period:  March 2003</t>
  </si>
  <si>
    <t>Period:  June 2003</t>
  </si>
  <si>
    <t>Period:  May 2003</t>
  </si>
  <si>
    <t>Period:  April 2003</t>
  </si>
  <si>
    <t>Interest Adjustment</t>
  </si>
  <si>
    <t>Adjust for 1 month of new PIL</t>
  </si>
  <si>
    <t>Mar Opening balance</t>
  </si>
  <si>
    <t>Recovered in Apr 03</t>
  </si>
  <si>
    <t>Apr Closing balance</t>
  </si>
  <si>
    <t>Revised balance</t>
  </si>
  <si>
    <t>Mar Closing balance</t>
  </si>
  <si>
    <t>Recovered in May 03</t>
  </si>
  <si>
    <t>Recovered in Jun 03</t>
  </si>
  <si>
    <t>Add interest</t>
  </si>
  <si>
    <t>Less recoveries</t>
  </si>
  <si>
    <t>Agrees to G.L.</t>
  </si>
  <si>
    <t>Proof:</t>
  </si>
  <si>
    <t>PIL additions</t>
  </si>
  <si>
    <t>Period:  Jul 2003</t>
  </si>
  <si>
    <t>Period:  Sep 2003</t>
  </si>
  <si>
    <t>Period:  Aug 2003</t>
  </si>
  <si>
    <t>Recovered in Jul 03</t>
  </si>
  <si>
    <t>Recovered in Aug 03</t>
  </si>
  <si>
    <t>Recovered in Sep 03</t>
  </si>
  <si>
    <t>Closing balance</t>
  </si>
  <si>
    <t>Opening balance</t>
  </si>
  <si>
    <t>To recognize imputed interest on PILs</t>
  </si>
  <si>
    <t xml:space="preserve">Interst on PILS </t>
  </si>
  <si>
    <t>Allow for interest on variance accts</t>
  </si>
  <si>
    <t>Int @ 7.25</t>
  </si>
  <si>
    <t>Int @ 2.65</t>
  </si>
  <si>
    <t xml:space="preserve">Allow </t>
  </si>
  <si>
    <t>Period:  Oct 2003</t>
  </si>
  <si>
    <t>Recovered in OCT 03</t>
  </si>
  <si>
    <t>Period:  Nov 2003</t>
  </si>
  <si>
    <t>Recovered in Nov 03</t>
  </si>
  <si>
    <t>Period:  Dec 2003</t>
  </si>
  <si>
    <t>To Date</t>
  </si>
  <si>
    <t>Beg Balance</t>
  </si>
  <si>
    <t>for the Qtr</t>
  </si>
  <si>
    <t>Allow # 1138</t>
  </si>
  <si>
    <t>Period:  Jan 2004</t>
  </si>
  <si>
    <t>Period:  Feb 2004</t>
  </si>
  <si>
    <t>Recovered in Jan 04</t>
  </si>
  <si>
    <t>Recovered in Dec 03</t>
  </si>
  <si>
    <t>Jan/04</t>
  </si>
  <si>
    <t>Recovered in Feb 04</t>
  </si>
  <si>
    <t>Recovered in Mar04</t>
  </si>
  <si>
    <t xml:space="preserve"> Interest &amp; Dividends</t>
  </si>
  <si>
    <t>for Nov &amp; Dec 2004</t>
  </si>
  <si>
    <t>To record allow for interest for Nov &amp; Dec 2004</t>
  </si>
  <si>
    <t>Dec 310/04</t>
  </si>
  <si>
    <t xml:space="preserve">Journal Entries (2001 PILs) for Dec  2004 </t>
  </si>
  <si>
    <t>New Pils</t>
  </si>
  <si>
    <t>Recoveries</t>
  </si>
  <si>
    <t>Final Bal</t>
  </si>
  <si>
    <t>as at April 30, 2006</t>
  </si>
  <si>
    <t>Period:  Mar 2004 including unbilled revenue</t>
  </si>
  <si>
    <t>(Last month for recovery - incudes unbilled revenue)</t>
  </si>
  <si>
    <t>Total Summary from March 2002 to April 30, 2006:</t>
  </si>
  <si>
    <t>Originally filed</t>
  </si>
  <si>
    <t>2012 IRM Application</t>
  </si>
  <si>
    <t>Change</t>
  </si>
  <si>
    <t>Adjust for 1 months of new PIL</t>
  </si>
  <si>
    <t>Balance at Dec 31/03</t>
  </si>
  <si>
    <t>Balance at Dec 31/04</t>
  </si>
  <si>
    <t xml:space="preserve">New PILS </t>
  </si>
  <si>
    <t>Interst</t>
  </si>
  <si>
    <t>Ending</t>
  </si>
  <si>
    <t>Beginning</t>
  </si>
  <si>
    <t>Year</t>
  </si>
  <si>
    <t>Oct Closing Balance</t>
  </si>
  <si>
    <t>New PILS in month</t>
  </si>
  <si>
    <t>Int in 2002</t>
  </si>
  <si>
    <t>2001&amp; 2002</t>
  </si>
  <si>
    <t>2001 True Up Var Adjust</t>
  </si>
  <si>
    <t>2001 Def Acct Var Adj</t>
  </si>
  <si>
    <t>True Ups</t>
  </si>
  <si>
    <t>True Ups &amp;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</si>
</sst>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0.00000000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_ ;\-#,##0.00\ "/>
    <numFmt numFmtId="203" formatCode="#,##0.0000000000_ ;\-#,##0.0000000000\ "/>
    <numFmt numFmtId="204" formatCode="#,##0.000000000_ ;\-#,##0.000000000\ "/>
    <numFmt numFmtId="205" formatCode="#,##0.000000000000_ ;\-#,##0.000000000000\ "/>
    <numFmt numFmtId="206" formatCode="#,##0.00000000000_ ;\-#,##0.000000000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9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2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Font="1" applyBorder="1" applyAlignment="1">
      <alignment horizontal="center"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0" fillId="0" borderId="12" xfId="0" applyNumberFormat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185" fontId="8" fillId="0" borderId="0" xfId="0" applyNumberFormat="1" applyFont="1" applyAlignment="1">
      <alignment/>
    </xf>
    <xf numFmtId="17" fontId="0" fillId="0" borderId="0" xfId="0" applyNumberFormat="1" applyAlignment="1" quotePrefix="1">
      <alignment/>
    </xf>
    <xf numFmtId="185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05" fontId="0" fillId="0" borderId="0" xfId="0" applyNumberFormat="1" applyAlignment="1">
      <alignment/>
    </xf>
    <xf numFmtId="0" fontId="0" fillId="33" borderId="0" xfId="0" applyFont="1" applyFill="1" applyAlignment="1">
      <alignment/>
    </xf>
    <xf numFmtId="39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ds.ontarioenergyboard.ca/Debbie\PILs%20Calculations\2001PILrecov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4">
        <row r="17">
          <cell r="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364">
      <selection activeCell="C386" sqref="C386"/>
    </sheetView>
  </sheetViews>
  <sheetFormatPr defaultColWidth="9.140625" defaultRowHeight="12.75"/>
  <cols>
    <col min="1" max="1" width="13.421875" style="0" bestFit="1" customWidth="1"/>
    <col min="2" max="2" width="11.8515625" style="0" customWidth="1"/>
    <col min="3" max="3" width="11.00390625" style="0" customWidth="1"/>
    <col min="4" max="4" width="5.421875" style="0" customWidth="1"/>
    <col min="5" max="5" width="15.28125" style="0" customWidth="1"/>
    <col min="6" max="6" width="3.140625" style="0" customWidth="1"/>
    <col min="7" max="7" width="11.57421875" style="0" customWidth="1"/>
    <col min="8" max="8" width="1.7109375" style="0" customWidth="1"/>
    <col min="9" max="9" width="12.140625" style="0" customWidth="1"/>
    <col min="10" max="10" width="13.57421875" style="0" customWidth="1"/>
    <col min="11" max="11" width="11.140625" style="0" customWidth="1"/>
    <col min="12" max="12" width="11.28125" style="0" customWidth="1"/>
    <col min="13" max="13" width="11.00390625" style="0" bestFit="1" customWidth="1"/>
    <col min="17" max="18" width="11.8515625" style="0" customWidth="1"/>
  </cols>
  <sheetData>
    <row r="1" ht="12.75">
      <c r="A1" s="1" t="s">
        <v>135</v>
      </c>
    </row>
    <row r="2" ht="12.75">
      <c r="A2" s="1" t="s">
        <v>136</v>
      </c>
    </row>
    <row r="3" ht="12.75">
      <c r="A3" s="49" t="s">
        <v>242</v>
      </c>
    </row>
    <row r="4" spans="3:11" ht="12.75">
      <c r="C4" s="2"/>
      <c r="D4" s="2"/>
      <c r="E4" s="6" t="s">
        <v>67</v>
      </c>
      <c r="F4" s="2"/>
      <c r="G4" s="32" t="s">
        <v>81</v>
      </c>
      <c r="H4" s="2"/>
      <c r="I4" s="6" t="s">
        <v>67</v>
      </c>
      <c r="K4" s="1" t="s">
        <v>153</v>
      </c>
    </row>
    <row r="5" spans="2:11" ht="12.75">
      <c r="B5" s="1" t="s">
        <v>63</v>
      </c>
      <c r="C5" s="2"/>
      <c r="D5" s="2"/>
      <c r="E5" s="11" t="s">
        <v>68</v>
      </c>
      <c r="F5" s="2"/>
      <c r="G5" s="32" t="s">
        <v>82</v>
      </c>
      <c r="H5" s="2"/>
      <c r="I5" s="11" t="s">
        <v>77</v>
      </c>
      <c r="J5" t="s">
        <v>102</v>
      </c>
      <c r="K5" s="1" t="s">
        <v>61</v>
      </c>
    </row>
    <row r="6" spans="2:11" ht="12.75">
      <c r="B6" s="1"/>
      <c r="C6" s="2"/>
      <c r="D6" s="2"/>
      <c r="E6" s="6"/>
      <c r="F6" s="2"/>
      <c r="G6" s="32"/>
      <c r="H6" s="2"/>
      <c r="I6" s="6"/>
      <c r="K6" s="1"/>
    </row>
    <row r="7" spans="1:11" ht="12.75">
      <c r="A7" s="33">
        <v>37165</v>
      </c>
      <c r="B7" s="34" t="s">
        <v>258</v>
      </c>
      <c r="C7" s="2"/>
      <c r="D7" s="2"/>
      <c r="E7" s="2">
        <f>370962/3</f>
        <v>123654</v>
      </c>
      <c r="F7" s="2"/>
      <c r="G7" s="2"/>
      <c r="H7" s="2"/>
      <c r="I7" s="2">
        <f>+E7</f>
        <v>123654</v>
      </c>
      <c r="J7" s="52"/>
      <c r="K7" s="52"/>
    </row>
    <row r="8" spans="2:11" ht="12.75">
      <c r="B8" t="s">
        <v>184</v>
      </c>
      <c r="C8" s="2"/>
      <c r="D8" s="2"/>
      <c r="E8" s="2">
        <v>0</v>
      </c>
      <c r="F8" s="2"/>
      <c r="G8" s="2">
        <f>+E8</f>
        <v>0</v>
      </c>
      <c r="H8" s="2"/>
      <c r="I8" s="2"/>
      <c r="J8" s="52"/>
      <c r="K8" s="52"/>
    </row>
    <row r="9" spans="2:11" ht="13.5" thickBot="1">
      <c r="B9" s="34" t="s">
        <v>257</v>
      </c>
      <c r="C9" s="2"/>
      <c r="D9" s="2"/>
      <c r="E9" s="36">
        <f>+E7+E8</f>
        <v>123654</v>
      </c>
      <c r="F9" s="2"/>
      <c r="G9" s="36">
        <f>+G7+G8</f>
        <v>0</v>
      </c>
      <c r="H9" s="2"/>
      <c r="I9" s="36">
        <f>+I7+I8</f>
        <v>123654</v>
      </c>
      <c r="J9" s="36">
        <f>+I9+G9</f>
        <v>123654</v>
      </c>
      <c r="K9" s="1"/>
    </row>
    <row r="10" spans="2:11" ht="13.5" thickTop="1">
      <c r="B10" s="1"/>
      <c r="C10" s="2"/>
      <c r="D10" s="2"/>
      <c r="E10" s="6"/>
      <c r="F10" s="2"/>
      <c r="G10" s="32"/>
      <c r="H10" s="2"/>
      <c r="I10" s="6"/>
      <c r="K10" s="1"/>
    </row>
    <row r="11" spans="1:11" ht="12.75">
      <c r="A11" s="33">
        <v>37206</v>
      </c>
      <c r="B11" t="s">
        <v>64</v>
      </c>
      <c r="C11" s="2"/>
      <c r="D11" s="2"/>
      <c r="E11" s="2">
        <f>+E9</f>
        <v>123654</v>
      </c>
      <c r="F11" s="2"/>
      <c r="G11" s="52"/>
      <c r="H11" s="52"/>
      <c r="I11" s="2">
        <f>+E11</f>
        <v>123654</v>
      </c>
      <c r="J11" s="52"/>
      <c r="K11" s="1"/>
    </row>
    <row r="12" spans="1:11" ht="12.75">
      <c r="A12" s="33"/>
      <c r="B12" s="34" t="s">
        <v>258</v>
      </c>
      <c r="C12" s="2"/>
      <c r="D12" s="2"/>
      <c r="E12" s="2">
        <v>123654</v>
      </c>
      <c r="F12" s="2"/>
      <c r="G12" s="52"/>
      <c r="H12" s="52"/>
      <c r="I12" s="2">
        <f>+E12</f>
        <v>123654</v>
      </c>
      <c r="J12" s="52"/>
      <c r="K12" s="1"/>
    </row>
    <row r="13" spans="2:11" ht="12.75">
      <c r="B13" t="s">
        <v>184</v>
      </c>
      <c r="C13" s="2"/>
      <c r="D13" s="2"/>
      <c r="E13" s="2">
        <f>+I11*0.0725*0.0849315068493151</f>
        <v>761.4037397260275</v>
      </c>
      <c r="F13" s="2"/>
      <c r="G13" s="2">
        <f>+E13</f>
        <v>761.4037397260275</v>
      </c>
      <c r="H13" s="2"/>
      <c r="I13" s="2"/>
      <c r="J13" s="52"/>
      <c r="K13" s="1"/>
    </row>
    <row r="14" spans="2:11" ht="13.5" thickBot="1">
      <c r="B14" s="34" t="s">
        <v>257</v>
      </c>
      <c r="C14" s="2"/>
      <c r="D14" s="2"/>
      <c r="E14" s="36">
        <f>SUM(E11:E13)</f>
        <v>248069.40373972603</v>
      </c>
      <c r="F14" s="2"/>
      <c r="G14" s="36">
        <f>SUM(G11:G13)</f>
        <v>761.4037397260275</v>
      </c>
      <c r="H14" s="2"/>
      <c r="I14" s="36">
        <f>SUM(I11:I13)</f>
        <v>247308</v>
      </c>
      <c r="J14" s="36">
        <f>+I14+G14</f>
        <v>248069.40373972603</v>
      </c>
      <c r="K14" s="1"/>
    </row>
    <row r="15" spans="2:11" ht="13.5" thickTop="1">
      <c r="B15" s="1"/>
      <c r="C15" s="2"/>
      <c r="D15" s="2"/>
      <c r="E15" s="6"/>
      <c r="F15" s="2"/>
      <c r="G15" s="32"/>
      <c r="H15" s="2"/>
      <c r="I15" s="6"/>
      <c r="K15" s="1"/>
    </row>
    <row r="16" spans="1:11" ht="12.75">
      <c r="A16" s="33">
        <v>37237</v>
      </c>
      <c r="B16" t="s">
        <v>64</v>
      </c>
      <c r="C16" s="2"/>
      <c r="D16" s="2"/>
      <c r="E16" s="2">
        <f>+E14</f>
        <v>248069.40373972603</v>
      </c>
      <c r="F16" s="2"/>
      <c r="G16" s="52">
        <f>+G14</f>
        <v>761.4037397260275</v>
      </c>
      <c r="H16" s="52"/>
      <c r="I16" s="2">
        <f>+I14</f>
        <v>247308</v>
      </c>
      <c r="J16" s="52"/>
      <c r="K16" s="1"/>
    </row>
    <row r="17" spans="1:11" ht="12.75">
      <c r="A17" s="33"/>
      <c r="B17" s="34" t="s">
        <v>258</v>
      </c>
      <c r="C17" s="2"/>
      <c r="D17" s="2"/>
      <c r="E17" s="2">
        <v>123654</v>
      </c>
      <c r="F17" s="2"/>
      <c r="G17" s="52"/>
      <c r="H17" s="52"/>
      <c r="I17" s="2">
        <f>+E17</f>
        <v>123654</v>
      </c>
      <c r="J17" s="52"/>
      <c r="K17" s="1"/>
    </row>
    <row r="18" spans="2:11" ht="12.75">
      <c r="B18" t="s">
        <v>184</v>
      </c>
      <c r="C18" s="2"/>
      <c r="D18" s="2"/>
      <c r="E18" s="2">
        <f>+I16*0.0725*0.0849315068493151</f>
        <v>1522.807479452055</v>
      </c>
      <c r="F18" s="2"/>
      <c r="G18" s="2">
        <f>+E18</f>
        <v>1522.807479452055</v>
      </c>
      <c r="H18" s="2"/>
      <c r="I18" s="2"/>
      <c r="J18" s="52"/>
      <c r="K18" s="1"/>
    </row>
    <row r="19" spans="2:11" ht="13.5" thickBot="1">
      <c r="B19" s="34" t="s">
        <v>257</v>
      </c>
      <c r="C19" s="2"/>
      <c r="D19" s="2"/>
      <c r="E19" s="36">
        <f>SUM(E16:E18)</f>
        <v>373246.2112191781</v>
      </c>
      <c r="F19" s="2"/>
      <c r="G19" s="36">
        <f>SUM(G16:G18)</f>
        <v>2284.2112191780825</v>
      </c>
      <c r="H19" s="2"/>
      <c r="I19" s="36">
        <f>SUM(I16:I18)</f>
        <v>370962</v>
      </c>
      <c r="J19" s="36">
        <f>+I19+G19</f>
        <v>373246.2112191781</v>
      </c>
      <c r="K19" s="36"/>
    </row>
    <row r="20" spans="1:9" ht="13.5" thickTop="1">
      <c r="A20" s="34"/>
      <c r="B20" s="1"/>
      <c r="C20" s="2"/>
      <c r="D20" s="2"/>
      <c r="E20" s="6"/>
      <c r="F20" s="2"/>
      <c r="G20" s="16"/>
      <c r="H20" s="2"/>
      <c r="I20" s="6"/>
    </row>
    <row r="21" spans="1:9" ht="12.75">
      <c r="A21" s="33">
        <v>37257</v>
      </c>
      <c r="B21" t="s">
        <v>64</v>
      </c>
      <c r="C21" s="2"/>
      <c r="D21" s="2"/>
      <c r="E21" s="2">
        <f>+E19</f>
        <v>373246.2112191781</v>
      </c>
      <c r="F21" s="2"/>
      <c r="G21" s="2">
        <f>+G19</f>
        <v>2284.2112191780825</v>
      </c>
      <c r="H21" s="2"/>
      <c r="I21" s="2">
        <f>+I19</f>
        <v>370962</v>
      </c>
    </row>
    <row r="22" spans="2:9" ht="12.75">
      <c r="B22" t="s">
        <v>184</v>
      </c>
      <c r="C22" s="2"/>
      <c r="D22" s="2"/>
      <c r="E22" s="2">
        <f>+I21*0.0725/365*31</f>
        <v>2284.211219178082</v>
      </c>
      <c r="F22" s="2"/>
      <c r="G22" s="2">
        <f>+E22</f>
        <v>2284.211219178082</v>
      </c>
      <c r="H22" s="2"/>
      <c r="I22" s="2">
        <v>0</v>
      </c>
    </row>
    <row r="23" spans="2:10" ht="13.5" thickBot="1">
      <c r="B23" s="34" t="s">
        <v>94</v>
      </c>
      <c r="C23" s="35"/>
      <c r="D23" s="35"/>
      <c r="E23" s="36">
        <f>+E21+E22</f>
        <v>375530.4224383562</v>
      </c>
      <c r="F23" s="2"/>
      <c r="G23" s="36">
        <f>+G21+G22</f>
        <v>4568.422438356165</v>
      </c>
      <c r="H23" s="2"/>
      <c r="I23" s="36">
        <f>+I21+I22</f>
        <v>370962</v>
      </c>
      <c r="J23" s="36">
        <f>+I23+G23</f>
        <v>375530.42243835615</v>
      </c>
    </row>
    <row r="24" spans="2:9" ht="13.5" thickTop="1">
      <c r="B24" s="1"/>
      <c r="C24" s="2"/>
      <c r="D24" s="2"/>
      <c r="E24" s="6"/>
      <c r="F24" s="2"/>
      <c r="G24" s="32"/>
      <c r="H24" s="2"/>
      <c r="I24" s="6"/>
    </row>
    <row r="25" spans="1:9" ht="12.75">
      <c r="A25" s="33">
        <v>37288</v>
      </c>
      <c r="B25" t="s">
        <v>64</v>
      </c>
      <c r="C25" s="2"/>
      <c r="D25" s="2"/>
      <c r="E25" s="2">
        <f>+E23</f>
        <v>375530.4224383562</v>
      </c>
      <c r="F25" s="2"/>
      <c r="G25" s="2"/>
      <c r="H25" s="2"/>
      <c r="I25" s="2">
        <f>+I23</f>
        <v>370962</v>
      </c>
    </row>
    <row r="26" spans="2:9" ht="12.75">
      <c r="B26" t="s">
        <v>184</v>
      </c>
      <c r="C26" s="2"/>
      <c r="D26" s="2"/>
      <c r="E26" s="2">
        <f>+I25*0.0725/365*28</f>
        <v>2063.158520547945</v>
      </c>
      <c r="F26" s="2"/>
      <c r="G26" s="2">
        <f>+E26</f>
        <v>2063.158520547945</v>
      </c>
      <c r="H26" s="2"/>
      <c r="I26" s="2">
        <v>0</v>
      </c>
    </row>
    <row r="27" spans="2:10" ht="13.5" thickBot="1">
      <c r="B27" s="34" t="s">
        <v>94</v>
      </c>
      <c r="C27" s="35"/>
      <c r="D27" s="35"/>
      <c r="E27" s="36">
        <f>+E26+E25</f>
        <v>377593.5809589042</v>
      </c>
      <c r="F27" s="2"/>
      <c r="G27" s="44">
        <f>+G23+G26</f>
        <v>6631.58095890411</v>
      </c>
      <c r="H27" s="2"/>
      <c r="I27" s="36">
        <f>+I25+I26</f>
        <v>370962</v>
      </c>
      <c r="J27" s="36">
        <f>+I27+G27</f>
        <v>377593.5809589041</v>
      </c>
    </row>
    <row r="28" spans="3:9" ht="13.5" thickTop="1">
      <c r="C28" s="2"/>
      <c r="D28" s="2"/>
      <c r="E28" s="2"/>
      <c r="F28" s="2"/>
      <c r="H28" s="2"/>
      <c r="I28" s="2"/>
    </row>
    <row r="29" spans="1:9" ht="12.75">
      <c r="A29" s="33">
        <v>37316</v>
      </c>
      <c r="B29" t="s">
        <v>64</v>
      </c>
      <c r="C29" s="2"/>
      <c r="D29" s="2"/>
      <c r="E29" s="2">
        <f>+E27</f>
        <v>377593.5809589042</v>
      </c>
      <c r="F29" s="2"/>
      <c r="G29" s="2"/>
      <c r="H29" s="2"/>
      <c r="I29" s="2">
        <f>+I27</f>
        <v>370962</v>
      </c>
    </row>
    <row r="30" spans="2:19" ht="12.75">
      <c r="B30" t="s">
        <v>65</v>
      </c>
      <c r="C30" s="2"/>
      <c r="D30" s="2"/>
      <c r="E30" s="24">
        <f>-'2001PILSummary'!J45</f>
        <v>-7843.302390029213</v>
      </c>
      <c r="F30" s="2"/>
      <c r="G30" s="2"/>
      <c r="H30" s="2"/>
      <c r="I30" s="24">
        <f>+E30</f>
        <v>-7843.302390029213</v>
      </c>
      <c r="K30" s="2">
        <f>-I30</f>
        <v>7843.302390029213</v>
      </c>
      <c r="L30" s="2"/>
      <c r="S30" s="2"/>
    </row>
    <row r="31" spans="2:19" ht="12.75">
      <c r="B31" t="s">
        <v>69</v>
      </c>
      <c r="C31" s="2"/>
      <c r="D31" s="2"/>
      <c r="E31" s="2">
        <f>+E29+E30</f>
        <v>369750.278568875</v>
      </c>
      <c r="F31" s="2"/>
      <c r="G31" s="2"/>
      <c r="H31" s="2"/>
      <c r="I31" s="2">
        <f>+I29+I30</f>
        <v>363118.6976099708</v>
      </c>
      <c r="S31" s="2"/>
    </row>
    <row r="32" spans="2:19" ht="12.75">
      <c r="B32" t="s">
        <v>184</v>
      </c>
      <c r="C32" s="2"/>
      <c r="D32" s="2"/>
      <c r="E32" s="2">
        <f>((+I29)*0.0725*31/365)</f>
        <v>2284.211219178082</v>
      </c>
      <c r="F32" s="2"/>
      <c r="G32" s="2">
        <f>+E32</f>
        <v>2284.211219178082</v>
      </c>
      <c r="H32" s="2"/>
      <c r="I32" s="2">
        <v>0</v>
      </c>
      <c r="S32" s="2"/>
    </row>
    <row r="33" spans="2:19" ht="13.5" thickBot="1">
      <c r="B33" t="s">
        <v>66</v>
      </c>
      <c r="C33" s="2"/>
      <c r="D33" s="2"/>
      <c r="E33" s="26">
        <f>+E31+E32</f>
        <v>372034.4897880531</v>
      </c>
      <c r="F33" s="2"/>
      <c r="G33" s="26">
        <f>+G27+G32</f>
        <v>8915.792178082193</v>
      </c>
      <c r="H33" s="2"/>
      <c r="I33" s="26">
        <f>+I31+I32</f>
        <v>363118.6976099708</v>
      </c>
      <c r="J33" s="36">
        <f>+I33+G33</f>
        <v>372034.489788053</v>
      </c>
      <c r="K33" s="26">
        <f>+K30</f>
        <v>7843.302390029213</v>
      </c>
      <c r="S33" s="2"/>
    </row>
    <row r="34" spans="3:19" ht="13.5" thickTop="1">
      <c r="C34" s="2"/>
      <c r="D34" s="2"/>
      <c r="E34" s="2"/>
      <c r="F34" s="2"/>
      <c r="G34" s="2"/>
      <c r="H34" s="2"/>
      <c r="I34" s="4"/>
      <c r="S34" s="2"/>
    </row>
    <row r="35" spans="1:19" ht="12.75">
      <c r="A35" s="33">
        <v>37347</v>
      </c>
      <c r="B35" t="s">
        <v>71</v>
      </c>
      <c r="C35" s="2"/>
      <c r="D35" s="2"/>
      <c r="E35" s="2">
        <f>+E33</f>
        <v>372034.4897880531</v>
      </c>
      <c r="F35" s="2"/>
      <c r="G35" s="2"/>
      <c r="H35" s="2"/>
      <c r="I35" s="2">
        <f>+I33</f>
        <v>363118.6976099708</v>
      </c>
      <c r="S35" s="2"/>
    </row>
    <row r="36" spans="2:19" ht="12.75">
      <c r="B36" t="s">
        <v>72</v>
      </c>
      <c r="C36" s="2"/>
      <c r="D36" s="2"/>
      <c r="E36" s="24">
        <f>-'2001PILSummary'!N45</f>
        <v>-30938.399751060122</v>
      </c>
      <c r="F36" s="2"/>
      <c r="G36" s="2"/>
      <c r="H36" s="2"/>
      <c r="I36" s="24">
        <f>+E36</f>
        <v>-30938.399751060122</v>
      </c>
      <c r="K36" s="2">
        <f>-I36</f>
        <v>30938.399751060122</v>
      </c>
      <c r="L36" s="2"/>
      <c r="S36" s="2"/>
    </row>
    <row r="37" spans="2:19" ht="12.75">
      <c r="B37" t="s">
        <v>69</v>
      </c>
      <c r="C37" s="2"/>
      <c r="D37" s="2"/>
      <c r="E37" s="2">
        <f>+E35+E36</f>
        <v>341096.090036993</v>
      </c>
      <c r="F37" s="2"/>
      <c r="G37" s="2"/>
      <c r="H37" s="2"/>
      <c r="I37" s="2">
        <f>+I35+I36</f>
        <v>332180.2978589107</v>
      </c>
      <c r="S37" s="2"/>
    </row>
    <row r="38" spans="2:19" ht="12.75">
      <c r="B38" t="s">
        <v>184</v>
      </c>
      <c r="C38" s="2"/>
      <c r="D38" s="2"/>
      <c r="E38" s="2">
        <f>((+I35))*0.0725/365*30</f>
        <v>2163.7894994566755</v>
      </c>
      <c r="F38" s="2"/>
      <c r="G38" s="2">
        <f>+E38</f>
        <v>2163.7894994566755</v>
      </c>
      <c r="H38" s="2"/>
      <c r="I38" s="2">
        <v>0</v>
      </c>
      <c r="S38" s="2"/>
    </row>
    <row r="39" spans="2:19" ht="13.5" thickBot="1">
      <c r="B39" t="s">
        <v>73</v>
      </c>
      <c r="C39" s="2"/>
      <c r="D39" s="2"/>
      <c r="E39" s="26">
        <f>+E37+E38</f>
        <v>343259.8795364497</v>
      </c>
      <c r="F39" s="2"/>
      <c r="G39" s="26">
        <f>+G33+G38</f>
        <v>11079.581677538868</v>
      </c>
      <c r="H39" s="2"/>
      <c r="I39" s="26">
        <f>+I37+I38</f>
        <v>332180.2978589107</v>
      </c>
      <c r="J39" s="36">
        <f>+I39+G39</f>
        <v>343259.87953644956</v>
      </c>
      <c r="K39" s="26">
        <f>+K33+K36</f>
        <v>38781.702141089336</v>
      </c>
      <c r="S39" s="2"/>
    </row>
    <row r="40" spans="3:19" ht="13.5" thickTop="1">
      <c r="C40" s="2"/>
      <c r="D40" s="2"/>
      <c r="E40" s="2"/>
      <c r="F40" s="2"/>
      <c r="G40" s="2"/>
      <c r="H40" s="2"/>
      <c r="I40" s="4"/>
      <c r="S40" s="2"/>
    </row>
    <row r="41" spans="1:19" ht="12.75">
      <c r="A41" s="33">
        <v>37377</v>
      </c>
      <c r="B41" t="s">
        <v>76</v>
      </c>
      <c r="C41" s="2"/>
      <c r="D41" s="2"/>
      <c r="E41" s="2">
        <f>+E39</f>
        <v>343259.8795364497</v>
      </c>
      <c r="F41" s="2"/>
      <c r="G41" s="2"/>
      <c r="H41" s="2"/>
      <c r="I41" s="2">
        <f>+I39</f>
        <v>332180.2978589107</v>
      </c>
      <c r="S41" s="2"/>
    </row>
    <row r="42" spans="2:19" ht="12.75">
      <c r="B42" t="s">
        <v>74</v>
      </c>
      <c r="C42" s="2"/>
      <c r="D42" s="2"/>
      <c r="E42" s="24">
        <f>-'2001PILSummary'!R45</f>
        <v>-24847.787224276133</v>
      </c>
      <c r="F42" s="2"/>
      <c r="G42" s="2"/>
      <c r="H42" s="2"/>
      <c r="I42" s="24">
        <f>+E42</f>
        <v>-24847.787224276133</v>
      </c>
      <c r="K42" s="2">
        <f>-I42</f>
        <v>24847.787224276133</v>
      </c>
      <c r="S42" s="2"/>
    </row>
    <row r="43" spans="2:19" ht="12.75">
      <c r="B43" t="s">
        <v>75</v>
      </c>
      <c r="C43" s="2"/>
      <c r="D43" s="2"/>
      <c r="E43" s="2">
        <f>+E41+E42</f>
        <v>318412.09231217357</v>
      </c>
      <c r="F43" s="2"/>
      <c r="G43" s="2"/>
      <c r="H43" s="2"/>
      <c r="I43" s="2">
        <f>+I41+I42</f>
        <v>307332.5106346346</v>
      </c>
      <c r="S43" s="2"/>
    </row>
    <row r="44" spans="2:19" ht="12.75">
      <c r="B44" t="s">
        <v>184</v>
      </c>
      <c r="C44" s="2"/>
      <c r="D44" s="2"/>
      <c r="E44" s="2">
        <f>((+I41))*0.0725/365*31</f>
        <v>2045.4115601038404</v>
      </c>
      <c r="F44" s="2"/>
      <c r="G44" s="2">
        <f>+E44</f>
        <v>2045.4115601038404</v>
      </c>
      <c r="H44" s="2"/>
      <c r="I44" s="2">
        <v>0</v>
      </c>
      <c r="S44" s="2"/>
    </row>
    <row r="45" spans="2:19" ht="13.5" thickBot="1">
      <c r="B45" t="s">
        <v>78</v>
      </c>
      <c r="C45" s="2"/>
      <c r="D45" s="2"/>
      <c r="E45" s="26">
        <f>+E43+E44</f>
        <v>320457.5038722774</v>
      </c>
      <c r="F45" s="2"/>
      <c r="G45" s="26">
        <f>+G39+G44</f>
        <v>13124.99323764271</v>
      </c>
      <c r="H45" s="2"/>
      <c r="I45" s="26">
        <f>+I43+I44</f>
        <v>307332.5106346346</v>
      </c>
      <c r="J45" s="36">
        <f>+I45+G45</f>
        <v>320457.5038722773</v>
      </c>
      <c r="K45" s="26">
        <f>+K39+K42</f>
        <v>63629.48936536547</v>
      </c>
      <c r="S45" s="2"/>
    </row>
    <row r="46" spans="3:19" ht="13.5" thickTop="1">
      <c r="C46" s="2"/>
      <c r="D46" s="2"/>
      <c r="E46" s="2"/>
      <c r="F46" s="2"/>
      <c r="G46" s="2"/>
      <c r="H46" s="2"/>
      <c r="I46" s="4"/>
      <c r="S46" s="2"/>
    </row>
    <row r="47" spans="1:19" ht="12.75">
      <c r="A47" s="33">
        <v>37408</v>
      </c>
      <c r="B47" t="s">
        <v>88</v>
      </c>
      <c r="C47" s="2"/>
      <c r="D47" s="2"/>
      <c r="E47" s="2">
        <f>+E45</f>
        <v>320457.5038722774</v>
      </c>
      <c r="F47" s="2"/>
      <c r="G47" s="2"/>
      <c r="H47" s="2"/>
      <c r="I47" s="2">
        <f>+I45</f>
        <v>307332.5106346346</v>
      </c>
      <c r="S47" s="2"/>
    </row>
    <row r="48" spans="2:19" ht="12.75">
      <c r="B48" t="s">
        <v>89</v>
      </c>
      <c r="C48" s="2"/>
      <c r="D48" s="2"/>
      <c r="E48" s="24">
        <f>-'2001PILSummary'!U45</f>
        <v>-24612.935024376937</v>
      </c>
      <c r="F48" s="2"/>
      <c r="G48" s="2"/>
      <c r="H48" s="2"/>
      <c r="I48" s="24">
        <f>+E48</f>
        <v>-24612.935024376937</v>
      </c>
      <c r="K48" s="2">
        <f>-I48</f>
        <v>24612.935024376937</v>
      </c>
      <c r="S48" s="2"/>
    </row>
    <row r="49" spans="2:19" ht="12.75">
      <c r="B49" t="s">
        <v>90</v>
      </c>
      <c r="C49" s="2"/>
      <c r="D49" s="2"/>
      <c r="E49" s="2">
        <f>+E47+E48</f>
        <v>295844.56884790043</v>
      </c>
      <c r="F49" s="2"/>
      <c r="G49" s="2"/>
      <c r="H49" s="2"/>
      <c r="I49" s="2">
        <f>+I47+I48</f>
        <v>282719.5756102576</v>
      </c>
      <c r="S49" s="2"/>
    </row>
    <row r="50" spans="2:19" ht="12.75">
      <c r="B50" s="66" t="s">
        <v>261</v>
      </c>
      <c r="C50" s="67"/>
      <c r="D50" s="2"/>
      <c r="E50" s="67">
        <v>14356</v>
      </c>
      <c r="F50" s="2"/>
      <c r="G50" s="2"/>
      <c r="H50" s="2"/>
      <c r="I50" s="67">
        <f>+E50</f>
        <v>14356</v>
      </c>
      <c r="S50" s="2"/>
    </row>
    <row r="51" spans="2:19" ht="12.75">
      <c r="B51" s="66" t="s">
        <v>262</v>
      </c>
      <c r="C51" s="67"/>
      <c r="D51" s="2"/>
      <c r="E51" s="67">
        <v>323</v>
      </c>
      <c r="F51" s="2"/>
      <c r="G51" s="2"/>
      <c r="H51" s="2"/>
      <c r="I51" s="67">
        <f>+E51</f>
        <v>323</v>
      </c>
      <c r="S51" s="2"/>
    </row>
    <row r="52" spans="2:19" ht="12.75">
      <c r="B52" t="s">
        <v>184</v>
      </c>
      <c r="C52" s="2"/>
      <c r="D52" s="2"/>
      <c r="E52" s="2">
        <f>((+I47))*0.0725/365*30</f>
        <v>1831.3649606310414</v>
      </c>
      <c r="F52" s="2"/>
      <c r="G52" s="2">
        <f>+E52</f>
        <v>1831.3649606310414</v>
      </c>
      <c r="H52" s="2"/>
      <c r="I52" s="2">
        <v>0</v>
      </c>
      <c r="S52" s="2"/>
    </row>
    <row r="53" spans="2:19" ht="13.5" thickBot="1">
      <c r="B53" t="s">
        <v>91</v>
      </c>
      <c r="C53" s="2"/>
      <c r="D53" s="2"/>
      <c r="E53" s="26">
        <f>+E49+E52+E50+E51</f>
        <v>312354.9338085315</v>
      </c>
      <c r="F53" s="2"/>
      <c r="G53" s="26">
        <f>+G45+G52</f>
        <v>14956.35819827375</v>
      </c>
      <c r="H53" s="2"/>
      <c r="I53" s="26">
        <f>+I49+I52+I50+I51</f>
        <v>297398.5756102576</v>
      </c>
      <c r="J53" s="36">
        <f>+I53+G53</f>
        <v>312354.9338085314</v>
      </c>
      <c r="K53" s="26">
        <f>+K45+K48</f>
        <v>88242.4243897424</v>
      </c>
      <c r="M53" s="2"/>
      <c r="S53" s="2"/>
    </row>
    <row r="54" spans="7:19" ht="13.5" thickTop="1">
      <c r="G54" s="2"/>
      <c r="S54" s="2"/>
    </row>
    <row r="55" spans="1:19" ht="12.75">
      <c r="A55" s="33">
        <v>37438</v>
      </c>
      <c r="B55" t="s">
        <v>98</v>
      </c>
      <c r="C55" s="2"/>
      <c r="D55" s="2"/>
      <c r="E55" s="2">
        <f>+E53</f>
        <v>312354.9338085315</v>
      </c>
      <c r="F55" s="2"/>
      <c r="G55" s="2"/>
      <c r="H55" s="2"/>
      <c r="I55" s="2">
        <f>+I53</f>
        <v>297398.5756102576</v>
      </c>
      <c r="S55" s="2"/>
    </row>
    <row r="56" spans="2:19" ht="12.75">
      <c r="B56" t="s">
        <v>99</v>
      </c>
      <c r="C56" s="2"/>
      <c r="D56" s="2"/>
      <c r="E56" s="24">
        <f>-'2001PILSummary'!Y45</f>
        <v>-29836.438148815192</v>
      </c>
      <c r="F56" s="2"/>
      <c r="G56" s="2"/>
      <c r="H56" s="2"/>
      <c r="I56" s="24">
        <f>+E56</f>
        <v>-29836.438148815192</v>
      </c>
      <c r="K56" s="2">
        <f>-I56</f>
        <v>29836.438148815192</v>
      </c>
      <c r="S56" s="2"/>
    </row>
    <row r="57" spans="2:19" ht="12.75">
      <c r="B57" t="s">
        <v>100</v>
      </c>
      <c r="C57" s="2"/>
      <c r="D57" s="2"/>
      <c r="E57" s="2">
        <f>+E55+E56</f>
        <v>282518.4956597163</v>
      </c>
      <c r="F57" s="2"/>
      <c r="G57" s="2"/>
      <c r="H57" s="2"/>
      <c r="I57" s="2">
        <f>+I55+I56</f>
        <v>267562.13746144244</v>
      </c>
      <c r="S57" s="2"/>
    </row>
    <row r="58" spans="2:19" ht="12.75">
      <c r="B58" t="s">
        <v>184</v>
      </c>
      <c r="C58" s="2"/>
      <c r="D58" s="2"/>
      <c r="E58" s="2">
        <f>((+I55))*0.0725/365*30</f>
        <v>1772.1695943898912</v>
      </c>
      <c r="F58" s="2"/>
      <c r="G58" s="2">
        <f>+E58</f>
        <v>1772.1695943898912</v>
      </c>
      <c r="H58" s="2"/>
      <c r="I58" s="2">
        <v>0</v>
      </c>
      <c r="S58" s="2"/>
    </row>
    <row r="59" spans="2:11" ht="13.5" thickBot="1">
      <c r="B59" t="s">
        <v>101</v>
      </c>
      <c r="C59" s="2"/>
      <c r="D59" s="2"/>
      <c r="E59" s="26">
        <f>+E57+E58</f>
        <v>284290.6652541062</v>
      </c>
      <c r="F59" s="2"/>
      <c r="G59" s="26">
        <f>+G53+G58</f>
        <v>16728.52779266364</v>
      </c>
      <c r="H59" s="2"/>
      <c r="I59" s="26">
        <f>+I57+I58</f>
        <v>267562.13746144244</v>
      </c>
      <c r="J59" s="36">
        <f>+I59+G59</f>
        <v>284290.6652541061</v>
      </c>
      <c r="K59" s="26">
        <f>+K53+K56</f>
        <v>118078.86253855759</v>
      </c>
    </row>
    <row r="60" ht="13.5" thickTop="1"/>
    <row r="61" spans="1:10" ht="12.75">
      <c r="A61" s="33">
        <v>37469</v>
      </c>
      <c r="B61" t="s">
        <v>106</v>
      </c>
      <c r="E61" s="2">
        <f>+E59</f>
        <v>284290.6652541062</v>
      </c>
      <c r="G61" s="2">
        <f>+G59</f>
        <v>16728.52779266364</v>
      </c>
      <c r="I61" s="2">
        <f>+I59</f>
        <v>267562.13746144244</v>
      </c>
      <c r="J61" s="2"/>
    </row>
    <row r="62" spans="2:11" ht="12.75">
      <c r="B62" t="s">
        <v>107</v>
      </c>
      <c r="E62" s="24">
        <f>-'2001PILSummary'!AB45</f>
        <v>-32283.991700981678</v>
      </c>
      <c r="I62" s="24">
        <f>+E62</f>
        <v>-32283.991700981678</v>
      </c>
      <c r="K62" s="2">
        <f>-I62</f>
        <v>32283.991700981678</v>
      </c>
    </row>
    <row r="63" spans="2:9" ht="12.75">
      <c r="B63" t="s">
        <v>108</v>
      </c>
      <c r="E63" s="2">
        <f>+E61+E62</f>
        <v>252006.67355312454</v>
      </c>
      <c r="I63" s="2">
        <f>+I61+I62</f>
        <v>235278.14576046076</v>
      </c>
    </row>
    <row r="64" spans="2:7" ht="12.75">
      <c r="B64" t="s">
        <v>184</v>
      </c>
      <c r="E64" s="2">
        <f>((+I61))*0.0725/365*31</f>
        <v>1647.5230245057312</v>
      </c>
      <c r="G64" s="2">
        <f>+E64</f>
        <v>1647.5230245057312</v>
      </c>
    </row>
    <row r="65" spans="2:11" ht="13.5" thickBot="1">
      <c r="B65" t="s">
        <v>109</v>
      </c>
      <c r="E65" s="26">
        <f>+E63+E64</f>
        <v>253654.19657763027</v>
      </c>
      <c r="F65" s="2"/>
      <c r="G65" s="26">
        <f>+G59+G64</f>
        <v>18376.050817169373</v>
      </c>
      <c r="H65" s="2"/>
      <c r="I65" s="26">
        <f>+I63+I64</f>
        <v>235278.14576046076</v>
      </c>
      <c r="J65" s="36">
        <f>+I65+G65</f>
        <v>253654.19657763012</v>
      </c>
      <c r="K65" s="26">
        <f>+K59+K62</f>
        <v>150362.85423953927</v>
      </c>
    </row>
    <row r="66" ht="13.5" thickTop="1"/>
    <row r="67" spans="1:9" ht="12.75">
      <c r="A67" s="33">
        <v>37500</v>
      </c>
      <c r="B67" t="s">
        <v>125</v>
      </c>
      <c r="E67" s="2">
        <f>+E65</f>
        <v>253654.19657763027</v>
      </c>
      <c r="G67" s="2">
        <f>+G65</f>
        <v>18376.050817169373</v>
      </c>
      <c r="I67" s="2">
        <f>+I65</f>
        <v>235278.14576046076</v>
      </c>
    </row>
    <row r="68" spans="2:11" ht="12.75">
      <c r="B68" t="s">
        <v>126</v>
      </c>
      <c r="E68" s="24">
        <f>-'2001PILSummary'!AE45</f>
        <v>-32067.285773528296</v>
      </c>
      <c r="I68" s="24">
        <f>+E68</f>
        <v>-32067.285773528296</v>
      </c>
      <c r="K68" s="2">
        <f>-I68</f>
        <v>32067.285773528296</v>
      </c>
    </row>
    <row r="69" spans="2:9" ht="12.75">
      <c r="B69" t="s">
        <v>127</v>
      </c>
      <c r="E69" s="2">
        <f>+E67+E68</f>
        <v>221586.91080410196</v>
      </c>
      <c r="I69" s="2">
        <f>+I67+I68</f>
        <v>203210.85998693245</v>
      </c>
    </row>
    <row r="70" spans="2:7" ht="12.75">
      <c r="B70" t="s">
        <v>184</v>
      </c>
      <c r="E70" s="2">
        <f>((+I67))*0.0725/365*30</f>
        <v>1401.999909668499</v>
      </c>
      <c r="G70" s="2">
        <f>+E70</f>
        <v>1401.999909668499</v>
      </c>
    </row>
    <row r="71" spans="2:11" ht="13.5" thickBot="1">
      <c r="B71" t="s">
        <v>128</v>
      </c>
      <c r="E71" s="26">
        <f>+E69+E70</f>
        <v>222988.91071377046</v>
      </c>
      <c r="F71" s="2"/>
      <c r="G71" s="26">
        <f>+G65+G70</f>
        <v>19778.05072683787</v>
      </c>
      <c r="H71" s="2"/>
      <c r="I71" s="26">
        <f>+I69+I70</f>
        <v>203210.85998693245</v>
      </c>
      <c r="J71" s="36">
        <f>+I71+G71</f>
        <v>222988.9107137703</v>
      </c>
      <c r="K71" s="26">
        <f>+K65+K68</f>
        <v>182430.14001306758</v>
      </c>
    </row>
    <row r="72" ht="13.5" thickTop="1"/>
    <row r="73" spans="1:9" ht="12.75">
      <c r="A73" s="33">
        <v>37530</v>
      </c>
      <c r="B73" t="s">
        <v>131</v>
      </c>
      <c r="E73" s="2">
        <f>+E71</f>
        <v>222988.91071377046</v>
      </c>
      <c r="G73" s="2">
        <f>+G71</f>
        <v>19778.05072683787</v>
      </c>
      <c r="I73" s="2">
        <f>+I71</f>
        <v>203210.85998693245</v>
      </c>
    </row>
    <row r="74" spans="2:11" ht="12.75">
      <c r="B74" t="s">
        <v>132</v>
      </c>
      <c r="E74" s="24">
        <f>-'2001PILSummary'!AH45</f>
        <v>-30123.947707661027</v>
      </c>
      <c r="I74" s="24">
        <f>+E74</f>
        <v>-30123.947707661027</v>
      </c>
      <c r="K74" s="2">
        <f>-I74</f>
        <v>30123.947707661027</v>
      </c>
    </row>
    <row r="75" spans="2:9" ht="12.75">
      <c r="B75" t="s">
        <v>133</v>
      </c>
      <c r="E75" s="2">
        <f>+E73+E74</f>
        <v>192864.96300610944</v>
      </c>
      <c r="I75" s="2">
        <f>+I73+I74</f>
        <v>173086.91227927143</v>
      </c>
    </row>
    <row r="76" spans="2:7" ht="12.75">
      <c r="B76" t="s">
        <v>184</v>
      </c>
      <c r="E76" s="2">
        <f>((+I73))*0.0725/365*31</f>
        <v>1251.2778296455633</v>
      </c>
      <c r="G76" s="2">
        <f>+E76</f>
        <v>1251.2778296455633</v>
      </c>
    </row>
    <row r="77" spans="2:11" ht="13.5" thickBot="1">
      <c r="B77" t="s">
        <v>134</v>
      </c>
      <c r="E77" s="26">
        <f>+E75+E76</f>
        <v>194116.240835755</v>
      </c>
      <c r="F77" s="2"/>
      <c r="G77" s="26">
        <f>+G71+G76</f>
        <v>21029.328556483433</v>
      </c>
      <c r="H77" s="2"/>
      <c r="I77" s="26">
        <f>+I75+I76</f>
        <v>173086.91227927143</v>
      </c>
      <c r="J77" s="36">
        <f>+I77+G77</f>
        <v>194116.24083575487</v>
      </c>
      <c r="K77" s="26">
        <f>+K71+K74</f>
        <v>212554.0877207286</v>
      </c>
    </row>
    <row r="78" ht="13.5" thickTop="1"/>
    <row r="79" spans="1:9" ht="12.75">
      <c r="A79" s="33">
        <v>37561</v>
      </c>
      <c r="B79" t="s">
        <v>140</v>
      </c>
      <c r="E79" s="2">
        <f>+E77</f>
        <v>194116.240835755</v>
      </c>
      <c r="G79" s="2">
        <f>+G77</f>
        <v>21029.328556483433</v>
      </c>
      <c r="I79" s="2">
        <f>+I77</f>
        <v>173086.91227927143</v>
      </c>
    </row>
    <row r="80" spans="2:11" ht="12.75">
      <c r="B80" t="s">
        <v>141</v>
      </c>
      <c r="E80" s="24">
        <f>-'2001PILSummary'!AK45</f>
        <v>-30442.88400184236</v>
      </c>
      <c r="I80" s="24">
        <f>+E80</f>
        <v>-30442.88400184236</v>
      </c>
      <c r="K80" s="2">
        <f>-I80</f>
        <v>30442.88400184236</v>
      </c>
    </row>
    <row r="81" spans="2:9" ht="12.75">
      <c r="B81" t="s">
        <v>133</v>
      </c>
      <c r="E81" s="2">
        <f>+E79+E80</f>
        <v>163673.35683391264</v>
      </c>
      <c r="I81" s="2">
        <f>+I79+I80</f>
        <v>142644.02827742908</v>
      </c>
    </row>
    <row r="82" spans="2:7" ht="12.75">
      <c r="B82" t="s">
        <v>184</v>
      </c>
      <c r="E82" s="2">
        <f>((+I79))*0.0725/365*30</f>
        <v>1031.4083128970283</v>
      </c>
      <c r="G82" s="2">
        <f>+E82</f>
        <v>1031.4083128970283</v>
      </c>
    </row>
    <row r="83" spans="2:11" ht="13.5" thickBot="1">
      <c r="B83" t="s">
        <v>142</v>
      </c>
      <c r="E83" s="26">
        <f>+E81+E82</f>
        <v>164704.76514680966</v>
      </c>
      <c r="F83" s="2"/>
      <c r="G83" s="26">
        <f>+G77+G82</f>
        <v>22060.73686938046</v>
      </c>
      <c r="H83" s="2"/>
      <c r="I83" s="26">
        <f>+I81+I82</f>
        <v>142644.02827742908</v>
      </c>
      <c r="J83" s="36">
        <f>+I83+G83</f>
        <v>164704.76514680954</v>
      </c>
      <c r="K83" s="26">
        <f>+K77+K80</f>
        <v>242996.97172257095</v>
      </c>
    </row>
    <row r="84" ht="13.5" thickTop="1"/>
    <row r="85" spans="1:9" ht="12.75">
      <c r="A85" s="33">
        <v>37591</v>
      </c>
      <c r="B85" t="s">
        <v>145</v>
      </c>
      <c r="E85" s="2">
        <f>+E83</f>
        <v>164704.76514680966</v>
      </c>
      <c r="G85" s="2">
        <f>+G83</f>
        <v>22060.73686938046</v>
      </c>
      <c r="I85" s="2">
        <f>+I83</f>
        <v>142644.02827742908</v>
      </c>
    </row>
    <row r="86" spans="2:11" ht="12.75">
      <c r="B86" t="s">
        <v>146</v>
      </c>
      <c r="E86" s="25">
        <f>-'2001PILSummary'!AN45</f>
        <v>-31465.36429135016</v>
      </c>
      <c r="F86" s="51"/>
      <c r="G86" s="51"/>
      <c r="H86" s="51"/>
      <c r="I86" s="25">
        <f>+E86</f>
        <v>-31465.36429135016</v>
      </c>
      <c r="K86" s="2">
        <f>-I86</f>
        <v>31465.36429135016</v>
      </c>
    </row>
    <row r="87" spans="5:11" ht="12.75">
      <c r="E87" s="24">
        <v>0</v>
      </c>
      <c r="I87" s="24">
        <f>+E87</f>
        <v>0</v>
      </c>
      <c r="K87" s="2">
        <f>-I87</f>
        <v>0</v>
      </c>
    </row>
    <row r="88" spans="2:9" ht="12.75">
      <c r="B88" t="s">
        <v>147</v>
      </c>
      <c r="E88" s="2">
        <f>+E85+E86+E87</f>
        <v>133239.4008554595</v>
      </c>
      <c r="I88" s="2">
        <f>+I85+I86+I87</f>
        <v>111178.66398607893</v>
      </c>
    </row>
    <row r="89" spans="2:9" ht="12.75">
      <c r="B89" t="s">
        <v>190</v>
      </c>
      <c r="E89" s="2">
        <v>-2067.18</v>
      </c>
      <c r="G89" s="2">
        <f>+E89</f>
        <v>-2067.18</v>
      </c>
      <c r="I89" s="2"/>
    </row>
    <row r="90" spans="2:7" ht="12.75">
      <c r="B90" t="s">
        <v>184</v>
      </c>
      <c r="E90" s="2">
        <f>((+I85))*0.0725/365*31</f>
        <v>878.3354891877311</v>
      </c>
      <c r="G90" s="2">
        <f>+E90</f>
        <v>878.3354891877311</v>
      </c>
    </row>
    <row r="91" spans="2:11" ht="13.5" thickBot="1">
      <c r="B91" t="s">
        <v>148</v>
      </c>
      <c r="E91" s="26">
        <f>+E88+E90+E89</f>
        <v>132050.55634464725</v>
      </c>
      <c r="F91" s="2"/>
      <c r="G91" s="26">
        <f>+G83+G90+G89</f>
        <v>20871.89235856819</v>
      </c>
      <c r="H91" s="2"/>
      <c r="I91" s="26">
        <f>+I88+I90</f>
        <v>111178.66398607893</v>
      </c>
      <c r="J91" s="36">
        <f>+I91+G91</f>
        <v>132050.55634464714</v>
      </c>
      <c r="K91" s="26">
        <f>+K83+K86+K87</f>
        <v>274462.3360139211</v>
      </c>
    </row>
    <row r="92" ht="13.5" thickTop="1"/>
    <row r="93" spans="9:12" ht="12.75">
      <c r="I93" t="s">
        <v>154</v>
      </c>
      <c r="J93" s="34" t="s">
        <v>239</v>
      </c>
      <c r="K93" s="2">
        <f>+E7+E12+E17</f>
        <v>370962</v>
      </c>
      <c r="L93">
        <v>2001</v>
      </c>
    </row>
    <row r="94" spans="9:12" ht="12.75">
      <c r="I94" s="55" t="s">
        <v>201</v>
      </c>
      <c r="J94" t="s">
        <v>155</v>
      </c>
      <c r="K94" s="2">
        <f>+G91</f>
        <v>20871.89235856819</v>
      </c>
      <c r="L94" s="34" t="s">
        <v>260</v>
      </c>
    </row>
    <row r="95" spans="9:12" ht="12.75">
      <c r="I95" s="55"/>
      <c r="J95" s="34" t="s">
        <v>263</v>
      </c>
      <c r="K95" s="67">
        <v>14679</v>
      </c>
      <c r="L95" s="34"/>
    </row>
    <row r="96" spans="10:11" ht="12.75">
      <c r="J96" t="s">
        <v>156</v>
      </c>
      <c r="K96" s="2">
        <f>-K91</f>
        <v>-274462.3360139211</v>
      </c>
    </row>
    <row r="97" spans="9:12" ht="13.5" thickBot="1">
      <c r="I97" s="55" t="s">
        <v>201</v>
      </c>
      <c r="J97" t="s">
        <v>68</v>
      </c>
      <c r="K97" s="26">
        <f>SUM(K93:K96)</f>
        <v>132050.55634464708</v>
      </c>
      <c r="L97" s="65"/>
    </row>
    <row r="98" ht="13.5" thickTop="1">
      <c r="K98" s="25"/>
    </row>
    <row r="99" ht="12.75">
      <c r="K99" s="25"/>
    </row>
    <row r="100" spans="1:11" ht="12.75">
      <c r="A100" s="33">
        <v>37622</v>
      </c>
      <c r="B100" t="s">
        <v>180</v>
      </c>
      <c r="E100" s="2">
        <f>+E91</f>
        <v>132050.55634464725</v>
      </c>
      <c r="G100" s="2">
        <f>+G91</f>
        <v>20871.89235856819</v>
      </c>
      <c r="I100" s="2">
        <f>+I91</f>
        <v>111178.66398607893</v>
      </c>
      <c r="J100" s="2">
        <f>+J91</f>
        <v>132050.55634464714</v>
      </c>
      <c r="K100" s="2">
        <f>+K91</f>
        <v>274462.3360139211</v>
      </c>
    </row>
    <row r="101" spans="1:11" ht="12.75">
      <c r="A101" s="33"/>
      <c r="B101" t="s">
        <v>191</v>
      </c>
      <c r="E101" s="2">
        <v>30913.5</v>
      </c>
      <c r="G101" s="2"/>
      <c r="I101" s="2">
        <f>+E101</f>
        <v>30913.5</v>
      </c>
      <c r="J101" s="2"/>
      <c r="K101" s="2"/>
    </row>
    <row r="102" spans="2:11" ht="12.75">
      <c r="B102" t="s">
        <v>175</v>
      </c>
      <c r="E102" s="24">
        <f>-'Festival Jan 03'!N45</f>
        <v>-33027.20936018337</v>
      </c>
      <c r="I102" s="24">
        <f>+E102</f>
        <v>-33027.20936018337</v>
      </c>
      <c r="K102" s="2">
        <f>-I102</f>
        <v>33027.20936018337</v>
      </c>
    </row>
    <row r="103" spans="2:9" ht="12.75">
      <c r="B103" t="s">
        <v>177</v>
      </c>
      <c r="E103" s="2">
        <f>SUM(E100:E102)</f>
        <v>129936.84698446389</v>
      </c>
      <c r="I103" s="2">
        <f>SUM(I100:I102)</f>
        <v>109064.95462589557</v>
      </c>
    </row>
    <row r="104" spans="2:7" ht="12.75">
      <c r="B104" t="s">
        <v>184</v>
      </c>
      <c r="E104" s="2">
        <f>(+I100)*0.0725/365*31</f>
        <v>684.5864309827737</v>
      </c>
      <c r="G104" s="2">
        <f>+E104</f>
        <v>684.5864309827737</v>
      </c>
    </row>
    <row r="105" spans="2:11" ht="13.5" thickBot="1">
      <c r="B105" t="s">
        <v>178</v>
      </c>
      <c r="E105" s="26">
        <f>+E103+E104</f>
        <v>130621.43341544666</v>
      </c>
      <c r="F105" s="2"/>
      <c r="G105" s="26">
        <f>+G100+G104</f>
        <v>21556.478789550965</v>
      </c>
      <c r="H105" s="2"/>
      <c r="I105" s="26">
        <f>+I103+I104</f>
        <v>109064.95462589557</v>
      </c>
      <c r="J105" s="36">
        <f>+I105+G105</f>
        <v>130621.43341544653</v>
      </c>
      <c r="K105" s="26">
        <f>+K100+K102</f>
        <v>307489.5453741045</v>
      </c>
    </row>
    <row r="106" spans="6:11" ht="13.5" thickTop="1">
      <c r="F106" s="48" t="s">
        <v>176</v>
      </c>
      <c r="G106" s="53">
        <f>+G104</f>
        <v>684.5864309827737</v>
      </c>
      <c r="K106" s="25"/>
    </row>
    <row r="107" ht="12.75">
      <c r="K107" s="25"/>
    </row>
    <row r="108" spans="1:11" ht="12.75">
      <c r="A108" s="33">
        <v>37653</v>
      </c>
      <c r="B108" t="s">
        <v>179</v>
      </c>
      <c r="E108" s="2">
        <f>+E105</f>
        <v>130621.43341544666</v>
      </c>
      <c r="G108" s="2">
        <f>+G105</f>
        <v>21556.478789550965</v>
      </c>
      <c r="I108" s="2">
        <f>+I105</f>
        <v>109064.95462589557</v>
      </c>
      <c r="J108" s="2">
        <f>+J105</f>
        <v>130621.43341544653</v>
      </c>
      <c r="K108" s="2">
        <f>+K105</f>
        <v>307489.5453741045</v>
      </c>
    </row>
    <row r="109" spans="1:11" ht="12.75">
      <c r="A109" s="33"/>
      <c r="B109" t="s">
        <v>191</v>
      </c>
      <c r="E109" s="2">
        <v>30913.5</v>
      </c>
      <c r="G109" s="2"/>
      <c r="I109" s="2">
        <f>+E109</f>
        <v>30913.5</v>
      </c>
      <c r="J109" s="2"/>
      <c r="K109" s="2"/>
    </row>
    <row r="110" spans="2:11" ht="12.75">
      <c r="B110" t="s">
        <v>181</v>
      </c>
      <c r="E110" s="24">
        <f>-'Festival Feb 03'!N45</f>
        <v>-33638.858800449125</v>
      </c>
      <c r="I110" s="24">
        <f>+E110</f>
        <v>-33638.858800449125</v>
      </c>
      <c r="K110" s="2">
        <f>-I110</f>
        <v>33638.858800449125</v>
      </c>
    </row>
    <row r="111" spans="2:9" ht="12.75">
      <c r="B111" t="s">
        <v>182</v>
      </c>
      <c r="E111" s="2">
        <f>SUM(E108:E110)</f>
        <v>127896.07461499755</v>
      </c>
      <c r="I111" s="2">
        <f>SUM(I108:I110)</f>
        <v>106339.59582544645</v>
      </c>
    </row>
    <row r="112" spans="2:7" ht="12.75">
      <c r="B112" t="s">
        <v>184</v>
      </c>
      <c r="E112" s="2">
        <f>(+I108)*0.0725/365*28</f>
        <v>606.5804325768986</v>
      </c>
      <c r="G112" s="2">
        <f>+E112</f>
        <v>606.5804325768986</v>
      </c>
    </row>
    <row r="113" spans="2:11" ht="13.5" thickBot="1">
      <c r="B113" t="s">
        <v>183</v>
      </c>
      <c r="E113" s="26">
        <f>+E111+E112</f>
        <v>128502.65504757444</v>
      </c>
      <c r="F113" s="2"/>
      <c r="G113" s="26">
        <f>+G108+G112</f>
        <v>22163.059222127864</v>
      </c>
      <c r="H113" s="2"/>
      <c r="I113" s="26">
        <f>+I111+I112</f>
        <v>106339.59582544645</v>
      </c>
      <c r="J113" s="36">
        <f>+I113+G113</f>
        <v>128502.65504757431</v>
      </c>
      <c r="K113" s="26">
        <f>+K108+K110</f>
        <v>341128.40417455364</v>
      </c>
    </row>
    <row r="114" spans="6:11" ht="13.5" thickTop="1">
      <c r="F114" s="48" t="s">
        <v>176</v>
      </c>
      <c r="G114" s="53">
        <f>+G106+G112</f>
        <v>1291.1668635596723</v>
      </c>
      <c r="K114" s="25"/>
    </row>
    <row r="115" ht="12.75">
      <c r="K115" s="25"/>
    </row>
    <row r="116" spans="1:11" ht="12.75">
      <c r="A116" s="33">
        <v>37683</v>
      </c>
      <c r="B116" t="s">
        <v>179</v>
      </c>
      <c r="E116" s="2">
        <f>+E113</f>
        <v>128502.65504757444</v>
      </c>
      <c r="G116" s="2">
        <f>+G113</f>
        <v>22163.059222127864</v>
      </c>
      <c r="I116" s="2">
        <f>+I113</f>
        <v>106339.59582544645</v>
      </c>
      <c r="J116" s="2">
        <f>+J113</f>
        <v>128502.65504757431</v>
      </c>
      <c r="K116" s="2">
        <f>+K113</f>
        <v>341128.40417455364</v>
      </c>
    </row>
    <row r="117" spans="1:11" ht="12.75">
      <c r="A117" s="33"/>
      <c r="B117" s="34" t="s">
        <v>249</v>
      </c>
      <c r="E117" s="2">
        <f>370962/12</f>
        <v>30913.5</v>
      </c>
      <c r="G117" s="2"/>
      <c r="I117" s="2">
        <f>+E117</f>
        <v>30913.5</v>
      </c>
      <c r="J117" s="2"/>
      <c r="K117" s="2"/>
    </row>
    <row r="118" spans="2:11" ht="12.75">
      <c r="B118" t="s">
        <v>181</v>
      </c>
      <c r="E118" s="24">
        <f>-'Festival Mar 03 '!N45</f>
        <v>-32530.874708909105</v>
      </c>
      <c r="I118" s="24">
        <f>+E118</f>
        <v>-32530.874708909105</v>
      </c>
      <c r="K118" s="2">
        <f>-I118</f>
        <v>32530.874708909105</v>
      </c>
    </row>
    <row r="119" spans="2:9" ht="12.75">
      <c r="B119" t="s">
        <v>182</v>
      </c>
      <c r="E119" s="2">
        <f>SUM(E116:E118)</f>
        <v>126885.28033866532</v>
      </c>
      <c r="I119" s="2">
        <f>SUM(I116:I118)</f>
        <v>104722.22111653734</v>
      </c>
    </row>
    <row r="120" spans="2:7" ht="12.75">
      <c r="B120" t="s">
        <v>184</v>
      </c>
      <c r="E120" s="2">
        <f>(+I116)*0.0725/365*31</f>
        <v>654.7897030621668</v>
      </c>
      <c r="G120" s="2">
        <f>+E120</f>
        <v>654.7897030621668</v>
      </c>
    </row>
    <row r="121" spans="2:11" ht="13.5" thickBot="1">
      <c r="B121" t="s">
        <v>196</v>
      </c>
      <c r="E121" s="26">
        <f>+E119+E120</f>
        <v>127540.0700417275</v>
      </c>
      <c r="F121" s="2"/>
      <c r="G121" s="26">
        <f>+G116+G120</f>
        <v>22817.848925190032</v>
      </c>
      <c r="H121" s="2"/>
      <c r="I121" s="26">
        <f>+I119+I120</f>
        <v>104722.22111653734</v>
      </c>
      <c r="J121" s="36">
        <f>+I121+G121</f>
        <v>127540.07004172738</v>
      </c>
      <c r="K121" s="26">
        <f>+K116+K118</f>
        <v>373659.2788834628</v>
      </c>
    </row>
    <row r="122" spans="5:11" ht="13.5" thickTop="1">
      <c r="E122" s="25"/>
      <c r="F122" s="48" t="s">
        <v>176</v>
      </c>
      <c r="G122" s="53">
        <f>+G114+G120</f>
        <v>1945.956566621839</v>
      </c>
      <c r="H122" s="2"/>
      <c r="I122" s="25"/>
      <c r="J122" s="52"/>
      <c r="K122" s="25"/>
    </row>
    <row r="123" ht="12.75">
      <c r="K123" s="25"/>
    </row>
    <row r="124" spans="1:11" ht="12.75">
      <c r="A124" s="33">
        <v>37715</v>
      </c>
      <c r="B124" t="s">
        <v>192</v>
      </c>
      <c r="E124" s="2">
        <f>+E121</f>
        <v>127540.0700417275</v>
      </c>
      <c r="G124" s="2">
        <f>+G121</f>
        <v>22817.848925190032</v>
      </c>
      <c r="I124" s="2">
        <f>+I121</f>
        <v>104722.22111653734</v>
      </c>
      <c r="J124" s="2">
        <f>+J121</f>
        <v>127540.07004172738</v>
      </c>
      <c r="K124" s="2">
        <f>+K121</f>
        <v>373659.2788834628</v>
      </c>
    </row>
    <row r="125" spans="1:11" ht="12.75">
      <c r="A125" s="33"/>
      <c r="B125" t="s">
        <v>191</v>
      </c>
      <c r="E125" s="2">
        <f>370962/12</f>
        <v>30913.5</v>
      </c>
      <c r="G125" s="2"/>
      <c r="I125" s="2">
        <f>+E125</f>
        <v>30913.5</v>
      </c>
      <c r="J125" s="2"/>
      <c r="K125" s="2"/>
    </row>
    <row r="126" spans="2:11" ht="12.75">
      <c r="B126" t="s">
        <v>193</v>
      </c>
      <c r="E126" s="24">
        <f>-'Festival Apr 03'!N45</f>
        <v>-31083.147018659143</v>
      </c>
      <c r="I126" s="24">
        <f>+E126</f>
        <v>-31083.147018659143</v>
      </c>
      <c r="K126" s="2">
        <f>-I126</f>
        <v>31083.147018659143</v>
      </c>
    </row>
    <row r="127" spans="2:9" ht="12.75">
      <c r="B127" t="s">
        <v>195</v>
      </c>
      <c r="E127" s="2">
        <f>SUM(E124:E126)</f>
        <v>127370.42302306836</v>
      </c>
      <c r="I127" s="2">
        <f>SUM(I124:I126)</f>
        <v>104552.5740978782</v>
      </c>
    </row>
    <row r="128" spans="2:7" ht="12.75">
      <c r="B128" t="s">
        <v>184</v>
      </c>
      <c r="E128" s="2">
        <f>(+I124)*0.0725/365*30</f>
        <v>624.0296737766266</v>
      </c>
      <c r="G128" s="2">
        <f>+E128</f>
        <v>624.0296737766266</v>
      </c>
    </row>
    <row r="129" spans="2:11" ht="13.5" thickBot="1">
      <c r="B129" t="s">
        <v>194</v>
      </c>
      <c r="E129" s="26">
        <f>+E127+E128</f>
        <v>127994.452696845</v>
      </c>
      <c r="F129" s="2"/>
      <c r="G129" s="26">
        <f>+G124+G128</f>
        <v>23441.878598966658</v>
      </c>
      <c r="H129" s="2"/>
      <c r="I129" s="26">
        <f>+I127+I128</f>
        <v>104552.5740978782</v>
      </c>
      <c r="J129" s="36">
        <f>+I129+G129</f>
        <v>127994.45269684485</v>
      </c>
      <c r="K129" s="26">
        <f>+K124+K126</f>
        <v>404742.42590212193</v>
      </c>
    </row>
    <row r="130" spans="6:11" ht="13.5" thickTop="1">
      <c r="F130" s="48" t="s">
        <v>176</v>
      </c>
      <c r="G130" s="53">
        <f>+G122+G128</f>
        <v>2569.9862403984657</v>
      </c>
      <c r="I130" s="2"/>
      <c r="K130" s="25"/>
    </row>
    <row r="131" spans="7:11" ht="12.75">
      <c r="G131" s="2"/>
      <c r="I131" s="2"/>
      <c r="K131" s="25"/>
    </row>
    <row r="132" spans="1:11" ht="12.75">
      <c r="A132" s="33">
        <v>37746</v>
      </c>
      <c r="B132" t="s">
        <v>76</v>
      </c>
      <c r="E132" s="2">
        <f>+E129</f>
        <v>127994.452696845</v>
      </c>
      <c r="G132" s="2">
        <f>+G129</f>
        <v>23441.878598966658</v>
      </c>
      <c r="I132" s="2">
        <f>+I129</f>
        <v>104552.5740978782</v>
      </c>
      <c r="J132" s="2">
        <f>+J129</f>
        <v>127994.45269684485</v>
      </c>
      <c r="K132" s="2">
        <f>+K129</f>
        <v>404742.42590212193</v>
      </c>
    </row>
    <row r="133" spans="1:11" ht="12.75">
      <c r="A133" s="33"/>
      <c r="B133" t="s">
        <v>191</v>
      </c>
      <c r="E133" s="2">
        <f>370962/12</f>
        <v>30913.5</v>
      </c>
      <c r="G133" s="2"/>
      <c r="I133" s="2">
        <f>+E133</f>
        <v>30913.5</v>
      </c>
      <c r="J133" s="2"/>
      <c r="K133" s="2"/>
    </row>
    <row r="134" spans="2:11" ht="12.75">
      <c r="B134" t="s">
        <v>197</v>
      </c>
      <c r="E134" s="24">
        <f>-'Festival May 03'!N45</f>
        <v>-30319.411161814856</v>
      </c>
      <c r="I134" s="24">
        <f>+E134</f>
        <v>-30319.411161814856</v>
      </c>
      <c r="K134" s="2">
        <f>-I134</f>
        <v>30319.411161814856</v>
      </c>
    </row>
    <row r="135" spans="2:9" ht="12.75">
      <c r="B135" t="s">
        <v>195</v>
      </c>
      <c r="E135" s="2">
        <f>SUM(E132:E134)</f>
        <v>128588.54153503013</v>
      </c>
      <c r="I135" s="2">
        <f>SUM(I132:I134)</f>
        <v>105146.66293606332</v>
      </c>
    </row>
    <row r="136" spans="2:7" ht="12.75">
      <c r="B136" t="s">
        <v>184</v>
      </c>
      <c r="E136" s="2">
        <f>(+I132)*0.0725/365*31</f>
        <v>643.786055575291</v>
      </c>
      <c r="G136" s="2">
        <f>+E136</f>
        <v>643.786055575291</v>
      </c>
    </row>
    <row r="137" spans="2:11" ht="13.5" thickBot="1">
      <c r="B137" t="s">
        <v>78</v>
      </c>
      <c r="E137" s="26">
        <f>+E135+E136</f>
        <v>129232.32759060542</v>
      </c>
      <c r="F137" s="2"/>
      <c r="G137" s="26">
        <f>+G132+G136</f>
        <v>24085.66465454195</v>
      </c>
      <c r="H137" s="2"/>
      <c r="I137" s="26">
        <f>+I135+I136</f>
        <v>105146.66293606332</v>
      </c>
      <c r="J137" s="36">
        <f>+I137+G137</f>
        <v>129232.32759060527</v>
      </c>
      <c r="K137" s="26">
        <f>+K132+K134</f>
        <v>435061.8370639368</v>
      </c>
    </row>
    <row r="138" spans="6:11" ht="13.5" thickTop="1">
      <c r="F138" s="48" t="s">
        <v>176</v>
      </c>
      <c r="G138" s="53">
        <f>+G130+G136</f>
        <v>3213.7722959737566</v>
      </c>
      <c r="K138" s="25"/>
    </row>
    <row r="139" ht="12.75">
      <c r="K139" s="25"/>
    </row>
    <row r="140" spans="1:11" ht="12.75">
      <c r="A140" s="33">
        <v>37778</v>
      </c>
      <c r="B140" t="s">
        <v>88</v>
      </c>
      <c r="E140" s="2">
        <f>+E137</f>
        <v>129232.32759060542</v>
      </c>
      <c r="G140" s="2">
        <f>+G137</f>
        <v>24085.66465454195</v>
      </c>
      <c r="I140" s="2">
        <f>+I137</f>
        <v>105146.66293606332</v>
      </c>
      <c r="J140" s="2">
        <f>+J137</f>
        <v>129232.32759060527</v>
      </c>
      <c r="K140" s="2">
        <f>+K137</f>
        <v>435061.8370639368</v>
      </c>
    </row>
    <row r="141" spans="1:11" ht="12.75">
      <c r="A141" s="33"/>
      <c r="B141" t="s">
        <v>191</v>
      </c>
      <c r="E141" s="2">
        <f>370962/12</f>
        <v>30913.5</v>
      </c>
      <c r="G141" s="2"/>
      <c r="I141" s="2">
        <f>+E141</f>
        <v>30913.5</v>
      </c>
      <c r="J141" s="2"/>
      <c r="K141" s="2"/>
    </row>
    <row r="142" spans="2:11" ht="12.75">
      <c r="B142" t="s">
        <v>198</v>
      </c>
      <c r="E142" s="24">
        <f>-'Festival Jun 03'!N45</f>
        <v>-29265.238129003505</v>
      </c>
      <c r="I142" s="24">
        <f>+E142</f>
        <v>-29265.238129003505</v>
      </c>
      <c r="K142" s="2">
        <f>-I142</f>
        <v>29265.238129003505</v>
      </c>
    </row>
    <row r="143" spans="2:9" ht="12.75">
      <c r="B143" t="s">
        <v>195</v>
      </c>
      <c r="E143" s="2">
        <f>SUM(E140:E142)</f>
        <v>130880.58946160192</v>
      </c>
      <c r="I143" s="2">
        <f>SUM(I140:I142)</f>
        <v>106794.92480705981</v>
      </c>
    </row>
    <row r="144" spans="2:7" ht="12.75">
      <c r="B144" t="s">
        <v>184</v>
      </c>
      <c r="E144" s="2">
        <f>(+I140)*0.0725/365*31</f>
        <v>647.4441779419241</v>
      </c>
      <c r="G144" s="2">
        <f>+E144</f>
        <v>647.4441779419241</v>
      </c>
    </row>
    <row r="145" spans="5:7" ht="12.75">
      <c r="E145" s="2">
        <v>0</v>
      </c>
      <c r="G145" s="2">
        <f>+E145</f>
        <v>0</v>
      </c>
    </row>
    <row r="146" spans="2:11" ht="13.5" thickBot="1">
      <c r="B146" t="s">
        <v>91</v>
      </c>
      <c r="E146" s="26">
        <f>+E143+E144+E145</f>
        <v>131528.03363954384</v>
      </c>
      <c r="F146" s="2"/>
      <c r="G146" s="26">
        <f>+G140+G144+G145</f>
        <v>24733.108832483875</v>
      </c>
      <c r="H146" s="2"/>
      <c r="I146" s="26">
        <f>+I143+I144</f>
        <v>106794.92480705981</v>
      </c>
      <c r="J146" s="36">
        <f>+I146+G146</f>
        <v>131528.0336395437</v>
      </c>
      <c r="K146" s="26">
        <f>+K140+K142</f>
        <v>464327.0751929403</v>
      </c>
    </row>
    <row r="147" spans="6:11" ht="13.5" thickTop="1">
      <c r="F147" s="48" t="s">
        <v>176</v>
      </c>
      <c r="G147" s="53">
        <f>+G138+G144+G145</f>
        <v>3861.2164739156806</v>
      </c>
      <c r="K147" s="25"/>
    </row>
    <row r="148" spans="6:11" ht="12.75">
      <c r="F148" s="48"/>
      <c r="G148" s="53"/>
      <c r="K148" s="25"/>
    </row>
    <row r="149" spans="1:11" ht="12.75">
      <c r="A149" s="33">
        <v>37809</v>
      </c>
      <c r="B149" t="s">
        <v>211</v>
      </c>
      <c r="E149" s="2">
        <f>+E146</f>
        <v>131528.03363954384</v>
      </c>
      <c r="G149" s="2">
        <f>+G146</f>
        <v>24733.108832483875</v>
      </c>
      <c r="I149" s="2">
        <f>+I146</f>
        <v>106794.92480705981</v>
      </c>
      <c r="J149" s="2">
        <f>+J146</f>
        <v>131528.0336395437</v>
      </c>
      <c r="K149" s="2">
        <f>+K146</f>
        <v>464327.0751929403</v>
      </c>
    </row>
    <row r="150" spans="1:11" ht="12.75">
      <c r="A150" s="33"/>
      <c r="B150" t="s">
        <v>191</v>
      </c>
      <c r="E150" s="2">
        <f>370962/12</f>
        <v>30913.5</v>
      </c>
      <c r="G150" s="2"/>
      <c r="I150" s="2">
        <f>+E150</f>
        <v>30913.5</v>
      </c>
      <c r="J150" s="2"/>
      <c r="K150" s="2"/>
    </row>
    <row r="151" spans="2:11" ht="12.75">
      <c r="B151" t="s">
        <v>207</v>
      </c>
      <c r="E151" s="24">
        <f>-'Festival Jul 03'!N45</f>
        <v>-29863.51734803192</v>
      </c>
      <c r="I151" s="24">
        <f>+E151</f>
        <v>-29863.51734803192</v>
      </c>
      <c r="K151" s="2">
        <f>-I151</f>
        <v>29863.51734803192</v>
      </c>
    </row>
    <row r="152" spans="2:9" ht="12.75">
      <c r="B152" t="s">
        <v>195</v>
      </c>
      <c r="E152" s="2">
        <f>SUM(E149:E151)</f>
        <v>132578.0162915119</v>
      </c>
      <c r="I152" s="2">
        <f>SUM(I149:I151)</f>
        <v>107844.90745902789</v>
      </c>
    </row>
    <row r="153" spans="2:7" ht="12.75">
      <c r="B153" t="s">
        <v>184</v>
      </c>
      <c r="E153" s="2">
        <f>(+I149)*0.0725/365*31</f>
        <v>657.5934068599094</v>
      </c>
      <c r="G153" s="2">
        <f>+E153</f>
        <v>657.5934068599094</v>
      </c>
    </row>
    <row r="154" spans="2:11" ht="13.5" thickBot="1">
      <c r="B154" t="s">
        <v>210</v>
      </c>
      <c r="E154" s="26">
        <f>+E152+E153</f>
        <v>133235.60969837182</v>
      </c>
      <c r="F154" s="2"/>
      <c r="G154" s="26">
        <f>+G149+G153</f>
        <v>25390.702239343784</v>
      </c>
      <c r="H154" s="2"/>
      <c r="I154" s="26">
        <f>+I152+I153</f>
        <v>107844.90745902789</v>
      </c>
      <c r="J154" s="36">
        <f>+I154+G154</f>
        <v>133235.60969837167</v>
      </c>
      <c r="K154" s="26">
        <f>+K149+K151</f>
        <v>494190.5925409722</v>
      </c>
    </row>
    <row r="155" spans="6:11" ht="13.5" thickTop="1">
      <c r="F155" s="48" t="s">
        <v>176</v>
      </c>
      <c r="G155" s="53">
        <f>+G147+G153</f>
        <v>4518.80988077559</v>
      </c>
      <c r="K155" s="25"/>
    </row>
    <row r="156" spans="6:11" ht="12.75">
      <c r="F156" s="48"/>
      <c r="G156" s="53"/>
      <c r="K156" s="25"/>
    </row>
    <row r="157" spans="1:11" ht="12.75">
      <c r="A157" s="33">
        <v>37841</v>
      </c>
      <c r="B157" t="s">
        <v>211</v>
      </c>
      <c r="E157" s="2">
        <f>+E154</f>
        <v>133235.60969837182</v>
      </c>
      <c r="G157" s="2">
        <f>+G154</f>
        <v>25390.702239343784</v>
      </c>
      <c r="I157" s="2">
        <f>+I154</f>
        <v>107844.90745902789</v>
      </c>
      <c r="J157" s="2">
        <f>+J154</f>
        <v>133235.60969837167</v>
      </c>
      <c r="K157" s="2">
        <f>+K154</f>
        <v>494190.5925409722</v>
      </c>
    </row>
    <row r="158" spans="1:11" ht="12.75">
      <c r="A158" s="33"/>
      <c r="B158" t="s">
        <v>191</v>
      </c>
      <c r="E158" s="2">
        <f>370962/12</f>
        <v>30913.5</v>
      </c>
      <c r="G158" s="2"/>
      <c r="I158" s="2">
        <f>+E158</f>
        <v>30913.5</v>
      </c>
      <c r="J158" s="2"/>
      <c r="K158" s="2"/>
    </row>
    <row r="159" spans="2:11" ht="12.75">
      <c r="B159" t="s">
        <v>208</v>
      </c>
      <c r="E159" s="24">
        <f>-'Festival Aug 03 '!N45</f>
        <v>-31215.245968757954</v>
      </c>
      <c r="I159" s="24">
        <f>+E159</f>
        <v>-31215.245968757954</v>
      </c>
      <c r="K159" s="2">
        <f>-I159</f>
        <v>31215.245968757954</v>
      </c>
    </row>
    <row r="160" spans="2:9" ht="12.75">
      <c r="B160" t="s">
        <v>195</v>
      </c>
      <c r="E160" s="2">
        <f>SUM(E157:E159)</f>
        <v>132933.86372961386</v>
      </c>
      <c r="I160" s="2">
        <f>SUM(I157:I159)</f>
        <v>107543.16149026994</v>
      </c>
    </row>
    <row r="161" spans="2:7" ht="12.75">
      <c r="B161" t="s">
        <v>184</v>
      </c>
      <c r="E161" s="2">
        <f>(+I157)*0.0725/365*31</f>
        <v>664.0587109977128</v>
      </c>
      <c r="G161" s="2">
        <f>+E161</f>
        <v>664.0587109977128</v>
      </c>
    </row>
    <row r="162" spans="2:11" ht="13.5" thickBot="1">
      <c r="B162" t="s">
        <v>210</v>
      </c>
      <c r="E162" s="26">
        <f>+E160+E161</f>
        <v>133597.92244061158</v>
      </c>
      <c r="F162" s="2"/>
      <c r="G162" s="26">
        <f>+G157+G161</f>
        <v>26054.760950341497</v>
      </c>
      <c r="H162" s="2"/>
      <c r="I162" s="26">
        <f>+I160+I161</f>
        <v>107543.16149026994</v>
      </c>
      <c r="J162" s="36">
        <f>+I162+G162</f>
        <v>133597.92244061144</v>
      </c>
      <c r="K162" s="26">
        <f>+K157+K159</f>
        <v>525405.8385097302</v>
      </c>
    </row>
    <row r="163" spans="6:11" ht="13.5" thickTop="1">
      <c r="F163" s="48" t="s">
        <v>176</v>
      </c>
      <c r="G163" s="53">
        <f>+G155+G161</f>
        <v>5182.868591773302</v>
      </c>
      <c r="K163" s="25"/>
    </row>
    <row r="164" spans="6:11" ht="12.75">
      <c r="F164" s="48"/>
      <c r="G164" s="53"/>
      <c r="K164" s="25"/>
    </row>
    <row r="165" spans="1:11" ht="12.75">
      <c r="A165" s="33">
        <v>37873</v>
      </c>
      <c r="B165" t="s">
        <v>211</v>
      </c>
      <c r="E165" s="2">
        <f>+E162</f>
        <v>133597.92244061158</v>
      </c>
      <c r="G165" s="2">
        <f>+G162</f>
        <v>26054.760950341497</v>
      </c>
      <c r="I165" s="2">
        <f>+I162</f>
        <v>107543.16149026994</v>
      </c>
      <c r="J165" s="2">
        <f>+J162</f>
        <v>133597.92244061144</v>
      </c>
      <c r="K165" s="2">
        <f>+K162</f>
        <v>525405.8385097302</v>
      </c>
    </row>
    <row r="166" spans="1:11" ht="12.75">
      <c r="A166" s="33"/>
      <c r="B166" t="s">
        <v>191</v>
      </c>
      <c r="E166" s="2">
        <f>370962/12</f>
        <v>30913.5</v>
      </c>
      <c r="G166" s="2"/>
      <c r="I166" s="2">
        <f>+E166</f>
        <v>30913.5</v>
      </c>
      <c r="J166" s="2"/>
      <c r="K166" s="2"/>
    </row>
    <row r="167" spans="2:11" ht="12.75">
      <c r="B167" t="s">
        <v>209</v>
      </c>
      <c r="E167" s="24">
        <f>-'Festival Sep 03'!N45</f>
        <v>-30779.909444735276</v>
      </c>
      <c r="I167" s="24">
        <f>+E167</f>
        <v>-30779.909444735276</v>
      </c>
      <c r="K167" s="2">
        <f>-I167</f>
        <v>30779.909444735276</v>
      </c>
    </row>
    <row r="168" spans="2:9" ht="12.75">
      <c r="B168" t="s">
        <v>195</v>
      </c>
      <c r="E168" s="2">
        <f>SUM(E165:E167)</f>
        <v>133731.5129958763</v>
      </c>
      <c r="I168" s="2">
        <f>SUM(I165:I167)</f>
        <v>107676.75204553467</v>
      </c>
    </row>
    <row r="169" spans="2:7" ht="12.75">
      <c r="B169" t="s">
        <v>184</v>
      </c>
      <c r="E169" s="2">
        <f>(+I165)*0.0725/365*30</f>
        <v>640.8393869625673</v>
      </c>
      <c r="G169" s="2">
        <f>+E169</f>
        <v>640.8393869625673</v>
      </c>
    </row>
    <row r="170" spans="2:11" ht="13.5" thickBot="1">
      <c r="B170" t="s">
        <v>210</v>
      </c>
      <c r="E170" s="26">
        <f>+E168+E169</f>
        <v>134372.35238283887</v>
      </c>
      <c r="F170" s="2"/>
      <c r="G170" s="26">
        <f>+G165+G169</f>
        <v>26695.600337304066</v>
      </c>
      <c r="H170" s="2"/>
      <c r="I170" s="26">
        <f>+I168+I169</f>
        <v>107676.75204553467</v>
      </c>
      <c r="J170" s="36">
        <f>+I170+G170</f>
        <v>134372.35238283873</v>
      </c>
      <c r="K170" s="26">
        <f>+K165+K167</f>
        <v>556185.7479544654</v>
      </c>
    </row>
    <row r="171" spans="6:11" ht="13.5" thickTop="1">
      <c r="F171" s="48" t="s">
        <v>176</v>
      </c>
      <c r="G171" s="53">
        <f>+G163+G169</f>
        <v>5823.707978735869</v>
      </c>
      <c r="K171" s="25"/>
    </row>
    <row r="172" spans="1:11" ht="12.75">
      <c r="A172" s="33">
        <v>37904</v>
      </c>
      <c r="B172" t="s">
        <v>211</v>
      </c>
      <c r="E172" s="2">
        <f>+E170</f>
        <v>134372.35238283887</v>
      </c>
      <c r="G172" s="2">
        <f>+G170</f>
        <v>26695.600337304066</v>
      </c>
      <c r="I172" s="2">
        <f>+I170</f>
        <v>107676.75204553467</v>
      </c>
      <c r="J172" s="2">
        <f>+J170</f>
        <v>134372.35238283873</v>
      </c>
      <c r="K172" s="2">
        <f>+K170</f>
        <v>556185.7479544654</v>
      </c>
    </row>
    <row r="173" spans="1:11" ht="12.75">
      <c r="A173" s="33"/>
      <c r="B173" t="s">
        <v>191</v>
      </c>
      <c r="E173" s="2">
        <f>370962/12</f>
        <v>30913.5</v>
      </c>
      <c r="G173" s="2"/>
      <c r="I173" s="2">
        <f>+E173</f>
        <v>30913.5</v>
      </c>
      <c r="J173" s="2"/>
      <c r="K173" s="2"/>
    </row>
    <row r="174" spans="2:11" ht="12.75">
      <c r="B174" t="s">
        <v>219</v>
      </c>
      <c r="E174" s="24">
        <f>-'Festival Oct 03'!N45</f>
        <v>-29387.77890182923</v>
      </c>
      <c r="I174" s="24">
        <f>+E174</f>
        <v>-29387.77890182923</v>
      </c>
      <c r="K174" s="2">
        <f>-I174</f>
        <v>29387.77890182923</v>
      </c>
    </row>
    <row r="175" spans="2:9" ht="12.75">
      <c r="B175" t="s">
        <v>195</v>
      </c>
      <c r="E175" s="2">
        <f>SUM(E172:E174)</f>
        <v>135898.07348100963</v>
      </c>
      <c r="I175" s="2">
        <f>SUM(I172:I174)</f>
        <v>109202.47314370543</v>
      </c>
    </row>
    <row r="176" spans="2:7" ht="12.75">
      <c r="B176" t="s">
        <v>184</v>
      </c>
      <c r="E176" s="2">
        <f>(+I172)*0.0725/365*31</f>
        <v>663.0232882803813</v>
      </c>
      <c r="G176" s="2">
        <f>+E176</f>
        <v>663.0232882803813</v>
      </c>
    </row>
    <row r="177" spans="2:11" ht="13.5" thickBot="1">
      <c r="B177" t="s">
        <v>210</v>
      </c>
      <c r="E177" s="26">
        <f>+E175+E176</f>
        <v>136561.09676929002</v>
      </c>
      <c r="F177" s="2"/>
      <c r="G177" s="26">
        <f>+G172+G176</f>
        <v>27358.62362558445</v>
      </c>
      <c r="H177" s="2"/>
      <c r="I177" s="26">
        <f>+I175+I176</f>
        <v>109202.47314370543</v>
      </c>
      <c r="J177" s="36">
        <f>+I177+G177</f>
        <v>136561.09676928987</v>
      </c>
      <c r="K177" s="26">
        <f>+K172+K174</f>
        <v>585573.5268562947</v>
      </c>
    </row>
    <row r="178" spans="6:11" ht="13.5" thickTop="1">
      <c r="F178" s="48" t="s">
        <v>176</v>
      </c>
      <c r="G178" s="53">
        <f>+G171+G176</f>
        <v>6486.73126701625</v>
      </c>
      <c r="K178" s="25"/>
    </row>
    <row r="179" spans="1:11" ht="12.75">
      <c r="A179" s="33">
        <v>37936</v>
      </c>
      <c r="B179" t="s">
        <v>211</v>
      </c>
      <c r="E179" s="2">
        <f>+E177</f>
        <v>136561.09676929002</v>
      </c>
      <c r="G179" s="2">
        <f>+G177</f>
        <v>27358.62362558445</v>
      </c>
      <c r="I179" s="2">
        <f>+I177</f>
        <v>109202.47314370543</v>
      </c>
      <c r="J179" s="2">
        <f>+J177</f>
        <v>136561.09676928987</v>
      </c>
      <c r="K179" s="2">
        <f>+K177</f>
        <v>585573.5268562947</v>
      </c>
    </row>
    <row r="180" spans="1:11" ht="12.75">
      <c r="A180" s="33"/>
      <c r="B180" t="s">
        <v>191</v>
      </c>
      <c r="E180" s="2">
        <f>370962/12</f>
        <v>30913.5</v>
      </c>
      <c r="G180" s="2"/>
      <c r="I180" s="2">
        <f>+E180</f>
        <v>30913.5</v>
      </c>
      <c r="J180" s="2"/>
      <c r="K180" s="2"/>
    </row>
    <row r="181" spans="2:11" ht="12.75">
      <c r="B181" t="s">
        <v>221</v>
      </c>
      <c r="E181" s="24">
        <f>-'Festival Nov 03'!N45</f>
        <v>-30022.21184413483</v>
      </c>
      <c r="I181" s="24">
        <f>+E181</f>
        <v>-30022.21184413483</v>
      </c>
      <c r="K181" s="2">
        <f>-I181</f>
        <v>30022.21184413483</v>
      </c>
    </row>
    <row r="182" spans="2:9" ht="12.75">
      <c r="B182" t="s">
        <v>195</v>
      </c>
      <c r="E182" s="2">
        <f>SUM(E179:E181)</f>
        <v>137452.3849251552</v>
      </c>
      <c r="I182" s="2">
        <f>SUM(I179:I181)</f>
        <v>110093.7612995706</v>
      </c>
    </row>
    <row r="183" spans="2:7" ht="12.75">
      <c r="B183" t="s">
        <v>184</v>
      </c>
      <c r="E183" s="2">
        <f>(+I179)*0.0725/365*30</f>
        <v>650.7270659933131</v>
      </c>
      <c r="G183" s="2">
        <f>+E183</f>
        <v>650.7270659933131</v>
      </c>
    </row>
    <row r="184" spans="2:11" ht="13.5" thickBot="1">
      <c r="B184" t="s">
        <v>210</v>
      </c>
      <c r="E184" s="26">
        <f>+E182+E183</f>
        <v>138103.11199114853</v>
      </c>
      <c r="F184" s="2"/>
      <c r="G184" s="26">
        <f>+G179+G183</f>
        <v>28009.35069157776</v>
      </c>
      <c r="H184" s="2"/>
      <c r="I184" s="26">
        <f>+I182+I183</f>
        <v>110093.7612995706</v>
      </c>
      <c r="J184" s="36">
        <f>+I184+G184</f>
        <v>138103.11199114835</v>
      </c>
      <c r="K184" s="26">
        <f>+K179+K181</f>
        <v>615595.7387004296</v>
      </c>
    </row>
    <row r="185" spans="6:11" ht="13.5" thickTop="1">
      <c r="F185" s="48" t="s">
        <v>176</v>
      </c>
      <c r="G185" s="53">
        <f>+G178+G183</f>
        <v>7137.458333009563</v>
      </c>
      <c r="K185" s="25"/>
    </row>
    <row r="186" spans="1:11" ht="12.75">
      <c r="A186" s="33">
        <v>37967</v>
      </c>
      <c r="B186" t="s">
        <v>211</v>
      </c>
      <c r="E186" s="2">
        <f>+E184</f>
        <v>138103.11199114853</v>
      </c>
      <c r="G186" s="2">
        <f>+G184</f>
        <v>28009.35069157776</v>
      </c>
      <c r="I186" s="2">
        <f>+I184</f>
        <v>110093.7612995706</v>
      </c>
      <c r="J186" s="2">
        <f>+J184</f>
        <v>138103.11199114835</v>
      </c>
      <c r="K186" s="2">
        <f>+K184</f>
        <v>615595.7387004296</v>
      </c>
    </row>
    <row r="187" spans="1:11" ht="12.75">
      <c r="A187" s="33"/>
      <c r="B187" t="s">
        <v>191</v>
      </c>
      <c r="E187" s="2">
        <f>370962/12</f>
        <v>30913.5</v>
      </c>
      <c r="G187" s="2"/>
      <c r="I187" s="2">
        <f>+E187</f>
        <v>30913.5</v>
      </c>
      <c r="J187" s="2"/>
      <c r="K187" s="2"/>
    </row>
    <row r="188" spans="2:11" ht="12.75">
      <c r="B188" t="s">
        <v>230</v>
      </c>
      <c r="E188" s="24">
        <f>-'Festival Dec 03'!N45</f>
        <v>-30410.33645394179</v>
      </c>
      <c r="I188" s="24">
        <f>+E188</f>
        <v>-30410.33645394179</v>
      </c>
      <c r="K188" s="2">
        <f>-I188</f>
        <v>30410.33645394179</v>
      </c>
    </row>
    <row r="189" spans="2:9" ht="12.75">
      <c r="B189" t="s">
        <v>195</v>
      </c>
      <c r="E189" s="2">
        <f>SUM(E186:E188)</f>
        <v>138606.27553720673</v>
      </c>
      <c r="I189" s="2">
        <f>SUM(I186:I188)</f>
        <v>110596.92484562882</v>
      </c>
    </row>
    <row r="190" spans="2:7" ht="12.75">
      <c r="B190" t="s">
        <v>184</v>
      </c>
      <c r="E190" s="2">
        <f>(+I186)*0.0725/365*31</f>
        <v>677.906105536397</v>
      </c>
      <c r="G190" s="2">
        <f>+E190</f>
        <v>677.906105536397</v>
      </c>
    </row>
    <row r="191" spans="2:11" ht="13.5" thickBot="1">
      <c r="B191" t="s">
        <v>210</v>
      </c>
      <c r="E191" s="26">
        <f>+E189+E190</f>
        <v>139284.18164274312</v>
      </c>
      <c r="F191" s="2"/>
      <c r="G191" s="26">
        <f>+G186+G190</f>
        <v>28687.256797114158</v>
      </c>
      <c r="H191" s="2"/>
      <c r="I191" s="26">
        <f>+I189+I190</f>
        <v>110596.92484562882</v>
      </c>
      <c r="J191" s="36">
        <f>+I191+G191</f>
        <v>139284.18164274297</v>
      </c>
      <c r="K191" s="26">
        <f>+K186+K188</f>
        <v>646006.0751543713</v>
      </c>
    </row>
    <row r="192" spans="6:11" ht="13.5" thickTop="1">
      <c r="F192" s="48" t="s">
        <v>176</v>
      </c>
      <c r="G192" s="53">
        <f>+G185+G190</f>
        <v>7815.36443854596</v>
      </c>
      <c r="K192" s="25"/>
    </row>
    <row r="193" spans="6:11" ht="12.75">
      <c r="F193" s="48"/>
      <c r="G193" s="53"/>
      <c r="K193" s="25"/>
    </row>
    <row r="194" spans="1:11" ht="12.75">
      <c r="A194" s="60" t="s">
        <v>215</v>
      </c>
      <c r="B194" s="56" t="s">
        <v>216</v>
      </c>
      <c r="C194" t="s">
        <v>226</v>
      </c>
      <c r="E194" s="56" t="s">
        <v>202</v>
      </c>
      <c r="G194" s="2"/>
      <c r="I194" t="s">
        <v>223</v>
      </c>
      <c r="J194" s="57" t="s">
        <v>176</v>
      </c>
      <c r="K194" s="1" t="s">
        <v>225</v>
      </c>
    </row>
    <row r="195" spans="1:11" ht="13.5" thickBot="1">
      <c r="A195" s="26">
        <f>+J198</f>
        <v>7815.364438545967</v>
      </c>
      <c r="B195" s="26">
        <f>+A195/0.0725*0.0265</f>
        <v>2856.6504499512844</v>
      </c>
      <c r="C195" s="26">
        <f>+A195-B195</f>
        <v>4958.713988594682</v>
      </c>
      <c r="E195" s="56"/>
      <c r="G195" s="2"/>
      <c r="J195" s="57"/>
      <c r="K195" s="1"/>
    </row>
    <row r="196" spans="1:11" ht="13.5" thickTop="1">
      <c r="A196" s="3"/>
      <c r="E196" s="56" t="s">
        <v>224</v>
      </c>
      <c r="G196" s="2"/>
      <c r="I196">
        <v>0</v>
      </c>
      <c r="J196" s="2">
        <f>+E91</f>
        <v>132050.55634464725</v>
      </c>
      <c r="K196" s="2">
        <f>+E170</f>
        <v>134372.35238283887</v>
      </c>
    </row>
    <row r="197" spans="1:11" ht="12.75">
      <c r="A197" s="3"/>
      <c r="E197" t="s">
        <v>203</v>
      </c>
      <c r="G197" s="54"/>
      <c r="I197" s="2">
        <f>370962+(30913.5*12)</f>
        <v>741924</v>
      </c>
      <c r="J197" s="2">
        <f>30913.5*12</f>
        <v>370962</v>
      </c>
      <c r="K197">
        <f>30913.5*3</f>
        <v>92740.5</v>
      </c>
    </row>
    <row r="198" spans="1:11" ht="12.75">
      <c r="A198" s="46"/>
      <c r="E198" t="s">
        <v>199</v>
      </c>
      <c r="G198" s="2"/>
      <c r="I198" s="2">
        <f>+G191</f>
        <v>28687.256797114158</v>
      </c>
      <c r="J198" s="2">
        <f>+I198-K94</f>
        <v>7815.364438545967</v>
      </c>
      <c r="K198" s="2">
        <f>+G176+G183+G190</f>
        <v>1991.6564598100915</v>
      </c>
    </row>
    <row r="199" spans="1:11" ht="12.75">
      <c r="A199" s="3"/>
      <c r="E199" t="s">
        <v>200</v>
      </c>
      <c r="G199" s="2"/>
      <c r="I199" s="2">
        <f>-K191</f>
        <v>-646006.0751543713</v>
      </c>
      <c r="J199" s="2">
        <f>-K191+K91</f>
        <v>-371543.7391404502</v>
      </c>
      <c r="K199" s="2">
        <f>+E174+E181+E188</f>
        <v>-89820.32719990585</v>
      </c>
    </row>
    <row r="200" spans="1:11" ht="13.5" thickBot="1">
      <c r="A200" s="3"/>
      <c r="E200" s="34" t="s">
        <v>250</v>
      </c>
      <c r="G200" s="2"/>
      <c r="I200" s="26">
        <f>SUM(I196:I199)</f>
        <v>124605.18164274283</v>
      </c>
      <c r="J200" s="26">
        <f>SUM(J196:J199)</f>
        <v>139284.181642743</v>
      </c>
      <c r="K200" s="26">
        <f>SUM(K196:K199)</f>
        <v>139284.18164274312</v>
      </c>
    </row>
    <row r="201" spans="1:11" ht="13.5" thickTop="1">
      <c r="A201" s="3"/>
      <c r="G201" s="2"/>
      <c r="I201" s="25"/>
      <c r="J201" s="25"/>
      <c r="K201" s="25"/>
    </row>
    <row r="202" spans="1:11" ht="12.75">
      <c r="A202" s="3"/>
      <c r="G202" s="2"/>
      <c r="I202" s="25"/>
      <c r="J202" s="25"/>
      <c r="K202" s="25"/>
    </row>
    <row r="203" spans="1:11" ht="12.75">
      <c r="A203" s="61" t="s">
        <v>231</v>
      </c>
      <c r="B203" t="s">
        <v>211</v>
      </c>
      <c r="E203" s="2">
        <f>+E191</f>
        <v>139284.18164274312</v>
      </c>
      <c r="G203" s="2">
        <f>+G191</f>
        <v>28687.256797114158</v>
      </c>
      <c r="I203" s="2">
        <f>+I191</f>
        <v>110596.92484562882</v>
      </c>
      <c r="J203" s="2">
        <f>+J191</f>
        <v>139284.18164274297</v>
      </c>
      <c r="K203" s="2">
        <f>+K191</f>
        <v>646006.0751543713</v>
      </c>
    </row>
    <row r="204" spans="1:11" ht="12.75">
      <c r="A204" s="33"/>
      <c r="B204" t="s">
        <v>191</v>
      </c>
      <c r="E204" s="2">
        <v>0</v>
      </c>
      <c r="G204" s="2"/>
      <c r="I204" s="2">
        <f>+E204</f>
        <v>0</v>
      </c>
      <c r="J204" s="2"/>
      <c r="K204" s="2"/>
    </row>
    <row r="205" spans="2:11" ht="12.75">
      <c r="B205" t="s">
        <v>229</v>
      </c>
      <c r="E205" s="24">
        <f>-'Festival Jan 04'!N45</f>
        <v>-32861.65762682129</v>
      </c>
      <c r="I205" s="24">
        <f>+E205</f>
        <v>-32861.65762682129</v>
      </c>
      <c r="K205" s="2">
        <f>-I205</f>
        <v>32861.65762682129</v>
      </c>
    </row>
    <row r="206" spans="2:9" ht="12.75">
      <c r="B206" t="s">
        <v>195</v>
      </c>
      <c r="E206" s="2">
        <f>SUM(E203:E205)</f>
        <v>106422.52401592184</v>
      </c>
      <c r="I206" s="2">
        <f>SUM(I203:I205)</f>
        <v>77735.26721880754</v>
      </c>
    </row>
    <row r="207" spans="2:7" ht="12.75">
      <c r="B207" t="s">
        <v>184</v>
      </c>
      <c r="E207" s="2">
        <f>(+I203)*0.0725/365*31</f>
        <v>681.0043523028788</v>
      </c>
      <c r="G207" s="2">
        <f>+E207</f>
        <v>681.0043523028788</v>
      </c>
    </row>
    <row r="208" spans="2:11" ht="13.5" thickBot="1">
      <c r="B208" t="s">
        <v>210</v>
      </c>
      <c r="E208" s="26">
        <f>+E206+E207</f>
        <v>107103.52836822471</v>
      </c>
      <c r="F208" s="2"/>
      <c r="G208" s="26">
        <f>+G203+G207</f>
        <v>29368.261149417038</v>
      </c>
      <c r="H208" s="2"/>
      <c r="I208" s="26">
        <f>+I206+I207</f>
        <v>77735.26721880754</v>
      </c>
      <c r="J208" s="36">
        <f>+I208+G208</f>
        <v>107103.52836822458</v>
      </c>
      <c r="K208" s="26">
        <f>+K203+K205</f>
        <v>678867.7327811926</v>
      </c>
    </row>
    <row r="209" spans="6:11" ht="13.5" thickTop="1">
      <c r="F209" s="48" t="s">
        <v>176</v>
      </c>
      <c r="G209" s="53">
        <f>+G207</f>
        <v>681.0043523028788</v>
      </c>
      <c r="K209" s="25"/>
    </row>
    <row r="210" spans="1:11" ht="12.75">
      <c r="A210" s="3"/>
      <c r="G210" s="2"/>
      <c r="I210" s="25"/>
      <c r="J210" s="25"/>
      <c r="K210" s="25"/>
    </row>
    <row r="211" spans="1:11" ht="12.75">
      <c r="A211" s="61">
        <v>38021</v>
      </c>
      <c r="B211" t="s">
        <v>211</v>
      </c>
      <c r="E211" s="2">
        <f>+E208</f>
        <v>107103.52836822471</v>
      </c>
      <c r="G211" s="2">
        <f>+G208</f>
        <v>29368.261149417038</v>
      </c>
      <c r="I211" s="2">
        <f>+I208</f>
        <v>77735.26721880754</v>
      </c>
      <c r="J211" s="2">
        <f>+J208</f>
        <v>107103.52836822458</v>
      </c>
      <c r="K211" s="2">
        <f>+K208</f>
        <v>678867.7327811926</v>
      </c>
    </row>
    <row r="212" spans="1:11" ht="12.75">
      <c r="A212" s="33"/>
      <c r="B212" t="s">
        <v>191</v>
      </c>
      <c r="E212" s="2">
        <v>0</v>
      </c>
      <c r="G212" s="2"/>
      <c r="I212" s="2">
        <f>+E212</f>
        <v>0</v>
      </c>
      <c r="J212" s="2"/>
      <c r="K212" s="2"/>
    </row>
    <row r="213" spans="2:11" ht="12.75">
      <c r="B213" t="s">
        <v>232</v>
      </c>
      <c r="E213" s="24">
        <f>-'Festival Feb 04 '!N45</f>
        <v>-33602.67995933808</v>
      </c>
      <c r="I213" s="24">
        <f>+E213</f>
        <v>-33602.67995933808</v>
      </c>
      <c r="K213" s="2">
        <f>-I213</f>
        <v>33602.67995933808</v>
      </c>
    </row>
    <row r="214" spans="2:9" ht="12.75">
      <c r="B214" t="s">
        <v>195</v>
      </c>
      <c r="E214" s="2">
        <f>SUM(E211:E213)</f>
        <v>73500.84840888664</v>
      </c>
      <c r="I214" s="2">
        <f>SUM(I211:I213)</f>
        <v>44132.58725946946</v>
      </c>
    </row>
    <row r="215" spans="2:7" ht="12.75">
      <c r="B215" t="s">
        <v>184</v>
      </c>
      <c r="E215" s="2">
        <f>(+I211)*0.0725/365*29</f>
        <v>447.776436513816</v>
      </c>
      <c r="G215" s="2">
        <f>+E215</f>
        <v>447.776436513816</v>
      </c>
    </row>
    <row r="216" spans="2:11" ht="13.5" thickBot="1">
      <c r="B216" t="s">
        <v>210</v>
      </c>
      <c r="E216" s="26">
        <f>+E214+E215</f>
        <v>73948.62484540045</v>
      </c>
      <c r="F216" s="2"/>
      <c r="G216" s="26">
        <f>+G211+G215</f>
        <v>29816.037585930855</v>
      </c>
      <c r="H216" s="2"/>
      <c r="I216" s="26">
        <f>+I214+I215</f>
        <v>44132.58725946946</v>
      </c>
      <c r="J216" s="36">
        <f>+I216+G216</f>
        <v>73948.6248454003</v>
      </c>
      <c r="K216" s="26">
        <f>+K211+K213</f>
        <v>712470.4127405307</v>
      </c>
    </row>
    <row r="217" spans="6:11" ht="13.5" thickTop="1">
      <c r="F217" s="48" t="s">
        <v>176</v>
      </c>
      <c r="G217" s="53">
        <f>+G215+G209</f>
        <v>1128.780788816695</v>
      </c>
      <c r="K217" s="25"/>
    </row>
    <row r="218" spans="1:11" ht="12.75">
      <c r="A218" s="61">
        <v>38049</v>
      </c>
      <c r="B218" t="s">
        <v>211</v>
      </c>
      <c r="E218" s="2">
        <f>+E216</f>
        <v>73948.62484540045</v>
      </c>
      <c r="G218" s="2">
        <f>+G216</f>
        <v>29816.037585930855</v>
      </c>
      <c r="I218" s="2">
        <f>+I216</f>
        <v>44132.58725946946</v>
      </c>
      <c r="J218" s="2">
        <f>+J216</f>
        <v>73948.6248454003</v>
      </c>
      <c r="K218" s="2">
        <f>+K216</f>
        <v>712470.4127405307</v>
      </c>
    </row>
    <row r="219" spans="1:11" ht="12.75">
      <c r="A219" s="33"/>
      <c r="B219" t="s">
        <v>191</v>
      </c>
      <c r="E219" s="2">
        <v>0</v>
      </c>
      <c r="G219" s="2"/>
      <c r="I219" s="2">
        <f>+E219</f>
        <v>0</v>
      </c>
      <c r="J219" s="2"/>
      <c r="K219" s="2"/>
    </row>
    <row r="220" spans="2:11" ht="12.75">
      <c r="B220" s="34" t="s">
        <v>233</v>
      </c>
      <c r="E220" s="24">
        <f>-'Festival Mar 04'!N45</f>
        <v>-55439.77963248746</v>
      </c>
      <c r="I220" s="24">
        <f>+E220</f>
        <v>-55439.77963248746</v>
      </c>
      <c r="K220" s="2">
        <f>-I220</f>
        <v>55439.77963248746</v>
      </c>
    </row>
    <row r="221" spans="2:9" ht="12.75">
      <c r="B221" t="s">
        <v>195</v>
      </c>
      <c r="E221" s="2">
        <f>SUM(E218:E220)</f>
        <v>18508.845212912995</v>
      </c>
      <c r="I221" s="2">
        <f>SUM(I218:I220)</f>
        <v>-11307.192373017999</v>
      </c>
    </row>
    <row r="222" spans="2:7" ht="12.75">
      <c r="B222" t="s">
        <v>184</v>
      </c>
      <c r="E222" s="2">
        <f>(+I218)*0.0725/365*31</f>
        <v>271.74791744015783</v>
      </c>
      <c r="G222" s="2">
        <f>+E222</f>
        <v>271.74791744015783</v>
      </c>
    </row>
    <row r="223" spans="2:11" ht="13.5" thickBot="1">
      <c r="B223" t="s">
        <v>210</v>
      </c>
      <c r="E223" s="26">
        <f>+E221+E222</f>
        <v>18780.593130353154</v>
      </c>
      <c r="F223" s="2"/>
      <c r="G223" s="26">
        <f>+G218+G222</f>
        <v>30087.785503371015</v>
      </c>
      <c r="H223" s="2"/>
      <c r="I223" s="26">
        <f>+I221+I222</f>
        <v>-11307.192373017999</v>
      </c>
      <c r="J223" s="36">
        <f>+I223+G223</f>
        <v>18780.593130353016</v>
      </c>
      <c r="K223" s="26">
        <f>+K218+K220</f>
        <v>767910.1923730181</v>
      </c>
    </row>
    <row r="224" spans="1:11" ht="13.5" thickTop="1">
      <c r="A224" s="1" t="s">
        <v>244</v>
      </c>
      <c r="E224" s="25"/>
      <c r="F224" s="48" t="s">
        <v>176</v>
      </c>
      <c r="G224" s="53">
        <f>+G217+G222</f>
        <v>1400.5287062568527</v>
      </c>
      <c r="H224" s="2"/>
      <c r="I224" s="25"/>
      <c r="J224" s="52"/>
      <c r="K224" s="25"/>
    </row>
    <row r="225" spans="1:11" ht="12.75">
      <c r="A225" s="62"/>
      <c r="G225" s="2"/>
      <c r="I225" s="25"/>
      <c r="J225" s="25"/>
      <c r="K225" s="25"/>
    </row>
    <row r="226" spans="1:11" ht="12.75">
      <c r="A226" s="61">
        <v>38081</v>
      </c>
      <c r="B226" t="s">
        <v>211</v>
      </c>
      <c r="E226" s="2">
        <f>+E223</f>
        <v>18780.593130353154</v>
      </c>
      <c r="G226" s="2">
        <f>+G223</f>
        <v>30087.785503371015</v>
      </c>
      <c r="I226" s="2">
        <f>+I223</f>
        <v>-11307.192373017999</v>
      </c>
      <c r="J226" s="2">
        <f>+J223</f>
        <v>18780.593130353016</v>
      </c>
      <c r="K226" s="2">
        <f>+K223</f>
        <v>767910.1923730181</v>
      </c>
    </row>
    <row r="227" spans="2:7" ht="12.75">
      <c r="B227" t="s">
        <v>184</v>
      </c>
      <c r="E227" s="2">
        <f>(+I226)*0.0725/365*30</f>
        <v>-67.37847509949081</v>
      </c>
      <c r="G227" s="2">
        <f>+E227</f>
        <v>-67.37847509949081</v>
      </c>
    </row>
    <row r="228" spans="2:11" ht="13.5" thickBot="1">
      <c r="B228" t="s">
        <v>210</v>
      </c>
      <c r="E228" s="26">
        <f>+E227+E226</f>
        <v>18713.214655253665</v>
      </c>
      <c r="F228" s="2"/>
      <c r="G228" s="26">
        <f>+G227+G226</f>
        <v>30020.407028271526</v>
      </c>
      <c r="H228" s="2"/>
      <c r="I228" s="26">
        <f>+I227+I226</f>
        <v>-11307.192373017999</v>
      </c>
      <c r="J228" s="36">
        <f>+I228+G228</f>
        <v>18713.214655253527</v>
      </c>
      <c r="K228" s="26">
        <f>+K227+K226</f>
        <v>767910.1923730181</v>
      </c>
    </row>
    <row r="229" spans="1:11" ht="13.5" thickTop="1">
      <c r="A229" s="62"/>
      <c r="F229" s="48" t="s">
        <v>176</v>
      </c>
      <c r="G229" s="53">
        <f>+G224+G227</f>
        <v>1333.150231157362</v>
      </c>
      <c r="I229" s="25"/>
      <c r="J229" s="25"/>
      <c r="K229" s="25"/>
    </row>
    <row r="230" spans="1:11" ht="12.75">
      <c r="A230" s="62"/>
      <c r="F230" s="48"/>
      <c r="G230" s="53"/>
      <c r="I230" s="25"/>
      <c r="J230" s="25"/>
      <c r="K230" s="25"/>
    </row>
    <row r="231" spans="1:11" ht="12.75">
      <c r="A231" s="61">
        <v>38112</v>
      </c>
      <c r="B231" t="s">
        <v>211</v>
      </c>
      <c r="E231" s="2">
        <f>+E228</f>
        <v>18713.214655253665</v>
      </c>
      <c r="G231" s="2">
        <f>+G228</f>
        <v>30020.407028271526</v>
      </c>
      <c r="I231" s="2">
        <f>+I228</f>
        <v>-11307.192373017999</v>
      </c>
      <c r="J231" s="2">
        <f>+J228</f>
        <v>18713.214655253527</v>
      </c>
      <c r="K231" s="2">
        <f>+K228</f>
        <v>767910.1923730181</v>
      </c>
    </row>
    <row r="232" spans="2:7" ht="12.75">
      <c r="B232" t="s">
        <v>184</v>
      </c>
      <c r="E232" s="2">
        <f>(+I231)*0.0725/365*31</f>
        <v>-69.62442426947385</v>
      </c>
      <c r="G232" s="2">
        <f>+E232</f>
        <v>-69.62442426947385</v>
      </c>
    </row>
    <row r="233" spans="2:11" ht="13.5" thickBot="1">
      <c r="B233" t="s">
        <v>210</v>
      </c>
      <c r="E233" s="26">
        <f>+E232+E231</f>
        <v>18643.59023098419</v>
      </c>
      <c r="F233" s="2"/>
      <c r="G233" s="26">
        <f>+G232+G231</f>
        <v>29950.78260400205</v>
      </c>
      <c r="H233" s="2"/>
      <c r="I233" s="26">
        <f>+I232+I231</f>
        <v>-11307.192373017999</v>
      </c>
      <c r="J233" s="36">
        <f>+I233+G233</f>
        <v>18643.590230984053</v>
      </c>
      <c r="K233" s="26">
        <f>+K232+K231</f>
        <v>767910.1923730181</v>
      </c>
    </row>
    <row r="234" spans="1:11" ht="13.5" thickTop="1">
      <c r="A234" s="62"/>
      <c r="F234" s="48" t="s">
        <v>176</v>
      </c>
      <c r="G234" s="53">
        <f>+G229+G232</f>
        <v>1263.5258068878882</v>
      </c>
      <c r="I234" s="25"/>
      <c r="J234" s="25"/>
      <c r="K234" s="25"/>
    </row>
    <row r="235" spans="1:11" ht="12.75">
      <c r="A235" s="62"/>
      <c r="F235" s="48"/>
      <c r="G235" s="53"/>
      <c r="I235" s="25"/>
      <c r="J235" s="25"/>
      <c r="K235" s="25"/>
    </row>
    <row r="236" spans="1:11" ht="12.75">
      <c r="A236" s="61">
        <v>38144</v>
      </c>
      <c r="B236" t="s">
        <v>211</v>
      </c>
      <c r="E236" s="2">
        <f>+E233</f>
        <v>18643.59023098419</v>
      </c>
      <c r="G236" s="2">
        <f>+G233</f>
        <v>29950.78260400205</v>
      </c>
      <c r="I236" s="2">
        <f>+I233</f>
        <v>-11307.192373017999</v>
      </c>
      <c r="J236" s="2">
        <f>+J233</f>
        <v>18643.590230984053</v>
      </c>
      <c r="K236" s="2">
        <f>+K233</f>
        <v>767910.1923730181</v>
      </c>
    </row>
    <row r="237" spans="2:7" ht="12.75">
      <c r="B237" t="s">
        <v>184</v>
      </c>
      <c r="E237" s="2">
        <f>(+I236)*0.0725/365*30</f>
        <v>-67.37847509949081</v>
      </c>
      <c r="G237" s="2">
        <f>+E237</f>
        <v>-67.37847509949081</v>
      </c>
    </row>
    <row r="238" spans="2:11" ht="13.5" thickBot="1">
      <c r="B238" t="s">
        <v>210</v>
      </c>
      <c r="E238" s="26">
        <f>+E237+E236</f>
        <v>18576.211755884702</v>
      </c>
      <c r="F238" s="2"/>
      <c r="G238" s="26">
        <f>+G237+G236</f>
        <v>29883.404128902563</v>
      </c>
      <c r="H238" s="2"/>
      <c r="I238" s="26">
        <f>+I237+I236</f>
        <v>-11307.192373017999</v>
      </c>
      <c r="J238" s="36">
        <f>+I238+G238</f>
        <v>18576.211755884564</v>
      </c>
      <c r="K238" s="26">
        <f>+K237+K236</f>
        <v>767910.1923730181</v>
      </c>
    </row>
    <row r="239" spans="1:11" ht="13.5" thickTop="1">
      <c r="A239" s="62"/>
      <c r="F239" s="48" t="s">
        <v>176</v>
      </c>
      <c r="G239" s="53">
        <f>+G234+G237</f>
        <v>1196.1473317883974</v>
      </c>
      <c r="I239" s="25"/>
      <c r="J239" s="25"/>
      <c r="K239" s="25"/>
    </row>
    <row r="240" spans="1:11" ht="12.75">
      <c r="A240" s="62"/>
      <c r="F240" s="48"/>
      <c r="G240" s="53"/>
      <c r="I240" s="25"/>
      <c r="J240" s="25"/>
      <c r="K240" s="25"/>
    </row>
    <row r="241" spans="1:11" ht="12.75">
      <c r="A241" s="62"/>
      <c r="G241" s="2"/>
      <c r="I241" s="25"/>
      <c r="J241" s="25"/>
      <c r="K241" s="25"/>
    </row>
    <row r="242" spans="1:11" ht="12.75">
      <c r="A242" s="61">
        <v>38175</v>
      </c>
      <c r="B242" t="s">
        <v>211</v>
      </c>
      <c r="E242" s="2">
        <f>+E238</f>
        <v>18576.211755884702</v>
      </c>
      <c r="G242" s="2">
        <f>+G238</f>
        <v>29883.404128902563</v>
      </c>
      <c r="I242" s="2">
        <f>+I238</f>
        <v>-11307.192373017999</v>
      </c>
      <c r="J242" s="2">
        <f>+J238</f>
        <v>18576.211755884564</v>
      </c>
      <c r="K242" s="2">
        <f>+K238</f>
        <v>767910.1923730181</v>
      </c>
    </row>
    <row r="243" spans="2:7" ht="12.75">
      <c r="B243" t="s">
        <v>184</v>
      </c>
      <c r="E243" s="2">
        <f>(+I242)*0.0725/365*31</f>
        <v>-69.62442426947385</v>
      </c>
      <c r="G243" s="2">
        <f>+E243</f>
        <v>-69.62442426947385</v>
      </c>
    </row>
    <row r="244" spans="2:11" ht="13.5" thickBot="1">
      <c r="B244" t="s">
        <v>210</v>
      </c>
      <c r="E244" s="26">
        <f>+E243+E242</f>
        <v>18506.58733161523</v>
      </c>
      <c r="F244" s="2"/>
      <c r="G244" s="26">
        <f>+G243+G242</f>
        <v>29813.77970463309</v>
      </c>
      <c r="H244" s="2"/>
      <c r="I244" s="26">
        <f>+I243+I242</f>
        <v>-11307.192373017999</v>
      </c>
      <c r="J244" s="36">
        <f>+I244+G244</f>
        <v>18506.58733161509</v>
      </c>
      <c r="K244" s="26">
        <f>+K243+K242</f>
        <v>767910.1923730181</v>
      </c>
    </row>
    <row r="245" spans="1:11" ht="13.5" thickTop="1">
      <c r="A245" s="62"/>
      <c r="F245" s="48" t="s">
        <v>176</v>
      </c>
      <c r="G245" s="2">
        <f>+G239+G243</f>
        <v>1126.5229075189236</v>
      </c>
      <c r="I245" s="25"/>
      <c r="J245" s="25"/>
      <c r="K245" s="25"/>
    </row>
    <row r="246" spans="1:11" ht="12.75">
      <c r="A246" s="62"/>
      <c r="G246" s="2"/>
      <c r="I246" s="25"/>
      <c r="J246" s="25"/>
      <c r="K246" s="25"/>
    </row>
    <row r="247" spans="1:11" ht="12.75">
      <c r="A247" s="61">
        <v>38207</v>
      </c>
      <c r="B247" t="s">
        <v>211</v>
      </c>
      <c r="E247" s="2">
        <f>+E244</f>
        <v>18506.58733161523</v>
      </c>
      <c r="G247" s="2">
        <f>+G244</f>
        <v>29813.77970463309</v>
      </c>
      <c r="I247" s="2">
        <f>+I244</f>
        <v>-11307.192373017999</v>
      </c>
      <c r="J247" s="2">
        <f>+J244</f>
        <v>18506.58733161509</v>
      </c>
      <c r="K247" s="2">
        <f>+K244</f>
        <v>767910.1923730181</v>
      </c>
    </row>
    <row r="248" spans="2:7" ht="12.75">
      <c r="B248" t="s">
        <v>184</v>
      </c>
      <c r="E248" s="2">
        <f>(+I247)*0.0725/365*31</f>
        <v>-69.62442426947385</v>
      </c>
      <c r="G248" s="2">
        <f>+E248</f>
        <v>-69.62442426947385</v>
      </c>
    </row>
    <row r="249" spans="2:11" ht="13.5" thickBot="1">
      <c r="B249" t="s">
        <v>210</v>
      </c>
      <c r="E249" s="26">
        <f>+E248+E247</f>
        <v>18436.962907345755</v>
      </c>
      <c r="F249" s="2"/>
      <c r="G249" s="26">
        <f>+G248+G247</f>
        <v>29744.155280363615</v>
      </c>
      <c r="H249" s="2"/>
      <c r="I249" s="26">
        <f>+I248+I247</f>
        <v>-11307.192373017999</v>
      </c>
      <c r="J249" s="36">
        <f>+I249+G249</f>
        <v>18436.962907345616</v>
      </c>
      <c r="K249" s="26">
        <f>+K248+K247</f>
        <v>767910.1923730181</v>
      </c>
    </row>
    <row r="250" spans="1:11" ht="13.5" thickTop="1">
      <c r="A250" s="62"/>
      <c r="F250" s="48" t="s">
        <v>176</v>
      </c>
      <c r="G250" s="2">
        <f>+G248+G245</f>
        <v>1056.8984832494498</v>
      </c>
      <c r="I250" s="25"/>
      <c r="J250" s="25"/>
      <c r="K250" s="25"/>
    </row>
    <row r="251" spans="1:11" ht="12.75">
      <c r="A251" s="62"/>
      <c r="G251" s="2"/>
      <c r="I251" s="25"/>
      <c r="J251" s="25"/>
      <c r="K251" s="25"/>
    </row>
    <row r="252" spans="1:11" ht="12.75">
      <c r="A252" s="61">
        <v>38239</v>
      </c>
      <c r="B252" t="s">
        <v>211</v>
      </c>
      <c r="E252" s="2">
        <f>+E249</f>
        <v>18436.962907345755</v>
      </c>
      <c r="G252" s="2">
        <f>+G249</f>
        <v>29744.155280363615</v>
      </c>
      <c r="I252" s="2">
        <f>+I249</f>
        <v>-11307.192373017999</v>
      </c>
      <c r="J252" s="2">
        <f>+J249</f>
        <v>18436.962907345616</v>
      </c>
      <c r="K252" s="2">
        <f>+K249</f>
        <v>767910.1923730181</v>
      </c>
    </row>
    <row r="253" spans="2:7" ht="12.75">
      <c r="B253" t="s">
        <v>184</v>
      </c>
      <c r="E253" s="2">
        <f>(+I252)*0.0725/365*30</f>
        <v>-67.37847509949081</v>
      </c>
      <c r="G253" s="2">
        <f>+E253</f>
        <v>-67.37847509949081</v>
      </c>
    </row>
    <row r="254" spans="2:11" ht="13.5" thickBot="1">
      <c r="B254" t="s">
        <v>210</v>
      </c>
      <c r="E254" s="26">
        <f>+E253+E252</f>
        <v>18369.584432246265</v>
      </c>
      <c r="F254" s="2"/>
      <c r="G254" s="26">
        <f>+G253+G252</f>
        <v>29676.776805264126</v>
      </c>
      <c r="H254" s="2"/>
      <c r="I254" s="26">
        <f>+I253+I252</f>
        <v>-11307.192373017999</v>
      </c>
      <c r="J254" s="36">
        <f>+I254+G254</f>
        <v>18369.584432246127</v>
      </c>
      <c r="K254" s="26">
        <f>+K253+K252</f>
        <v>767910.1923730181</v>
      </c>
    </row>
    <row r="255" spans="1:11" ht="13.5" thickTop="1">
      <c r="A255" s="62"/>
      <c r="F255" s="48" t="s">
        <v>176</v>
      </c>
      <c r="G255" s="2">
        <f>+G253+G250</f>
        <v>989.5200081499589</v>
      </c>
      <c r="I255" s="25"/>
      <c r="J255" s="25"/>
      <c r="K255" s="25"/>
    </row>
    <row r="256" spans="1:11" ht="12.75">
      <c r="A256" s="62"/>
      <c r="G256" s="2"/>
      <c r="I256" s="25"/>
      <c r="J256" s="25"/>
      <c r="K256" s="25"/>
    </row>
    <row r="257" spans="1:11" ht="12.75">
      <c r="A257" s="61">
        <v>38261</v>
      </c>
      <c r="B257" t="s">
        <v>211</v>
      </c>
      <c r="E257" s="2">
        <f>+E254</f>
        <v>18369.584432246265</v>
      </c>
      <c r="G257" s="2">
        <f>+G254</f>
        <v>29676.776805264126</v>
      </c>
      <c r="I257" s="2">
        <f>+I254</f>
        <v>-11307.192373017999</v>
      </c>
      <c r="J257" s="2">
        <f>+J254</f>
        <v>18369.584432246127</v>
      </c>
      <c r="K257" s="2">
        <f>+K254</f>
        <v>767910.1923730181</v>
      </c>
    </row>
    <row r="258" spans="2:7" ht="12.75">
      <c r="B258" t="s">
        <v>184</v>
      </c>
      <c r="E258" s="2">
        <f>(+I257)*0.0725/365*31</f>
        <v>-69.62442426947385</v>
      </c>
      <c r="G258" s="2">
        <f>+E258</f>
        <v>-69.62442426947385</v>
      </c>
    </row>
    <row r="259" spans="2:11" ht="13.5" thickBot="1">
      <c r="B259" t="s">
        <v>210</v>
      </c>
      <c r="E259" s="26">
        <f>+E258+E257</f>
        <v>18299.96000797679</v>
      </c>
      <c r="F259" s="2"/>
      <c r="G259" s="26">
        <f>+G258+G257</f>
        <v>29607.152380994652</v>
      </c>
      <c r="H259" s="2"/>
      <c r="I259" s="26">
        <f>+I258+I257</f>
        <v>-11307.192373017999</v>
      </c>
      <c r="J259" s="36">
        <f>+I259+G259</f>
        <v>18299.960007976653</v>
      </c>
      <c r="K259" s="26">
        <f>+K258+K257</f>
        <v>767910.1923730181</v>
      </c>
    </row>
    <row r="260" spans="1:11" ht="13.5" thickTop="1">
      <c r="A260" s="62"/>
      <c r="F260" s="48" t="s">
        <v>176</v>
      </c>
      <c r="G260" s="2">
        <f>+G258+G255</f>
        <v>919.8955838804851</v>
      </c>
      <c r="I260" s="25"/>
      <c r="J260" s="25"/>
      <c r="K260" s="25"/>
    </row>
    <row r="261" spans="1:11" ht="12.75">
      <c r="A261" s="62"/>
      <c r="F261" s="48"/>
      <c r="G261" s="2"/>
      <c r="I261" s="25"/>
      <c r="J261" s="25"/>
      <c r="K261" s="25"/>
    </row>
    <row r="262" spans="1:11" ht="12.75">
      <c r="A262" s="61">
        <v>38292</v>
      </c>
      <c r="B262" t="s">
        <v>211</v>
      </c>
      <c r="E262" s="2">
        <f>+E259</f>
        <v>18299.96000797679</v>
      </c>
      <c r="G262" s="2">
        <f>+G259</f>
        <v>29607.152380994652</v>
      </c>
      <c r="I262" s="2">
        <f>+I259</f>
        <v>-11307.192373017999</v>
      </c>
      <c r="J262" s="2">
        <f>+J259</f>
        <v>18299.960007976653</v>
      </c>
      <c r="K262" s="2">
        <f>+K259</f>
        <v>767910.1923730181</v>
      </c>
    </row>
    <row r="263" spans="2:7" ht="12.75">
      <c r="B263" t="s">
        <v>184</v>
      </c>
      <c r="E263" s="2">
        <f>(+I262)*0.0725/365*30</f>
        <v>-67.37847509949081</v>
      </c>
      <c r="G263" s="2">
        <f>+E263</f>
        <v>-67.37847509949081</v>
      </c>
    </row>
    <row r="264" spans="2:11" ht="13.5" thickBot="1">
      <c r="B264" t="s">
        <v>210</v>
      </c>
      <c r="E264" s="26">
        <f>+E263+E262</f>
        <v>18232.581532877302</v>
      </c>
      <c r="F264" s="2"/>
      <c r="G264" s="26">
        <f>+G263+G262</f>
        <v>29539.773905895163</v>
      </c>
      <c r="H264" s="2"/>
      <c r="I264" s="26">
        <f>+I263+I262</f>
        <v>-11307.192373017999</v>
      </c>
      <c r="J264" s="36">
        <f>+I264+G264</f>
        <v>18232.581532877164</v>
      </c>
      <c r="K264" s="26">
        <f>+K263+K262</f>
        <v>767910.1923730181</v>
      </c>
    </row>
    <row r="265" spans="1:11" ht="13.5" thickTop="1">
      <c r="A265" s="62"/>
      <c r="F265" s="48" t="s">
        <v>176</v>
      </c>
      <c r="G265" s="2">
        <f>+G263+G260</f>
        <v>852.5171087809942</v>
      </c>
      <c r="I265" s="25"/>
      <c r="J265" s="25"/>
      <c r="K265" s="25"/>
    </row>
    <row r="266" spans="1:11" ht="12.75">
      <c r="A266" s="62"/>
      <c r="F266" s="48"/>
      <c r="G266" s="2"/>
      <c r="I266" s="25"/>
      <c r="J266" s="25"/>
      <c r="K266" s="25"/>
    </row>
    <row r="267" spans="1:11" ht="12.75">
      <c r="A267" s="61">
        <v>38322</v>
      </c>
      <c r="B267" t="s">
        <v>211</v>
      </c>
      <c r="E267" s="2">
        <f>+E264</f>
        <v>18232.581532877302</v>
      </c>
      <c r="G267" s="2">
        <f>+G264</f>
        <v>29539.773905895163</v>
      </c>
      <c r="I267" s="2">
        <f>+I264</f>
        <v>-11307.192373017999</v>
      </c>
      <c r="J267" s="2">
        <f>+J264</f>
        <v>18232.581532877164</v>
      </c>
      <c r="K267" s="2">
        <f>+K264</f>
        <v>767910.1923730181</v>
      </c>
    </row>
    <row r="268" spans="2:7" ht="12.75">
      <c r="B268" t="s">
        <v>184</v>
      </c>
      <c r="E268" s="2">
        <f>(+I267)*0.0725/365*31</f>
        <v>-69.62442426947385</v>
      </c>
      <c r="G268" s="2">
        <f>+E268</f>
        <v>-69.62442426947385</v>
      </c>
    </row>
    <row r="269" spans="2:11" ht="13.5" thickBot="1">
      <c r="B269" t="s">
        <v>210</v>
      </c>
      <c r="E269" s="26">
        <f>+E268+E267</f>
        <v>18162.95710860783</v>
      </c>
      <c r="F269" s="2"/>
      <c r="G269" s="26">
        <f>+G268+G267</f>
        <v>29470.14948162569</v>
      </c>
      <c r="H269" s="2"/>
      <c r="I269" s="26">
        <f>+I268+I267</f>
        <v>-11307.192373017999</v>
      </c>
      <c r="J269" s="36">
        <f>+I269+G269</f>
        <v>18162.95710860769</v>
      </c>
      <c r="K269" s="26">
        <f>+K268+K267</f>
        <v>767910.1923730181</v>
      </c>
    </row>
    <row r="270" spans="1:11" ht="13.5" thickTop="1">
      <c r="A270" s="62"/>
      <c r="F270" s="48" t="s">
        <v>176</v>
      </c>
      <c r="G270" s="2">
        <f>+G268+G265</f>
        <v>782.8926845115204</v>
      </c>
      <c r="I270" s="25"/>
      <c r="J270" s="25"/>
      <c r="K270" s="25"/>
    </row>
    <row r="271" ht="12.75" hidden="1">
      <c r="A271" s="49" t="s">
        <v>238</v>
      </c>
    </row>
    <row r="272" ht="12.75" hidden="1"/>
    <row r="273" spans="2:10" ht="12.75" hidden="1">
      <c r="B273" s="3" t="s">
        <v>237</v>
      </c>
      <c r="C273" t="s">
        <v>83</v>
      </c>
      <c r="D273" t="s">
        <v>92</v>
      </c>
      <c r="I273" s="2"/>
      <c r="J273" s="2">
        <f>-E268-E263</f>
        <v>137.00289936896468</v>
      </c>
    </row>
    <row r="274" spans="2:10" ht="12.75" hidden="1">
      <c r="B274" s="3"/>
      <c r="C274" t="s">
        <v>93</v>
      </c>
      <c r="D274" t="s">
        <v>234</v>
      </c>
      <c r="I274" s="2">
        <f>+J273</f>
        <v>137.00289936896468</v>
      </c>
      <c r="J274" s="2"/>
    </row>
    <row r="275" spans="2:4" ht="12.75" hidden="1">
      <c r="B275" s="3"/>
      <c r="D275" t="s">
        <v>212</v>
      </c>
    </row>
    <row r="276" spans="2:4" ht="12.75" hidden="1">
      <c r="B276" s="3"/>
      <c r="D276" t="s">
        <v>235</v>
      </c>
    </row>
    <row r="277" spans="2:7" ht="12.75" hidden="1">
      <c r="B277" s="2"/>
      <c r="C277" s="2"/>
      <c r="D277" s="2"/>
      <c r="E277" s="2"/>
      <c r="G277" s="50"/>
    </row>
    <row r="278" spans="2:10" ht="12.75" hidden="1">
      <c r="B278" s="3" t="s">
        <v>237</v>
      </c>
      <c r="C278" t="s">
        <v>93</v>
      </c>
      <c r="D278" t="s">
        <v>213</v>
      </c>
      <c r="I278" s="50"/>
      <c r="J278" s="50">
        <f>-G284</f>
        <v>86.92597753065346</v>
      </c>
    </row>
    <row r="279" spans="3:10" ht="12.75" hidden="1">
      <c r="C279" t="s">
        <v>185</v>
      </c>
      <c r="D279" t="s">
        <v>214</v>
      </c>
      <c r="I279" s="50">
        <f>+J278</f>
        <v>86.92597753065346</v>
      </c>
      <c r="J279" s="50"/>
    </row>
    <row r="280" ht="12.75" hidden="1">
      <c r="D280" t="s">
        <v>236</v>
      </c>
    </row>
    <row r="281" ht="12.75" hidden="1"/>
    <row r="282" spans="4:7" ht="12.75" hidden="1">
      <c r="D282" t="s">
        <v>215</v>
      </c>
      <c r="G282" s="50">
        <f>-I274</f>
        <v>-137.00289936896468</v>
      </c>
    </row>
    <row r="283" spans="4:9" ht="12.75" hidden="1">
      <c r="D283" t="s">
        <v>216</v>
      </c>
      <c r="E283">
        <v>151.02</v>
      </c>
      <c r="G283" s="50">
        <f>-G282/7.25*2.65</f>
        <v>50.07692183831122</v>
      </c>
      <c r="I283" s="50"/>
    </row>
    <row r="284" spans="4:7" ht="13.5" hidden="1" thickBot="1">
      <c r="D284" t="s">
        <v>217</v>
      </c>
      <c r="G284" s="58">
        <f>SUM(G282:G283)</f>
        <v>-86.92597753065346</v>
      </c>
    </row>
    <row r="285" ht="12.75" hidden="1"/>
    <row r="286" spans="5:9" ht="12.75">
      <c r="E286" s="56" t="s">
        <v>224</v>
      </c>
      <c r="I286" s="2">
        <f>+E203</f>
        <v>139284.18164274312</v>
      </c>
    </row>
    <row r="287" spans="5:9" ht="12.75">
      <c r="E287" t="s">
        <v>203</v>
      </c>
      <c r="I287">
        <v>0</v>
      </c>
    </row>
    <row r="288" spans="5:9" ht="12.75">
      <c r="E288" t="s">
        <v>199</v>
      </c>
      <c r="I288" s="2">
        <f>+G270</f>
        <v>782.8926845115204</v>
      </c>
    </row>
    <row r="289" spans="5:9" ht="12.75">
      <c r="E289" t="s">
        <v>200</v>
      </c>
      <c r="I289" s="2">
        <f>-K205-K213-K220</f>
        <v>-121904.11721864683</v>
      </c>
    </row>
    <row r="290" spans="5:9" ht="13.5" thickBot="1">
      <c r="E290" s="34" t="s">
        <v>251</v>
      </c>
      <c r="I290" s="26">
        <f>SUM(I286:I289)</f>
        <v>18162.957108607807</v>
      </c>
    </row>
    <row r="291" spans="7:9" ht="13.5" thickTop="1">
      <c r="G291" s="50"/>
      <c r="H291" s="50"/>
      <c r="I291" s="50"/>
    </row>
    <row r="292" spans="1:11" ht="12.75">
      <c r="A292" s="61">
        <v>38353</v>
      </c>
      <c r="B292" t="s">
        <v>211</v>
      </c>
      <c r="E292" s="2">
        <f>+E269</f>
        <v>18162.95710860783</v>
      </c>
      <c r="G292" s="2">
        <f>+G269</f>
        <v>29470.14948162569</v>
      </c>
      <c r="I292" s="2">
        <f>+I269</f>
        <v>-11307.192373017999</v>
      </c>
      <c r="J292" s="2">
        <f>+J269</f>
        <v>18162.95710860769</v>
      </c>
      <c r="K292" s="2">
        <f>+K269</f>
        <v>767910.1923730181</v>
      </c>
    </row>
    <row r="293" spans="2:7" ht="12.75">
      <c r="B293" t="s">
        <v>184</v>
      </c>
      <c r="E293" s="2">
        <f>(+I292)*0.0725/365*31</f>
        <v>-69.62442426947385</v>
      </c>
      <c r="G293" s="2">
        <f>+E293</f>
        <v>-69.62442426947385</v>
      </c>
    </row>
    <row r="294" spans="2:11" ht="13.5" thickBot="1">
      <c r="B294" t="s">
        <v>210</v>
      </c>
      <c r="E294" s="26">
        <f>+E293+E292</f>
        <v>18093.332684338355</v>
      </c>
      <c r="F294" s="2"/>
      <c r="G294" s="26">
        <f>+G293+G292</f>
        <v>29400.525057356215</v>
      </c>
      <c r="H294" s="2"/>
      <c r="I294" s="26">
        <f>+I293+I292</f>
        <v>-11307.192373017999</v>
      </c>
      <c r="J294" s="36">
        <f>+I294+G294</f>
        <v>18093.332684338216</v>
      </c>
      <c r="K294" s="26">
        <f>+K293+K292</f>
        <v>767910.1923730181</v>
      </c>
    </row>
    <row r="295" spans="1:11" ht="13.5" thickTop="1">
      <c r="A295" s="62"/>
      <c r="F295" s="48" t="s">
        <v>176</v>
      </c>
      <c r="G295" s="2">
        <f>+G293+G285</f>
        <v>-69.62442426947385</v>
      </c>
      <c r="I295" s="25"/>
      <c r="J295" s="25"/>
      <c r="K295" s="25"/>
    </row>
    <row r="296" spans="7:9" ht="12.75">
      <c r="G296" s="50"/>
      <c r="H296" s="50"/>
      <c r="I296" s="50"/>
    </row>
    <row r="297" spans="1:11" ht="12.75">
      <c r="A297" s="61">
        <v>38385</v>
      </c>
      <c r="B297" t="s">
        <v>211</v>
      </c>
      <c r="E297" s="2">
        <f>+E294</f>
        <v>18093.332684338355</v>
      </c>
      <c r="G297" s="2">
        <f>+G294</f>
        <v>29400.525057356215</v>
      </c>
      <c r="I297" s="2">
        <f>+I294</f>
        <v>-11307.192373017999</v>
      </c>
      <c r="J297" s="2">
        <f>+J294</f>
        <v>18093.332684338216</v>
      </c>
      <c r="K297" s="2">
        <f>+K294</f>
        <v>767910.1923730181</v>
      </c>
    </row>
    <row r="298" spans="2:7" ht="12.75">
      <c r="B298" t="s">
        <v>184</v>
      </c>
      <c r="E298" s="2">
        <f>(+I297)*0.0725/365*28</f>
        <v>-62.88657675952476</v>
      </c>
      <c r="G298" s="2">
        <f>+E298</f>
        <v>-62.88657675952476</v>
      </c>
    </row>
    <row r="299" spans="2:11" ht="13.5" thickBot="1">
      <c r="B299" t="s">
        <v>210</v>
      </c>
      <c r="E299" s="26">
        <f>+E298+E297</f>
        <v>18030.44610757883</v>
      </c>
      <c r="F299" s="2"/>
      <c r="G299" s="26">
        <f>+G298+G297</f>
        <v>29337.63848059669</v>
      </c>
      <c r="H299" s="2"/>
      <c r="I299" s="26">
        <f>+I298+I297</f>
        <v>-11307.192373017999</v>
      </c>
      <c r="J299" s="36">
        <f>+I299+G299</f>
        <v>18030.446107578693</v>
      </c>
      <c r="K299" s="26">
        <f>+K298+K297</f>
        <v>767910.1923730181</v>
      </c>
    </row>
    <row r="300" spans="1:11" ht="13.5" thickTop="1">
      <c r="A300" s="62"/>
      <c r="F300" s="48" t="s">
        <v>176</v>
      </c>
      <c r="G300" s="2">
        <f>+G298+G295</f>
        <v>-132.5110010289986</v>
      </c>
      <c r="I300" s="25"/>
      <c r="J300" s="25"/>
      <c r="K300" s="25"/>
    </row>
    <row r="301" spans="7:9" ht="12.75">
      <c r="G301" s="50"/>
      <c r="H301" s="50"/>
      <c r="I301" s="50"/>
    </row>
    <row r="302" spans="1:11" ht="12.75">
      <c r="A302" s="61">
        <v>38414</v>
      </c>
      <c r="B302" t="s">
        <v>211</v>
      </c>
      <c r="E302" s="2">
        <f>+E299</f>
        <v>18030.44610757883</v>
      </c>
      <c r="G302" s="2">
        <f>+G299</f>
        <v>29337.63848059669</v>
      </c>
      <c r="I302" s="2">
        <f>+I299</f>
        <v>-11307.192373017999</v>
      </c>
      <c r="J302" s="2">
        <f>+J299</f>
        <v>18030.446107578693</v>
      </c>
      <c r="K302" s="2">
        <f>+K299</f>
        <v>767910.1923730181</v>
      </c>
    </row>
    <row r="303" spans="2:7" ht="12.75">
      <c r="B303" t="s">
        <v>184</v>
      </c>
      <c r="E303" s="2">
        <f>(+I302)*0.0725/365*31</f>
        <v>-69.62442426947385</v>
      </c>
      <c r="G303" s="2">
        <f>+E303</f>
        <v>-69.62442426947385</v>
      </c>
    </row>
    <row r="304" spans="2:11" ht="13.5" thickBot="1">
      <c r="B304" t="s">
        <v>210</v>
      </c>
      <c r="E304" s="26">
        <f>+E303+E302</f>
        <v>17960.821683309357</v>
      </c>
      <c r="F304" s="2"/>
      <c r="G304" s="26">
        <f>+G303+G302</f>
        <v>29268.014056327218</v>
      </c>
      <c r="H304" s="2"/>
      <c r="I304" s="26">
        <f>+I303+I302</f>
        <v>-11307.192373017999</v>
      </c>
      <c r="J304" s="36">
        <f>+I304+G304</f>
        <v>17960.82168330922</v>
      </c>
      <c r="K304" s="26">
        <f>+K303+K302</f>
        <v>767910.1923730181</v>
      </c>
    </row>
    <row r="305" spans="1:11" ht="13.5" thickTop="1">
      <c r="A305" s="62"/>
      <c r="F305" s="48" t="s">
        <v>176</v>
      </c>
      <c r="G305" s="2">
        <f>+G303+G300</f>
        <v>-202.13542529847246</v>
      </c>
      <c r="I305" s="25"/>
      <c r="J305" s="25"/>
      <c r="K305" s="25"/>
    </row>
    <row r="306" spans="7:9" ht="12.75">
      <c r="G306" s="50"/>
      <c r="H306" s="50"/>
      <c r="I306" s="50"/>
    </row>
    <row r="307" spans="1:11" ht="12.75">
      <c r="A307" s="61">
        <v>38446</v>
      </c>
      <c r="B307" t="s">
        <v>211</v>
      </c>
      <c r="E307" s="2">
        <f>+E304</f>
        <v>17960.821683309357</v>
      </c>
      <c r="G307" s="2">
        <f>+G304</f>
        <v>29268.014056327218</v>
      </c>
      <c r="I307" s="2">
        <f>+I304</f>
        <v>-11307.192373017999</v>
      </c>
      <c r="J307" s="2">
        <f>+J304</f>
        <v>17960.82168330922</v>
      </c>
      <c r="K307" s="2">
        <f>+K304</f>
        <v>767910.1923730181</v>
      </c>
    </row>
    <row r="308" spans="2:7" ht="12.75">
      <c r="B308" t="s">
        <v>184</v>
      </c>
      <c r="E308" s="2">
        <f>(+I307)*0.0725/365*30</f>
        <v>-67.37847509949081</v>
      </c>
      <c r="G308" s="2">
        <f>+E308</f>
        <v>-67.37847509949081</v>
      </c>
    </row>
    <row r="309" spans="2:11" ht="13.5" thickBot="1">
      <c r="B309" t="s">
        <v>210</v>
      </c>
      <c r="E309" s="26">
        <f>+E308+E307</f>
        <v>17893.44320820987</v>
      </c>
      <c r="F309" s="2"/>
      <c r="G309" s="26">
        <f>+G308+G307</f>
        <v>29200.63558122773</v>
      </c>
      <c r="H309" s="2"/>
      <c r="I309" s="26">
        <f>+I308+I307</f>
        <v>-11307.192373017999</v>
      </c>
      <c r="J309" s="36">
        <f>+I309+G309</f>
        <v>17893.44320820973</v>
      </c>
      <c r="K309" s="26">
        <f>+K308+K307</f>
        <v>767910.1923730181</v>
      </c>
    </row>
    <row r="310" spans="1:11" ht="13.5" thickTop="1">
      <c r="A310" s="62"/>
      <c r="F310" s="48" t="s">
        <v>176</v>
      </c>
      <c r="G310" s="2">
        <f>+G308+G305</f>
        <v>-269.51390039796325</v>
      </c>
      <c r="I310" s="25"/>
      <c r="J310" s="25"/>
      <c r="K310" s="25"/>
    </row>
    <row r="311" spans="7:9" ht="12.75">
      <c r="G311" s="50"/>
      <c r="H311" s="50"/>
      <c r="I311" s="50"/>
    </row>
    <row r="312" spans="1:11" ht="12.75">
      <c r="A312" s="61">
        <v>38477</v>
      </c>
      <c r="B312" t="s">
        <v>211</v>
      </c>
      <c r="E312" s="2">
        <f>+E309</f>
        <v>17893.44320820987</v>
      </c>
      <c r="G312" s="2">
        <f>+G309</f>
        <v>29200.63558122773</v>
      </c>
      <c r="I312" s="2">
        <f>+I309</f>
        <v>-11307.192373017999</v>
      </c>
      <c r="J312" s="2">
        <f>+J309</f>
        <v>17893.44320820973</v>
      </c>
      <c r="K312" s="2">
        <f>+K309</f>
        <v>767910.1923730181</v>
      </c>
    </row>
    <row r="313" spans="2:7" ht="12.75">
      <c r="B313" t="s">
        <v>184</v>
      </c>
      <c r="E313" s="2">
        <f>(+I312)*0.0725/365*31</f>
        <v>-69.62442426947385</v>
      </c>
      <c r="G313" s="2">
        <f>+E313</f>
        <v>-69.62442426947385</v>
      </c>
    </row>
    <row r="314" spans="2:11" ht="13.5" thickBot="1">
      <c r="B314" t="s">
        <v>210</v>
      </c>
      <c r="E314" s="26">
        <f>+E313+E312</f>
        <v>17823.818783940394</v>
      </c>
      <c r="F314" s="2"/>
      <c r="G314" s="26">
        <f>+G313+G312</f>
        <v>29131.011156958255</v>
      </c>
      <c r="H314" s="2"/>
      <c r="I314" s="26">
        <f>+I313+I312</f>
        <v>-11307.192373017999</v>
      </c>
      <c r="J314" s="36">
        <f>+I314+G314</f>
        <v>17823.818783940256</v>
      </c>
      <c r="K314" s="26">
        <f>+K313+K312</f>
        <v>767910.1923730181</v>
      </c>
    </row>
    <row r="315" spans="1:11" ht="13.5" thickTop="1">
      <c r="A315" s="62"/>
      <c r="F315" s="48" t="s">
        <v>176</v>
      </c>
      <c r="G315" s="2">
        <f>+G313+G310</f>
        <v>-339.13832466743713</v>
      </c>
      <c r="I315" s="25"/>
      <c r="J315" s="25"/>
      <c r="K315" s="25"/>
    </row>
    <row r="316" spans="7:9" ht="12.75">
      <c r="G316" s="50"/>
      <c r="H316" s="50"/>
      <c r="I316" s="50"/>
    </row>
    <row r="317" spans="1:11" ht="12.75">
      <c r="A317" s="61">
        <v>38509</v>
      </c>
      <c r="B317" t="s">
        <v>211</v>
      </c>
      <c r="E317" s="2">
        <f>+E314</f>
        <v>17823.818783940394</v>
      </c>
      <c r="G317" s="2">
        <f>+G314</f>
        <v>29131.011156958255</v>
      </c>
      <c r="I317" s="2">
        <f>+I314</f>
        <v>-11307.192373017999</v>
      </c>
      <c r="J317" s="2">
        <f>+J314</f>
        <v>17823.818783940256</v>
      </c>
      <c r="K317" s="2">
        <f>+K314</f>
        <v>767910.1923730181</v>
      </c>
    </row>
    <row r="318" spans="2:7" ht="12.75">
      <c r="B318" t="s">
        <v>184</v>
      </c>
      <c r="E318" s="2">
        <f>(+I317)*0.0725/365*30</f>
        <v>-67.37847509949081</v>
      </c>
      <c r="G318" s="2">
        <f>+E318</f>
        <v>-67.37847509949081</v>
      </c>
    </row>
    <row r="319" spans="2:11" ht="13.5" thickBot="1">
      <c r="B319" t="s">
        <v>210</v>
      </c>
      <c r="E319" s="26">
        <f>+E318+E317</f>
        <v>17756.440308840905</v>
      </c>
      <c r="F319" s="2"/>
      <c r="G319" s="26">
        <f>+G318+G317</f>
        <v>29063.632681858766</v>
      </c>
      <c r="H319" s="2"/>
      <c r="I319" s="26">
        <f>+I318+I317</f>
        <v>-11307.192373017999</v>
      </c>
      <c r="J319" s="36">
        <f>+I319+G319</f>
        <v>17756.440308840767</v>
      </c>
      <c r="K319" s="26">
        <f>+K318+K317</f>
        <v>767910.1923730181</v>
      </c>
    </row>
    <row r="320" spans="1:11" ht="13.5" thickTop="1">
      <c r="A320" s="62"/>
      <c r="F320" s="48" t="s">
        <v>176</v>
      </c>
      <c r="G320" s="2">
        <f>+G318+G315</f>
        <v>-406.51679976692793</v>
      </c>
      <c r="I320" s="25"/>
      <c r="J320" s="25"/>
      <c r="K320" s="25"/>
    </row>
    <row r="321" spans="1:11" ht="12.75">
      <c r="A321" s="62"/>
      <c r="F321" s="48"/>
      <c r="G321" s="2"/>
      <c r="I321" s="25"/>
      <c r="J321" s="25"/>
      <c r="K321" s="25"/>
    </row>
    <row r="322" spans="1:11" ht="12.75">
      <c r="A322" s="61">
        <v>38540</v>
      </c>
      <c r="B322" t="s">
        <v>211</v>
      </c>
      <c r="E322" s="2">
        <f>+E319</f>
        <v>17756.440308840905</v>
      </c>
      <c r="G322" s="2">
        <f>+G319</f>
        <v>29063.632681858766</v>
      </c>
      <c r="I322" s="2">
        <f>+I319</f>
        <v>-11307.192373017999</v>
      </c>
      <c r="J322" s="2">
        <f>+J319</f>
        <v>17756.440308840767</v>
      </c>
      <c r="K322" s="2">
        <f>+K319</f>
        <v>767910.1923730181</v>
      </c>
    </row>
    <row r="323" spans="2:7" ht="12.75">
      <c r="B323" t="s">
        <v>184</v>
      </c>
      <c r="E323" s="2">
        <f>(+I322)*0.0725/365*31</f>
        <v>-69.62442426947385</v>
      </c>
      <c r="G323" s="2">
        <f>+E323</f>
        <v>-69.62442426947385</v>
      </c>
    </row>
    <row r="324" spans="2:11" ht="13.5" thickBot="1">
      <c r="B324" t="s">
        <v>210</v>
      </c>
      <c r="E324" s="26">
        <f>+E323+E322</f>
        <v>17686.81588457143</v>
      </c>
      <c r="F324" s="2"/>
      <c r="G324" s="26">
        <f>+G323+G322</f>
        <v>28994.008257589292</v>
      </c>
      <c r="H324" s="2"/>
      <c r="I324" s="26">
        <f>+I323+I322</f>
        <v>-11307.192373017999</v>
      </c>
      <c r="J324" s="36">
        <f>+I324+G324</f>
        <v>17686.815884571293</v>
      </c>
      <c r="K324" s="26">
        <f>+K323+K322</f>
        <v>767910.1923730181</v>
      </c>
    </row>
    <row r="325" spans="1:11" ht="13.5" thickTop="1">
      <c r="A325" s="62"/>
      <c r="F325" s="48" t="s">
        <v>176</v>
      </c>
      <c r="G325" s="2">
        <f>+G323+G320</f>
        <v>-476.1412240364018</v>
      </c>
      <c r="I325" s="25"/>
      <c r="J325" s="25"/>
      <c r="K325" s="25"/>
    </row>
    <row r="326" spans="1:11" ht="12.75">
      <c r="A326" s="62"/>
      <c r="F326" s="48"/>
      <c r="G326" s="2"/>
      <c r="I326" s="25"/>
      <c r="J326" s="25"/>
      <c r="K326" s="25"/>
    </row>
    <row r="327" spans="1:11" ht="12.75">
      <c r="A327" s="61">
        <v>38572</v>
      </c>
      <c r="B327" t="s">
        <v>211</v>
      </c>
      <c r="E327" s="2">
        <f>+E324</f>
        <v>17686.81588457143</v>
      </c>
      <c r="G327" s="2">
        <f>+G324</f>
        <v>28994.008257589292</v>
      </c>
      <c r="I327" s="2">
        <f>+I324</f>
        <v>-11307.192373017999</v>
      </c>
      <c r="J327" s="2">
        <f>+J324</f>
        <v>17686.815884571293</v>
      </c>
      <c r="K327" s="2">
        <f>+K324</f>
        <v>767910.1923730181</v>
      </c>
    </row>
    <row r="328" spans="2:7" ht="12.75">
      <c r="B328" t="s">
        <v>184</v>
      </c>
      <c r="E328" s="2">
        <f>(+I327)*0.0725/365*31</f>
        <v>-69.62442426947385</v>
      </c>
      <c r="G328" s="2">
        <f>+E328</f>
        <v>-69.62442426947385</v>
      </c>
    </row>
    <row r="329" spans="2:11" ht="13.5" thickBot="1">
      <c r="B329" t="s">
        <v>210</v>
      </c>
      <c r="E329" s="26">
        <f>+E328+E327</f>
        <v>17617.191460301958</v>
      </c>
      <c r="F329" s="2"/>
      <c r="G329" s="26">
        <f>+G328+G327</f>
        <v>28924.38383331982</v>
      </c>
      <c r="H329" s="2"/>
      <c r="I329" s="26">
        <f>+I328+I327</f>
        <v>-11307.192373017999</v>
      </c>
      <c r="J329" s="36">
        <f>+I329+G329</f>
        <v>17617.19146030182</v>
      </c>
      <c r="K329" s="26">
        <f>+K328+K327</f>
        <v>767910.1923730181</v>
      </c>
    </row>
    <row r="330" spans="1:11" ht="13.5" thickTop="1">
      <c r="A330" s="62"/>
      <c r="F330" s="48" t="s">
        <v>176</v>
      </c>
      <c r="G330" s="2">
        <f>+G328+G325</f>
        <v>-545.7656483058756</v>
      </c>
      <c r="I330" s="25"/>
      <c r="J330" s="25"/>
      <c r="K330" s="25"/>
    </row>
    <row r="331" spans="1:11" ht="12.75">
      <c r="A331" s="62"/>
      <c r="F331" s="48"/>
      <c r="G331" s="2"/>
      <c r="I331" s="25"/>
      <c r="J331" s="25"/>
      <c r="K331" s="25"/>
    </row>
    <row r="332" spans="1:11" ht="12.75">
      <c r="A332" s="61">
        <v>38604</v>
      </c>
      <c r="B332" t="s">
        <v>211</v>
      </c>
      <c r="E332" s="2">
        <f>+E329</f>
        <v>17617.191460301958</v>
      </c>
      <c r="G332" s="2">
        <f>+G329</f>
        <v>28924.38383331982</v>
      </c>
      <c r="I332" s="2">
        <f>+I329</f>
        <v>-11307.192373017999</v>
      </c>
      <c r="J332" s="2">
        <f>+J329</f>
        <v>17617.19146030182</v>
      </c>
      <c r="K332" s="2">
        <f>+K329</f>
        <v>767910.1923730181</v>
      </c>
    </row>
    <row r="333" spans="2:7" ht="12.75">
      <c r="B333" t="s">
        <v>184</v>
      </c>
      <c r="E333" s="2">
        <f>(+I332)*0.0725/365*30</f>
        <v>-67.37847509949081</v>
      </c>
      <c r="G333" s="2">
        <f>+E333</f>
        <v>-67.37847509949081</v>
      </c>
    </row>
    <row r="334" spans="2:11" ht="13.5" thickBot="1">
      <c r="B334" t="s">
        <v>210</v>
      </c>
      <c r="E334" s="26">
        <f>+E333+E332</f>
        <v>17549.81298520247</v>
      </c>
      <c r="F334" s="2"/>
      <c r="G334" s="26">
        <f>+G333+G332</f>
        <v>28857.00535822033</v>
      </c>
      <c r="H334" s="2"/>
      <c r="I334" s="26">
        <f>+I333+I332</f>
        <v>-11307.192373017999</v>
      </c>
      <c r="J334" s="36">
        <f>+I334+G334</f>
        <v>17549.81298520233</v>
      </c>
      <c r="K334" s="26">
        <f>+K333+K332</f>
        <v>767910.1923730181</v>
      </c>
    </row>
    <row r="335" spans="1:11" ht="13.5" thickTop="1">
      <c r="A335" s="62"/>
      <c r="F335" s="48" t="s">
        <v>176</v>
      </c>
      <c r="G335" s="2">
        <f>+G333+G330</f>
        <v>-613.1441234053665</v>
      </c>
      <c r="I335" s="25"/>
      <c r="J335" s="25"/>
      <c r="K335" s="25"/>
    </row>
    <row r="336" spans="1:11" ht="12.75">
      <c r="A336" s="62"/>
      <c r="F336" s="48"/>
      <c r="G336" s="2"/>
      <c r="I336" s="25"/>
      <c r="J336" s="25"/>
      <c r="K336" s="25"/>
    </row>
    <row r="337" spans="1:11" ht="12.75">
      <c r="A337" s="61">
        <v>38635</v>
      </c>
      <c r="B337" t="s">
        <v>211</v>
      </c>
      <c r="E337" s="2">
        <f>+E334</f>
        <v>17549.81298520247</v>
      </c>
      <c r="G337" s="2">
        <f>+G334</f>
        <v>28857.00535822033</v>
      </c>
      <c r="I337" s="2">
        <f>+I334</f>
        <v>-11307.192373017999</v>
      </c>
      <c r="J337" s="2">
        <f>+J334</f>
        <v>17549.81298520233</v>
      </c>
      <c r="K337" s="2">
        <f>+K334</f>
        <v>767910.1923730181</v>
      </c>
    </row>
    <row r="338" spans="2:7" ht="12.75">
      <c r="B338" t="s">
        <v>184</v>
      </c>
      <c r="E338" s="2">
        <f>(+I337)*0.0725/365*31</f>
        <v>-69.62442426947385</v>
      </c>
      <c r="G338" s="2">
        <f>+E338</f>
        <v>-69.62442426947385</v>
      </c>
    </row>
    <row r="339" spans="2:11" ht="13.5" thickBot="1">
      <c r="B339" t="s">
        <v>210</v>
      </c>
      <c r="E339" s="26">
        <f>+E338+E337</f>
        <v>17480.188560932995</v>
      </c>
      <c r="F339" s="2"/>
      <c r="G339" s="26">
        <f>+G338+G337</f>
        <v>28787.380933950855</v>
      </c>
      <c r="H339" s="2"/>
      <c r="I339" s="26">
        <f>+I338+I337</f>
        <v>-11307.192373017999</v>
      </c>
      <c r="J339" s="36">
        <f>+I339+G339</f>
        <v>17480.188560932856</v>
      </c>
      <c r="K339" s="26">
        <f>+K338+K337</f>
        <v>767910.1923730181</v>
      </c>
    </row>
    <row r="340" spans="1:11" ht="13.5" thickTop="1">
      <c r="A340" s="62"/>
      <c r="F340" s="48" t="s">
        <v>176</v>
      </c>
      <c r="G340" s="2">
        <f>+G338+G335</f>
        <v>-682.7685476748403</v>
      </c>
      <c r="I340" s="25"/>
      <c r="J340" s="25"/>
      <c r="K340" s="25"/>
    </row>
    <row r="341" spans="1:11" ht="12.75">
      <c r="A341" s="62"/>
      <c r="F341" s="48"/>
      <c r="G341" s="2"/>
      <c r="I341" s="25"/>
      <c r="J341" s="25"/>
      <c r="K341" s="25"/>
    </row>
    <row r="342" spans="1:11" ht="12.75">
      <c r="A342" s="61">
        <v>38667</v>
      </c>
      <c r="B342" t="s">
        <v>211</v>
      </c>
      <c r="E342" s="2">
        <f>+E339</f>
        <v>17480.188560932995</v>
      </c>
      <c r="G342" s="2">
        <f>+G339</f>
        <v>28787.380933950855</v>
      </c>
      <c r="I342" s="2">
        <f>+I339</f>
        <v>-11307.192373017999</v>
      </c>
      <c r="J342" s="2">
        <f>+J339</f>
        <v>17480.188560932856</v>
      </c>
      <c r="K342" s="2">
        <f>+K339</f>
        <v>767910.1923730181</v>
      </c>
    </row>
    <row r="343" spans="2:7" ht="12.75">
      <c r="B343" t="s">
        <v>184</v>
      </c>
      <c r="E343" s="2">
        <f>(+I342)*0.0725/365*30</f>
        <v>-67.37847509949081</v>
      </c>
      <c r="G343" s="2">
        <f>+E343</f>
        <v>-67.37847509949081</v>
      </c>
    </row>
    <row r="344" spans="2:11" ht="13.5" thickBot="1">
      <c r="B344" t="s">
        <v>210</v>
      </c>
      <c r="E344" s="26">
        <f>+E343+E342</f>
        <v>17412.810085833506</v>
      </c>
      <c r="F344" s="2"/>
      <c r="G344" s="26">
        <f>+G343+G342</f>
        <v>28720.002458851366</v>
      </c>
      <c r="H344" s="2"/>
      <c r="I344" s="26">
        <f>+I343+I342</f>
        <v>-11307.192373017999</v>
      </c>
      <c r="J344" s="36">
        <f>+I344+G344</f>
        <v>17412.810085833367</v>
      </c>
      <c r="K344" s="26">
        <f>+K343+K342</f>
        <v>767910.1923730181</v>
      </c>
    </row>
    <row r="345" spans="1:11" ht="13.5" thickTop="1">
      <c r="A345" s="62"/>
      <c r="F345" s="48" t="s">
        <v>176</v>
      </c>
      <c r="G345" s="2">
        <f>+G343+G340</f>
        <v>-750.1470227743312</v>
      </c>
      <c r="I345" s="25"/>
      <c r="J345" s="25"/>
      <c r="K345" s="25"/>
    </row>
    <row r="346" spans="1:11" ht="12.75">
      <c r="A346" s="62"/>
      <c r="F346" s="48"/>
      <c r="G346" s="2"/>
      <c r="I346" s="25"/>
      <c r="J346" s="25"/>
      <c r="K346" s="25"/>
    </row>
    <row r="347" spans="1:11" ht="12.75">
      <c r="A347" s="61">
        <v>38698</v>
      </c>
      <c r="B347" t="s">
        <v>211</v>
      </c>
      <c r="E347" s="2">
        <f>+E344</f>
        <v>17412.810085833506</v>
      </c>
      <c r="G347" s="2">
        <f>+G344</f>
        <v>28720.002458851366</v>
      </c>
      <c r="I347" s="2">
        <f>+I344</f>
        <v>-11307.192373017999</v>
      </c>
      <c r="J347" s="2">
        <f>+J344</f>
        <v>17412.810085833367</v>
      </c>
      <c r="K347" s="2">
        <f>+K344</f>
        <v>767910.1923730181</v>
      </c>
    </row>
    <row r="348" spans="2:7" ht="12.75">
      <c r="B348" t="s">
        <v>184</v>
      </c>
      <c r="E348" s="2">
        <f>(+I347)*0.0725/365*31</f>
        <v>-69.62442426947385</v>
      </c>
      <c r="G348" s="2">
        <f>+E348</f>
        <v>-69.62442426947385</v>
      </c>
    </row>
    <row r="349" spans="2:11" ht="13.5" thickBot="1">
      <c r="B349" t="s">
        <v>210</v>
      </c>
      <c r="E349" s="26">
        <f>+E348+E347</f>
        <v>17343.18566156403</v>
      </c>
      <c r="F349" s="2"/>
      <c r="G349" s="26">
        <f>+G348+G347</f>
        <v>28650.378034581892</v>
      </c>
      <c r="H349" s="2"/>
      <c r="I349" s="26">
        <f>+I348+I347</f>
        <v>-11307.192373017999</v>
      </c>
      <c r="J349" s="36">
        <f>+I349+G349</f>
        <v>17343.185661563894</v>
      </c>
      <c r="K349" s="26">
        <f>+K348+K347</f>
        <v>767910.1923730181</v>
      </c>
    </row>
    <row r="350" spans="1:11" ht="13.5" thickTop="1">
      <c r="A350" s="62"/>
      <c r="F350" s="48" t="s">
        <v>176</v>
      </c>
      <c r="G350" s="2">
        <f>+G348+G345</f>
        <v>-819.771447043805</v>
      </c>
      <c r="I350" s="25"/>
      <c r="J350" s="25"/>
      <c r="K350" s="25"/>
    </row>
    <row r="351" spans="1:11" ht="12.75">
      <c r="A351" s="62"/>
      <c r="F351" s="48"/>
      <c r="G351" s="2"/>
      <c r="I351" s="25"/>
      <c r="J351" s="25"/>
      <c r="K351" s="25"/>
    </row>
    <row r="352" spans="1:11" ht="12.75">
      <c r="A352" s="61">
        <v>38718</v>
      </c>
      <c r="B352" t="s">
        <v>211</v>
      </c>
      <c r="E352" s="2">
        <f>+E349</f>
        <v>17343.18566156403</v>
      </c>
      <c r="G352" s="2">
        <f>+G349</f>
        <v>28650.378034581892</v>
      </c>
      <c r="I352" s="2">
        <f>+I349</f>
        <v>-11307.192373017999</v>
      </c>
      <c r="J352" s="2">
        <f>+J349</f>
        <v>17343.185661563894</v>
      </c>
      <c r="K352" s="2">
        <f>+K349</f>
        <v>767910.1923730181</v>
      </c>
    </row>
    <row r="353" spans="2:7" ht="12.75">
      <c r="B353" t="s">
        <v>184</v>
      </c>
      <c r="E353" s="2">
        <f>(+I352)*0.0725/365*31</f>
        <v>-69.62442426947385</v>
      </c>
      <c r="G353" s="2">
        <f>+E353</f>
        <v>-69.62442426947385</v>
      </c>
    </row>
    <row r="354" spans="2:11" ht="13.5" thickBot="1">
      <c r="B354" t="s">
        <v>210</v>
      </c>
      <c r="E354" s="26">
        <f>+E353+E352</f>
        <v>17273.561237294558</v>
      </c>
      <c r="F354" s="2"/>
      <c r="G354" s="26">
        <f>+G353+G352</f>
        <v>28580.75361031242</v>
      </c>
      <c r="H354" s="2"/>
      <c r="I354" s="26">
        <f>+I353+I352</f>
        <v>-11307.192373017999</v>
      </c>
      <c r="J354" s="36">
        <f>+I354+G354</f>
        <v>17273.56123729442</v>
      </c>
      <c r="K354" s="26">
        <f>+K353+K352</f>
        <v>767910.1923730181</v>
      </c>
    </row>
    <row r="355" spans="1:11" ht="13.5" thickTop="1">
      <c r="A355" s="62"/>
      <c r="F355" s="48" t="s">
        <v>176</v>
      </c>
      <c r="G355" s="2">
        <f>+G353</f>
        <v>-69.62442426947385</v>
      </c>
      <c r="I355" s="25"/>
      <c r="J355" s="25"/>
      <c r="K355" s="25"/>
    </row>
    <row r="356" spans="1:11" ht="12.75">
      <c r="A356" s="62"/>
      <c r="F356" s="48"/>
      <c r="G356" s="2"/>
      <c r="I356" s="25"/>
      <c r="J356" s="25"/>
      <c r="K356" s="25"/>
    </row>
    <row r="357" spans="1:11" ht="12.75">
      <c r="A357" s="61">
        <v>38750</v>
      </c>
      <c r="B357" t="s">
        <v>211</v>
      </c>
      <c r="E357" s="2">
        <f>+E354</f>
        <v>17273.561237294558</v>
      </c>
      <c r="G357" s="2">
        <f>+G354</f>
        <v>28580.75361031242</v>
      </c>
      <c r="I357" s="2">
        <f>+I354</f>
        <v>-11307.192373017999</v>
      </c>
      <c r="J357" s="2">
        <f>+J354</f>
        <v>17273.56123729442</v>
      </c>
      <c r="K357" s="2">
        <f>+K354</f>
        <v>767910.1923730181</v>
      </c>
    </row>
    <row r="358" spans="2:7" ht="12.75">
      <c r="B358" t="s">
        <v>184</v>
      </c>
      <c r="E358" s="2">
        <f>(+I357)*0.0725/365*28</f>
        <v>-62.88657675952476</v>
      </c>
      <c r="G358" s="2">
        <f>+E358</f>
        <v>-62.88657675952476</v>
      </c>
    </row>
    <row r="359" spans="2:11" ht="13.5" thickBot="1">
      <c r="B359" t="s">
        <v>210</v>
      </c>
      <c r="E359" s="26">
        <f>+E358+E357</f>
        <v>17210.674660535034</v>
      </c>
      <c r="F359" s="2"/>
      <c r="G359" s="26">
        <f>+G358+G357</f>
        <v>28517.867033552895</v>
      </c>
      <c r="H359" s="2"/>
      <c r="I359" s="26">
        <f>+I358+I357</f>
        <v>-11307.192373017999</v>
      </c>
      <c r="J359" s="36">
        <f>+I359+G359</f>
        <v>17210.674660534896</v>
      </c>
      <c r="K359" s="26">
        <f>+K358+K357</f>
        <v>767910.1923730181</v>
      </c>
    </row>
    <row r="360" spans="1:11" ht="13.5" thickTop="1">
      <c r="A360" s="62"/>
      <c r="F360" s="48" t="s">
        <v>176</v>
      </c>
      <c r="G360" s="2">
        <f>+G358+G355</f>
        <v>-132.5110010289986</v>
      </c>
      <c r="I360" s="25"/>
      <c r="J360" s="25"/>
      <c r="K360" s="25"/>
    </row>
    <row r="361" spans="1:11" ht="12.75">
      <c r="A361" s="62"/>
      <c r="F361" s="48"/>
      <c r="G361" s="2"/>
      <c r="I361" s="25"/>
      <c r="J361" s="25"/>
      <c r="K361" s="25"/>
    </row>
    <row r="362" spans="1:11" ht="12.75">
      <c r="A362" s="61">
        <v>38779</v>
      </c>
      <c r="B362" t="s">
        <v>211</v>
      </c>
      <c r="E362" s="2">
        <f>+E359</f>
        <v>17210.674660535034</v>
      </c>
      <c r="G362" s="2">
        <f>+G359</f>
        <v>28517.867033552895</v>
      </c>
      <c r="I362" s="2">
        <f>+I359</f>
        <v>-11307.192373017999</v>
      </c>
      <c r="J362" s="2">
        <f>+J359</f>
        <v>17210.674660534896</v>
      </c>
      <c r="K362" s="2">
        <f>+K359</f>
        <v>767910.1923730181</v>
      </c>
    </row>
    <row r="363" spans="2:7" ht="12.75">
      <c r="B363" t="s">
        <v>184</v>
      </c>
      <c r="E363" s="2">
        <f>(+I362)*0.0725/365*31</f>
        <v>-69.62442426947385</v>
      </c>
      <c r="G363" s="2">
        <f>+E363</f>
        <v>-69.62442426947385</v>
      </c>
    </row>
    <row r="364" spans="2:11" ht="13.5" thickBot="1">
      <c r="B364" t="s">
        <v>210</v>
      </c>
      <c r="E364" s="26">
        <f>+E363+E362</f>
        <v>17141.05023626556</v>
      </c>
      <c r="F364" s="2"/>
      <c r="G364" s="26">
        <f>+G363+G362</f>
        <v>28448.24260928342</v>
      </c>
      <c r="H364" s="2"/>
      <c r="I364" s="26">
        <f>+I363+I362</f>
        <v>-11307.192373017999</v>
      </c>
      <c r="J364" s="36">
        <f>+I364+G364</f>
        <v>17141.050236265422</v>
      </c>
      <c r="K364" s="26">
        <f>+K363+K362</f>
        <v>767910.1923730181</v>
      </c>
    </row>
    <row r="365" spans="1:11" ht="13.5" thickTop="1">
      <c r="A365" s="62"/>
      <c r="F365" s="48" t="s">
        <v>176</v>
      </c>
      <c r="G365" s="2">
        <f>+G363+G360</f>
        <v>-202.13542529847246</v>
      </c>
      <c r="I365" s="25"/>
      <c r="J365" s="25"/>
      <c r="K365" s="25"/>
    </row>
    <row r="366" spans="1:11" ht="12.75">
      <c r="A366" s="62"/>
      <c r="F366" s="48"/>
      <c r="G366" s="2"/>
      <c r="I366" s="25"/>
      <c r="J366" s="25"/>
      <c r="K366" s="25"/>
    </row>
    <row r="367" spans="1:11" ht="12.75">
      <c r="A367" s="61">
        <v>38811</v>
      </c>
      <c r="B367" t="s">
        <v>211</v>
      </c>
      <c r="E367" s="2">
        <f>+E364</f>
        <v>17141.05023626556</v>
      </c>
      <c r="G367" s="2">
        <f>+G364</f>
        <v>28448.24260928342</v>
      </c>
      <c r="I367" s="2">
        <f>+I364</f>
        <v>-11307.192373017999</v>
      </c>
      <c r="J367" s="2">
        <f>+J364</f>
        <v>17141.050236265422</v>
      </c>
      <c r="K367" s="2">
        <f>+K364</f>
        <v>767910.1923730181</v>
      </c>
    </row>
    <row r="368" spans="2:7" ht="12.75">
      <c r="B368" t="s">
        <v>184</v>
      </c>
      <c r="E368" s="2">
        <f>(+I367)*0.0725/365*30</f>
        <v>-67.37847509949081</v>
      </c>
      <c r="G368" s="2">
        <f>+E368</f>
        <v>-67.37847509949081</v>
      </c>
    </row>
    <row r="369" spans="2:11" ht="13.5" thickBot="1">
      <c r="B369" t="s">
        <v>210</v>
      </c>
      <c r="E369" s="26">
        <f>+E368+E367</f>
        <v>17073.67176116607</v>
      </c>
      <c r="F369" s="2"/>
      <c r="G369" s="26">
        <f>+G368+G367</f>
        <v>28380.864134183932</v>
      </c>
      <c r="H369" s="2"/>
      <c r="I369" s="26">
        <f>+I368+I367</f>
        <v>-11307.192373017999</v>
      </c>
      <c r="J369" s="36">
        <f>+I369+G369</f>
        <v>17073.671761165933</v>
      </c>
      <c r="K369" s="26">
        <f>+K368+K367</f>
        <v>767910.1923730181</v>
      </c>
    </row>
    <row r="370" spans="1:11" ht="13.5" thickTop="1">
      <c r="A370" s="62"/>
      <c r="F370" s="48" t="s">
        <v>176</v>
      </c>
      <c r="G370" s="2">
        <f>+G368+G365</f>
        <v>-269.51390039796325</v>
      </c>
      <c r="I370" s="25"/>
      <c r="J370" s="25"/>
      <c r="K370" s="25"/>
    </row>
    <row r="371" spans="1:11" ht="12.75">
      <c r="A371" s="62"/>
      <c r="F371" s="48"/>
      <c r="G371" s="2"/>
      <c r="I371" s="25"/>
      <c r="J371" s="25"/>
      <c r="K371" s="25"/>
    </row>
    <row r="372" spans="1:11" ht="12.75">
      <c r="A372" s="62"/>
      <c r="F372" s="48"/>
      <c r="G372" s="2"/>
      <c r="I372" s="25"/>
      <c r="J372" s="25"/>
      <c r="K372" s="25"/>
    </row>
    <row r="373" ht="12.75">
      <c r="K373" s="59"/>
    </row>
    <row r="374" spans="1:11" ht="12.75">
      <c r="A374" s="49" t="s">
        <v>245</v>
      </c>
      <c r="K374" s="2"/>
    </row>
    <row r="375" spans="1:11" ht="12.75">
      <c r="A375" s="1"/>
      <c r="B375" s="49" t="s">
        <v>247</v>
      </c>
      <c r="E375" s="49" t="s">
        <v>246</v>
      </c>
      <c r="K375" s="2"/>
    </row>
    <row r="376" spans="1:11" ht="12.75">
      <c r="A376" s="1"/>
      <c r="B376" s="34"/>
      <c r="E376" s="34"/>
      <c r="K376" s="2"/>
    </row>
    <row r="377" spans="1:11" ht="12.75">
      <c r="A377" s="1" t="s">
        <v>239</v>
      </c>
      <c r="B377" s="2">
        <f>370962*2</f>
        <v>741924</v>
      </c>
      <c r="E377" s="2">
        <v>741924</v>
      </c>
      <c r="K377" s="53"/>
    </row>
    <row r="378" spans="1:5" ht="12.75">
      <c r="A378" s="1" t="s">
        <v>240</v>
      </c>
      <c r="B378" s="2">
        <f>-K369</f>
        <v>-767910.1923730181</v>
      </c>
      <c r="C378" s="2"/>
      <c r="E378" s="2">
        <v>-767680.19</v>
      </c>
    </row>
    <row r="379" spans="1:5" ht="12.75">
      <c r="A379" s="1" t="s">
        <v>263</v>
      </c>
      <c r="B379" s="2">
        <f>-39993+10889</f>
        <v>-29104</v>
      </c>
      <c r="C379" s="2"/>
      <c r="E379" s="2"/>
    </row>
    <row r="380" spans="1:11" ht="12.75">
      <c r="A380" s="1" t="s">
        <v>81</v>
      </c>
      <c r="B380" s="2">
        <f>+G369</f>
        <v>28380.864134183932</v>
      </c>
      <c r="E380" s="2">
        <v>18657.52</v>
      </c>
      <c r="K380" s="2"/>
    </row>
    <row r="381" spans="1:11" ht="13.5" thickBot="1">
      <c r="A381" s="1" t="s">
        <v>241</v>
      </c>
      <c r="B381" s="26">
        <f>SUM(B377:B380)</f>
        <v>-26709.328238834198</v>
      </c>
      <c r="E381" s="26">
        <f>SUM(E377:E380)</f>
        <v>-7098.669999999944</v>
      </c>
      <c r="K381" s="2"/>
    </row>
    <row r="382" spans="1:2" ht="13.5" thickTop="1">
      <c r="A382" s="2" t="s">
        <v>248</v>
      </c>
      <c r="B382" s="2">
        <f>+B381-E381</f>
        <v>-19610.658238834254</v>
      </c>
    </row>
    <row r="383" ht="12.75">
      <c r="C383" s="34" t="s">
        <v>264</v>
      </c>
    </row>
    <row r="384" spans="1:9" ht="12.75">
      <c r="A384" s="64" t="s">
        <v>256</v>
      </c>
      <c r="B384" s="64" t="s">
        <v>255</v>
      </c>
      <c r="C384" s="64" t="s">
        <v>252</v>
      </c>
      <c r="D384" s="64"/>
      <c r="E384" s="64" t="s">
        <v>253</v>
      </c>
      <c r="F384" s="64"/>
      <c r="G384" s="64" t="s">
        <v>240</v>
      </c>
      <c r="H384" s="64"/>
      <c r="I384" s="64" t="s">
        <v>254</v>
      </c>
    </row>
    <row r="385" spans="1:10" ht="12.75">
      <c r="A385" s="64">
        <v>2001</v>
      </c>
      <c r="B385" s="64"/>
      <c r="C385" s="2">
        <v>370962</v>
      </c>
      <c r="D385" s="64"/>
      <c r="E385" s="64">
        <v>0</v>
      </c>
      <c r="F385" s="64"/>
      <c r="G385" s="64"/>
      <c r="H385" s="64"/>
      <c r="I385" s="2">
        <f>+C385</f>
        <v>370962</v>
      </c>
      <c r="J385" s="34" t="s">
        <v>259</v>
      </c>
    </row>
    <row r="386" spans="1:9" ht="12.75">
      <c r="A386" s="63">
        <v>2002</v>
      </c>
      <c r="B386" s="2">
        <f>+I385</f>
        <v>370962</v>
      </c>
      <c r="C386" s="67">
        <v>14679</v>
      </c>
      <c r="E386" s="2">
        <f>+K94</f>
        <v>20871.89235856819</v>
      </c>
      <c r="G386" s="2">
        <v>-274462.34</v>
      </c>
      <c r="I386" s="2">
        <f>+C386+G386+E386+B386</f>
        <v>132050.55235856818</v>
      </c>
    </row>
    <row r="387" spans="1:9" ht="12.75">
      <c r="A387" s="63">
        <v>2003</v>
      </c>
      <c r="B387" s="2">
        <f>+I386</f>
        <v>132050.55235856818</v>
      </c>
      <c r="C387" s="2">
        <v>370962</v>
      </c>
      <c r="E387" s="2">
        <f>+J198</f>
        <v>7815.364438545967</v>
      </c>
      <c r="G387" s="2">
        <v>-371543.74</v>
      </c>
      <c r="I387" s="2">
        <f>+C387+G387+E387+B387</f>
        <v>139284.17679711417</v>
      </c>
    </row>
    <row r="388" spans="1:9" ht="12.75">
      <c r="A388" s="63">
        <v>2004</v>
      </c>
      <c r="B388" s="2">
        <f>+I387</f>
        <v>139284.17679711417</v>
      </c>
      <c r="C388" s="2">
        <v>0</v>
      </c>
      <c r="E388" s="2">
        <f>+I288</f>
        <v>782.8926845115204</v>
      </c>
      <c r="G388" s="2">
        <v>-121904.11</v>
      </c>
      <c r="I388" s="2">
        <f>+C388+G388+E388+B388</f>
        <v>18162.959481625687</v>
      </c>
    </row>
    <row r="389" spans="1:9" ht="12.75">
      <c r="A389" s="63">
        <v>2005</v>
      </c>
      <c r="B389" s="2">
        <f>+I388</f>
        <v>18162.959481625687</v>
      </c>
      <c r="C389" s="2">
        <v>0</v>
      </c>
      <c r="E389" s="2">
        <f>G350</f>
        <v>-819.771447043805</v>
      </c>
      <c r="G389" s="2">
        <v>0</v>
      </c>
      <c r="I389" s="2">
        <f>+C389+G389+E389+B389</f>
        <v>17343.188034581883</v>
      </c>
    </row>
    <row r="390" spans="1:9" ht="12.75">
      <c r="A390" s="63">
        <v>2006</v>
      </c>
      <c r="B390" s="2">
        <f>+I389</f>
        <v>17343.188034581883</v>
      </c>
      <c r="C390" s="2">
        <v>0</v>
      </c>
      <c r="E390" s="2">
        <f>+G368+G363+G358+G353</f>
        <v>-269.5139003979633</v>
      </c>
      <c r="G390" s="2">
        <v>0</v>
      </c>
      <c r="I390" s="2">
        <f>+C390+G390+E390+B390</f>
        <v>17073.67413418392</v>
      </c>
    </row>
    <row r="391" spans="2:10" ht="13.5" thickBot="1">
      <c r="B391" s="34"/>
      <c r="C391" s="26">
        <f>SUM(C385:C390)</f>
        <v>756603</v>
      </c>
      <c r="E391" s="26">
        <f>SUM(E386:E390)</f>
        <v>28380.86413418391</v>
      </c>
      <c r="G391" s="26">
        <f>SUM(G386:G390)</f>
        <v>-767910.1900000001</v>
      </c>
      <c r="I391" s="26">
        <f>+C391+E391+G391</f>
        <v>17073.67413418379</v>
      </c>
      <c r="J391" s="2"/>
    </row>
    <row r="392" spans="3:7" ht="13.5" thickTop="1">
      <c r="C392" s="2"/>
      <c r="D392" s="2"/>
      <c r="E392" s="2"/>
      <c r="F392" s="2"/>
      <c r="G392" s="2"/>
    </row>
    <row r="393" spans="3:7" ht="12.75">
      <c r="C393" s="2"/>
      <c r="D393" s="2"/>
      <c r="E393" s="2"/>
      <c r="F393" s="2"/>
      <c r="G393" s="2"/>
    </row>
    <row r="394" spans="3:7" ht="12.75">
      <c r="C394" s="2"/>
      <c r="D394" s="2"/>
      <c r="E394" s="2"/>
      <c r="F394" s="2"/>
      <c r="G394" s="2"/>
    </row>
  </sheetData>
  <sheetProtection/>
  <printOptions/>
  <pageMargins left="0.75" right="0.75" top="0.75" bottom="0.75" header="0.5" footer="0.5"/>
  <pageSetup horizontalDpi="300" verticalDpi="3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9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10925046</v>
      </c>
      <c r="G9" s="2">
        <f>+'2001PILRecoveryAmt'!K9</f>
        <v>10449948.666666666</v>
      </c>
      <c r="I9" s="2">
        <f>+D9-G9</f>
        <v>475097.33333333395</v>
      </c>
      <c r="J9" s="29"/>
      <c r="K9" s="3">
        <f>+'2001PILRecoveryAmt'!I9</f>
        <v>0.0007005173964809906</v>
      </c>
      <c r="L9" s="2">
        <f>+K9*D9</f>
        <v>7653.184780355061</v>
      </c>
      <c r="M9" s="25">
        <f>+'2001PILRecoveryAmt'!M9</f>
        <v>7320.370000000002</v>
      </c>
      <c r="N9" s="25">
        <f>+L9+M9</f>
        <v>14973.554780355062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641595</v>
      </c>
      <c r="G10" s="2">
        <f>+'2001PILRecoveryAmt'!K10</f>
        <v>640442.5</v>
      </c>
      <c r="I10" s="2">
        <f>+D10-G10</f>
        <v>1152.5</v>
      </c>
      <c r="J10" s="29"/>
      <c r="K10" s="3">
        <f>+'2001PILRecoveryAmt'!I10</f>
        <v>0.0008798643125651405</v>
      </c>
      <c r="L10" s="2">
        <f>+K10*D10</f>
        <v>564.5165436202313</v>
      </c>
      <c r="M10" s="25">
        <f>+'2001PILRecoveryAmt'!M10</f>
        <v>42.41416666666669</v>
      </c>
      <c r="N10" s="25">
        <f>+L10+M10</f>
        <v>606.930710286898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340593</v>
      </c>
      <c r="G11" s="2">
        <f>+'2001PILRecoveryAmt'!K11</f>
        <v>341661.4166666667</v>
      </c>
      <c r="I11" s="2">
        <f>+D11-G11</f>
        <v>-1068.416666666686</v>
      </c>
      <c r="J11" s="29"/>
      <c r="K11" s="3">
        <f>+'2001PILRecoveryAmt'!I11</f>
        <v>1.8156376549200634E-05</v>
      </c>
      <c r="L11" s="2">
        <f>+K11*D11</f>
        <v>6.183934758021891</v>
      </c>
      <c r="M11" s="25">
        <f>+'2001PILRecoveryAmt'!M11</f>
        <v>148.88</v>
      </c>
      <c r="N11" s="25">
        <f>+L11+M11</f>
        <v>155.0639347580219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6061453</v>
      </c>
      <c r="G15" s="2">
        <f>+'2001PILRecoveryAmt'!K13</f>
        <v>5891815.5</v>
      </c>
      <c r="I15" s="2">
        <f>+D15-G15</f>
        <v>169637.5</v>
      </c>
      <c r="J15" s="29"/>
      <c r="K15" s="3">
        <f>+'2001PILRecoveryAmt'!I13</f>
        <v>0.0004570149048285711</v>
      </c>
      <c r="L15" s="2">
        <f>+K15*D15</f>
        <v>2770.174365917857</v>
      </c>
      <c r="M15" s="25">
        <f>+'2001PILRecoveryAmt'!M13</f>
        <v>2692.6483333333335</v>
      </c>
      <c r="N15" s="25">
        <f>+L15+M15</f>
        <v>5462.82269925119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+'2001PILRecoveryAmt'!K16</f>
        <v>0</v>
      </c>
      <c r="I16" s="2">
        <f>+D16-G16</f>
        <v>120415</v>
      </c>
      <c r="J16" s="29"/>
      <c r="K16" s="3">
        <f>+'2001PILRecoveryAmt'!I13</f>
        <v>0.0004570149048285711</v>
      </c>
      <c r="L16" s="2">
        <f>+K16*D16</f>
        <v>55.03144976493239</v>
      </c>
      <c r="M16" s="25">
        <f>+'2001PILRecoveryAmt'!M16</f>
        <v>0</v>
      </c>
      <c r="N16" s="25">
        <f>+L16+M16</f>
        <v>55.03144976493239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43911</v>
      </c>
      <c r="G17" s="2">
        <f>+'2001PILRecoveryAmt'!K17</f>
        <v>0</v>
      </c>
      <c r="I17" s="2">
        <f>+D17-G17</f>
        <v>43911</v>
      </c>
      <c r="J17" s="29"/>
      <c r="K17" s="3">
        <v>0.00046</v>
      </c>
      <c r="L17" s="2">
        <f>+K17*D17</f>
        <v>20.19906</v>
      </c>
      <c r="M17" s="25">
        <f>+'2001PILRecoveryAmt'!M17</f>
        <v>0</v>
      </c>
      <c r="N17" s="25">
        <f>+L17+M17</f>
        <v>20.19906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13304.54</v>
      </c>
      <c r="F22" s="2">
        <f>+'2001PILRecoveryAmt'!J20</f>
        <v>70786.41666666667</v>
      </c>
      <c r="H22" s="2">
        <f>+C22-F22</f>
        <v>-57481.87666666667</v>
      </c>
      <c r="J22" s="29"/>
      <c r="K22" s="3">
        <f>+'2001PILRecoveryAmt'!H20</f>
        <v>0.07855470152583417</v>
      </c>
      <c r="L22" s="2">
        <f>+K22*C22</f>
        <v>1045.134168638522</v>
      </c>
      <c r="M22" s="25">
        <f>+'2001PILRecoveryAmt'!M20</f>
        <v>2383.1158333333333</v>
      </c>
      <c r="N22" s="25">
        <f>+L22+M22</f>
        <v>3428.2500019718555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16580.34</v>
      </c>
      <c r="H23" s="2">
        <f>+C23-F23</f>
        <v>16580.34</v>
      </c>
      <c r="J23" s="29"/>
      <c r="K23" s="3">
        <f>+'2001PILRecoveryAmt'!H20</f>
        <v>0.07855470152583417</v>
      </c>
      <c r="L23" s="2">
        <f>+K23*C23</f>
        <v>1302.4636598968493</v>
      </c>
      <c r="M23" s="25"/>
      <c r="N23" s="25">
        <f>+L23+M23</f>
        <v>1302.4636598968493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39127.64</v>
      </c>
      <c r="H24" s="2">
        <f>+C24-F24</f>
        <v>39127.64</v>
      </c>
      <c r="J24" s="29"/>
      <c r="K24" s="3">
        <f>+'2001PILRecoveryAmt'!H20</f>
        <v>0.07855470152583417</v>
      </c>
      <c r="L24" s="2">
        <f>+K24*C24</f>
        <v>3073.66008161029</v>
      </c>
      <c r="M24" s="25"/>
      <c r="N24" s="25">
        <f>+L24+M24</f>
        <v>3073.66008161029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432.36+2180.35</f>
        <v>2612.71</v>
      </c>
      <c r="H25" s="2">
        <f>+C25-F25</f>
        <v>2612.71</v>
      </c>
      <c r="J25" s="29"/>
      <c r="K25" s="3">
        <f>+'2001PILRecoveryAmt'!H20</f>
        <v>0.07855470152583417</v>
      </c>
      <c r="L25" s="2">
        <f>+K25*C25</f>
        <v>205.24065422356222</v>
      </c>
      <c r="M25" s="25"/>
      <c r="N25" s="25">
        <f>+L25+M25</f>
        <v>205.24065422356222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7237.83</v>
      </c>
      <c r="F30" s="2">
        <f>+'2001PILRecoveryAmt'!J28</f>
        <v>7063.666666666667</v>
      </c>
      <c r="H30" s="2">
        <f>+C30-F30</f>
        <v>174.16333333333296</v>
      </c>
      <c r="J30" s="29"/>
      <c r="K30" s="3">
        <f>+'2001PILRecoveryAmt'!H28</f>
        <v>0.030359704591571893</v>
      </c>
      <c r="L30" s="2">
        <f>+K30*C30</f>
        <v>219.7383806840168</v>
      </c>
      <c r="M30" s="25">
        <f>+'2001PILRecoveryAmt'!M28</f>
        <v>498.01000000000005</v>
      </c>
      <c r="N30" s="25">
        <f>+L30+M30</f>
        <v>717.7483806840169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3129.6</v>
      </c>
      <c r="F34" s="2">
        <f>+'2001PILRecoveryAmt'!J32</f>
        <v>3274.5</v>
      </c>
      <c r="H34" s="2">
        <f>+C34-F34</f>
        <v>-144.9000000000001</v>
      </c>
      <c r="J34" s="29"/>
      <c r="K34" s="3">
        <f>+'2001PILRecoveryAmt'!H32</f>
        <v>0.1492698630834224</v>
      </c>
      <c r="L34" s="2">
        <f>+K34*C34</f>
        <v>467.15496350587875</v>
      </c>
      <c r="M34" s="25">
        <f>+'2001PILRecoveryAmt'!M32</f>
        <v>209.47833333333332</v>
      </c>
      <c r="N34" s="25">
        <f>+L34+M34</f>
        <v>676.6332968392121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836.65</v>
      </c>
      <c r="F37" s="2">
        <f>+'2001PILRecoveryAmt'!J35</f>
        <v>1905.8333333333333</v>
      </c>
      <c r="H37" s="2">
        <f>+C37-F37</f>
        <v>-1069.1833333333334</v>
      </c>
      <c r="J37" s="29"/>
      <c r="K37" s="3">
        <f>+'2001PILRecoveryAmt'!H35</f>
        <v>0.21259247923043287</v>
      </c>
      <c r="L37" s="2">
        <f>+K37*C37</f>
        <v>177.86549774814165</v>
      </c>
      <c r="M37" s="25">
        <f>+'2001PILRecoveryAmt'!M35</f>
        <v>173.6425</v>
      </c>
      <c r="N37" s="25">
        <f>+L37+M37</f>
        <v>351.50799774814163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83704.22000000002</v>
      </c>
      <c r="D45" s="14">
        <f>SUM(D9:D44)</f>
        <v>18133306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-253.946666666668</v>
      </c>
      <c r="I45" s="14">
        <f>SUM(I9:I43)</f>
        <v>809144.9166666672</v>
      </c>
      <c r="J45" s="29"/>
      <c r="K45" s="15"/>
      <c r="L45" s="14">
        <f>SUM(L9:L43)</f>
        <v>17611.519302091292</v>
      </c>
      <c r="M45" s="14">
        <f>SUM(M9:M43)</f>
        <v>13603.726666666667</v>
      </c>
      <c r="N45" s="14">
        <f>SUM(N9:N43)</f>
        <v>31215.245968757954</v>
      </c>
      <c r="O45" s="25"/>
    </row>
    <row r="46" spans="7:15" ht="12.75">
      <c r="G46" s="19" t="s">
        <v>102</v>
      </c>
      <c r="H46" s="2">
        <f>+C45-F45</f>
        <v>-253.9466666666558</v>
      </c>
      <c r="I46" s="2">
        <f>+D45-G45</f>
        <v>809437.9166666679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2">
      <selection activeCell="L20" sqref="L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9762053</v>
      </c>
      <c r="G9" s="2">
        <f>+'2001PILRecoveryAmt'!K9</f>
        <v>10449948.666666666</v>
      </c>
      <c r="I9" s="2">
        <f>+D9-G9</f>
        <v>-687895.666666666</v>
      </c>
      <c r="J9" s="29"/>
      <c r="K9" s="3">
        <f>+'2001PILRecoveryAmt'!I9</f>
        <v>0.0007005173964809906</v>
      </c>
      <c r="L9" s="2">
        <f>+K9*D9</f>
        <v>6838.487951869444</v>
      </c>
      <c r="M9" s="25">
        <f>+'2001PILRecoveryAmt'!M9</f>
        <v>7320.370000000002</v>
      </c>
      <c r="N9" s="25">
        <f>+L9+M9</f>
        <v>14158.857951869446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547391</v>
      </c>
      <c r="G10" s="2">
        <f>+'2001PILRecoveryAmt'!K10</f>
        <v>640442.5</v>
      </c>
      <c r="I10" s="2">
        <f>+D10-G10</f>
        <v>-93051.5</v>
      </c>
      <c r="J10" s="29"/>
      <c r="K10" s="3">
        <f>+'2001PILRecoveryAmt'!I10</f>
        <v>0.0008798643125651405</v>
      </c>
      <c r="L10" s="2">
        <f>+K10*D10</f>
        <v>481.62980591934485</v>
      </c>
      <c r="M10" s="25">
        <f>+'2001PILRecoveryAmt'!M10</f>
        <v>42.41416666666669</v>
      </c>
      <c r="N10" s="25">
        <f>+L10+M10</f>
        <v>524.0439725860115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279476</v>
      </c>
      <c r="G11" s="2">
        <f>+'2001PILRecoveryAmt'!K11</f>
        <v>341661.4166666667</v>
      </c>
      <c r="I11" s="2">
        <f>+D11-G11</f>
        <v>-62185.416666666686</v>
      </c>
      <c r="J11" s="29"/>
      <c r="K11" s="3">
        <f>+'2001PILRecoveryAmt'!I11</f>
        <v>1.8156376549200634E-05</v>
      </c>
      <c r="L11" s="2">
        <f>+K11*D11</f>
        <v>5.074271492464397</v>
      </c>
      <c r="M11" s="25">
        <f>+'2001PILRecoveryAmt'!M11</f>
        <v>148.88</v>
      </c>
      <c r="N11" s="25">
        <f>+L11+M11</f>
        <v>153.9542714924644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5367501</v>
      </c>
      <c r="G15" s="2">
        <f>+'2001PILRecoveryAmt'!K13</f>
        <v>5891815.5</v>
      </c>
      <c r="I15" s="2">
        <f>+D15-G15</f>
        <v>-524314.5</v>
      </c>
      <c r="J15" s="29"/>
      <c r="K15" s="3">
        <f>+'2001PILRecoveryAmt'!I13</f>
        <v>0.0004570149048285711</v>
      </c>
      <c r="L15" s="2">
        <f>+K15*D15</f>
        <v>2453.0279586822603</v>
      </c>
      <c r="M15" s="25">
        <f>+'2001PILRecoveryAmt'!M13</f>
        <v>2692.6483333333335</v>
      </c>
      <c r="N15" s="25">
        <f>+L15+M15</f>
        <v>5145.676292015594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43834</v>
      </c>
      <c r="G17" s="2">
        <f>+'2001PILRecoveryAmt'!K17</f>
        <v>0</v>
      </c>
      <c r="I17" s="2">
        <f>+D17-G17</f>
        <v>43834</v>
      </c>
      <c r="J17" s="29"/>
      <c r="K17" s="3">
        <v>0.00046</v>
      </c>
      <c r="L17" s="2">
        <f>+K17*D17</f>
        <v>20.16364</v>
      </c>
      <c r="M17" s="25">
        <f>+'2001PILRecoveryAmt'!M17</f>
        <v>0</v>
      </c>
      <c r="N17" s="25">
        <f>+L17+M17</f>
        <v>20.16364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12897.64</v>
      </c>
      <c r="F22" s="2">
        <f>+'2001PILRecoveryAmt'!J20</f>
        <v>70786.41666666667</v>
      </c>
      <c r="H22" s="2">
        <f>+C22-F22</f>
        <v>-57888.77666666667</v>
      </c>
      <c r="J22" s="29"/>
      <c r="K22" s="3">
        <f>+'2001PILRecoveryAmt'!H20</f>
        <v>0.07855470152583417</v>
      </c>
      <c r="L22" s="2">
        <f>+K22*C22</f>
        <v>1013.1702605876598</v>
      </c>
      <c r="M22" s="25">
        <f>+'2001PILRecoveryAmt'!M20</f>
        <v>2383.1158333333333</v>
      </c>
      <c r="N22" s="25">
        <f>+L22+M22</f>
        <v>3396.286093920993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15840.68</v>
      </c>
      <c r="H23" s="2">
        <f>+C23-F23</f>
        <v>15840.68</v>
      </c>
      <c r="J23" s="29"/>
      <c r="K23" s="3">
        <f>+'2001PILRecoveryAmt'!H20</f>
        <v>0.07855470152583417</v>
      </c>
      <c r="L23" s="2">
        <f>+K23*C23</f>
        <v>1244.3598893662509</v>
      </c>
      <c r="M23" s="25"/>
      <c r="N23" s="25">
        <f>+L23+M23</f>
        <v>1244.3598893662509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38569.89</v>
      </c>
      <c r="H24" s="2">
        <f>+C24-F24</f>
        <v>38569.89</v>
      </c>
      <c r="J24" s="29"/>
      <c r="K24" s="3">
        <f>+'2001PILRecoveryAmt'!H20</f>
        <v>0.07855470152583417</v>
      </c>
      <c r="L24" s="2">
        <f>+K24*C24</f>
        <v>3029.8461968342563</v>
      </c>
      <c r="M24" s="25"/>
      <c r="N24" s="25">
        <f>+L24+M24</f>
        <v>3029.8461968342563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578.28+1990.42</f>
        <v>2568.7</v>
      </c>
      <c r="H25" s="2">
        <f>+C25-F25</f>
        <v>2568.7</v>
      </c>
      <c r="J25" s="29"/>
      <c r="K25" s="3">
        <f>+'2001PILRecoveryAmt'!H20</f>
        <v>0.07855470152583417</v>
      </c>
      <c r="L25" s="2">
        <f>+K25*C25</f>
        <v>201.78346180941023</v>
      </c>
      <c r="M25" s="25"/>
      <c r="N25" s="25">
        <f>+L25+M25</f>
        <v>201.78346180941023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7053.72</v>
      </c>
      <c r="F30" s="2">
        <f>+'2001PILRecoveryAmt'!J28</f>
        <v>7063.666666666667</v>
      </c>
      <c r="H30" s="2">
        <f>+C30-F30</f>
        <v>-9.946666666666715</v>
      </c>
      <c r="J30" s="29"/>
      <c r="K30" s="3">
        <f>+'2001PILRecoveryAmt'!H28</f>
        <v>0.030359704591571893</v>
      </c>
      <c r="L30" s="2">
        <f>+K30*C30</f>
        <v>214.1488554716625</v>
      </c>
      <c r="M30" s="25">
        <f>+'2001PILRecoveryAmt'!M28</f>
        <v>498.01000000000005</v>
      </c>
      <c r="N30" s="25">
        <f>+L30+M30</f>
        <v>712.1588554716625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3225.6</v>
      </c>
      <c r="F34" s="2">
        <f>+'2001PILRecoveryAmt'!J32</f>
        <v>3274.5</v>
      </c>
      <c r="H34" s="2">
        <f>+C34-F34</f>
        <v>-48.90000000000009</v>
      </c>
      <c r="J34" s="29"/>
      <c r="K34" s="3">
        <f>+'2001PILRecoveryAmt'!H32</f>
        <v>0.1492698630834224</v>
      </c>
      <c r="L34" s="2">
        <f>+K34*C34</f>
        <v>481.4848703618873</v>
      </c>
      <c r="M34" s="25">
        <f>+'2001PILRecoveryAmt'!M32</f>
        <v>209.47833333333332</v>
      </c>
      <c r="N34" s="25">
        <f>+L34+M34</f>
        <v>690.9632036952206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802.77</v>
      </c>
      <c r="F37" s="2">
        <f>+'2001PILRecoveryAmt'!J35</f>
        <v>1905.8333333333333</v>
      </c>
      <c r="H37" s="2">
        <f>+C37-F37</f>
        <v>-1103.0633333333333</v>
      </c>
      <c r="J37" s="29"/>
      <c r="K37" s="3">
        <f>+'2001PILRecoveryAmt'!H35</f>
        <v>0.21259247923043287</v>
      </c>
      <c r="L37" s="2">
        <f>+K37*C37</f>
        <v>170.66286455181458</v>
      </c>
      <c r="M37" s="25">
        <f>+'2001PILRecoveryAmt'!M35</f>
        <v>173.6425</v>
      </c>
      <c r="N37" s="25">
        <f>+L37+M37</f>
        <v>344.3053645518146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81833.91</v>
      </c>
      <c r="D45" s="14">
        <f>SUM(D9:D44)</f>
        <v>16120848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-2124.256666666672</v>
      </c>
      <c r="I45" s="14">
        <f>SUM(I9:I43)</f>
        <v>-1203313.0833333328</v>
      </c>
      <c r="J45" s="29"/>
      <c r="K45" s="15"/>
      <c r="L45" s="14">
        <f>SUM(L9:L43)</f>
        <v>16259.790681365255</v>
      </c>
      <c r="M45" s="14">
        <f>SUM(M9:M43)</f>
        <v>13603.726666666667</v>
      </c>
      <c r="N45" s="14">
        <f>SUM(N9:N43)</f>
        <v>29863.51734803192</v>
      </c>
      <c r="O45" s="25"/>
    </row>
    <row r="46" spans="7:15" ht="12.75">
      <c r="G46" s="19" t="s">
        <v>102</v>
      </c>
      <c r="H46" s="2">
        <f>+C45-F45</f>
        <v>-2124.256666666668</v>
      </c>
      <c r="I46" s="2">
        <f>+D45-G45</f>
        <v>-1203020.083333332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4">
      <selection activeCell="F25" sqref="F25:J2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8985724</v>
      </c>
      <c r="G9" s="2">
        <f>+'2001PILRecoveryAmt'!K9</f>
        <v>10449948.666666666</v>
      </c>
      <c r="I9" s="2">
        <f>+D9-G9</f>
        <v>-1464224.666666666</v>
      </c>
      <c r="J9" s="29"/>
      <c r="K9" s="3">
        <f>+'2001PILRecoveryAmt'!I9</f>
        <v>0.0007005173964809906</v>
      </c>
      <c r="L9" s="2">
        <f>+K9*D9</f>
        <v>6294.655981976753</v>
      </c>
      <c r="M9" s="25">
        <f>+'2001PILRecoveryAmt'!M9</f>
        <v>7320.370000000002</v>
      </c>
      <c r="N9" s="25">
        <f>+L9+M9</f>
        <v>13615.025981976754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562276</v>
      </c>
      <c r="G10" s="2">
        <f>+'2001PILRecoveryAmt'!K10</f>
        <v>640442.5</v>
      </c>
      <c r="I10" s="2">
        <f>+D10-G10</f>
        <v>-78166.5</v>
      </c>
      <c r="J10" s="29"/>
      <c r="K10" s="3">
        <f>+'2001PILRecoveryAmt'!I10</f>
        <v>0.0008798643125651405</v>
      </c>
      <c r="L10" s="2">
        <f>+K10*D10</f>
        <v>494.72658621187696</v>
      </c>
      <c r="M10" s="25">
        <f>+'2001PILRecoveryAmt'!M10</f>
        <v>42.41416666666669</v>
      </c>
      <c r="N10" s="25">
        <f>+L10+M10</f>
        <v>537.1407528785437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264228</v>
      </c>
      <c r="G11" s="2">
        <f>+'2001PILRecoveryAmt'!K11</f>
        <v>341661.4166666667</v>
      </c>
      <c r="I11" s="2">
        <f>+D11-G11</f>
        <v>-77433.41666666669</v>
      </c>
      <c r="J11" s="29"/>
      <c r="K11" s="3">
        <f>+'2001PILRecoveryAmt'!I11</f>
        <v>1.8156376549200634E-05</v>
      </c>
      <c r="L11" s="2">
        <f>+K11*D11</f>
        <v>4.797423062842185</v>
      </c>
      <c r="M11" s="25">
        <f>+'2001PILRecoveryAmt'!M11</f>
        <v>148.88</v>
      </c>
      <c r="N11" s="25">
        <f>+L11+M11</f>
        <v>153.6774230628422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5187073</v>
      </c>
      <c r="G15" s="2">
        <f>+'2001PILRecoveryAmt'!K13</f>
        <v>5891815.5</v>
      </c>
      <c r="I15" s="2">
        <f>+D15-G15</f>
        <v>-704742.5</v>
      </c>
      <c r="J15" s="29"/>
      <c r="K15" s="3">
        <f>+'2001PILRecoveryAmt'!I13</f>
        <v>0.0004570149048285711</v>
      </c>
      <c r="L15" s="2">
        <f>+K15*D15</f>
        <v>2370.5696734338508</v>
      </c>
      <c r="M15" s="25">
        <f>+'2001PILRecoveryAmt'!M13</f>
        <v>2692.6483333333335</v>
      </c>
      <c r="N15" s="25">
        <f>+L15+M15</f>
        <v>5063.218006767184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27391</v>
      </c>
      <c r="G17" s="2">
        <f>+'2001PILRecoveryAmt'!K17</f>
        <v>0</v>
      </c>
      <c r="I17" s="2">
        <f>+D17-G17</f>
        <v>27391</v>
      </c>
      <c r="J17" s="29"/>
      <c r="K17" s="3">
        <v>0.00046</v>
      </c>
      <c r="L17" s="2">
        <f>+K17*D17</f>
        <v>12.59986</v>
      </c>
      <c r="M17" s="25">
        <f>+'2001PILRecoveryAmt'!M17</f>
        <v>0</v>
      </c>
      <c r="N17" s="25">
        <f>+L17+M17</f>
        <v>12.59986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13116.08</v>
      </c>
      <c r="F22" s="2">
        <f>+'2001PILRecoveryAmt'!J20</f>
        <v>70786.41666666667</v>
      </c>
      <c r="H22" s="2">
        <f>+C22-F22</f>
        <v>-57670.33666666667</v>
      </c>
      <c r="J22" s="29"/>
      <c r="K22" s="3">
        <f>+'2001PILRecoveryAmt'!H20</f>
        <v>0.07855470152583417</v>
      </c>
      <c r="L22" s="2">
        <f>+K22*C22</f>
        <v>1030.329749588963</v>
      </c>
      <c r="M22" s="25">
        <f>+'2001PILRecoveryAmt'!M20</f>
        <v>2383.1158333333333</v>
      </c>
      <c r="N22" s="25">
        <f>+L22+M22</f>
        <v>3413.445582922296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15781.46</v>
      </c>
      <c r="H23" s="2">
        <f>+C23-F23</f>
        <v>15781.46</v>
      </c>
      <c r="J23" s="29"/>
      <c r="K23" s="3">
        <f>+'2001PILRecoveryAmt'!H20</f>
        <v>0.07855470152583417</v>
      </c>
      <c r="L23" s="2">
        <f>+K23*C23</f>
        <v>1239.707879941891</v>
      </c>
      <c r="M23" s="25"/>
      <c r="N23" s="25">
        <f>+L23+M23</f>
        <v>1239.707879941891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38699.73</v>
      </c>
      <c r="H24" s="2">
        <f>+C24-F24</f>
        <v>38699.73</v>
      </c>
      <c r="J24" s="29"/>
      <c r="K24" s="3">
        <f>+'2001PILRecoveryAmt'!H20</f>
        <v>0.07855470152583417</v>
      </c>
      <c r="L24" s="2">
        <f>+K24*C24</f>
        <v>3040.0457392803705</v>
      </c>
      <c r="M24" s="25"/>
      <c r="N24" s="25">
        <f>+L24+M24</f>
        <v>3040.0457392803705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8.06+1951.46</f>
        <v>1959.52</v>
      </c>
      <c r="H25" s="2">
        <f>+C25-F25</f>
        <v>1959.52</v>
      </c>
      <c r="J25" s="29"/>
      <c r="K25" s="3">
        <f>+'2001PILRecoveryAmt'!H20</f>
        <v>0.07855470152583417</v>
      </c>
      <c r="L25" s="2">
        <f>+K25*C25</f>
        <v>153.92950873390257</v>
      </c>
      <c r="M25" s="25"/>
      <c r="N25" s="25">
        <f>+L25+M25</f>
        <v>153.92950873390257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7051.72</v>
      </c>
      <c r="F30" s="2">
        <f>+'2001PILRecoveryAmt'!J28</f>
        <v>7063.666666666667</v>
      </c>
      <c r="H30" s="2">
        <f>+C30-F30</f>
        <v>-11.946666666666715</v>
      </c>
      <c r="J30" s="29"/>
      <c r="K30" s="3">
        <f>+'2001PILRecoveryAmt'!H28</f>
        <v>0.030359704591571893</v>
      </c>
      <c r="L30" s="2">
        <f>+K30*C30</f>
        <v>214.08813606247935</v>
      </c>
      <c r="M30" s="25">
        <f>+'2001PILRecoveryAmt'!M28</f>
        <v>498.01000000000005</v>
      </c>
      <c r="N30" s="25">
        <f>+L30+M30</f>
        <v>712.0981360624794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3240.95</v>
      </c>
      <c r="F34" s="2">
        <f>+'2001PILRecoveryAmt'!J32</f>
        <v>3274.5</v>
      </c>
      <c r="H34" s="2">
        <f>+C34-F34</f>
        <v>-33.55000000000018</v>
      </c>
      <c r="J34" s="29"/>
      <c r="K34" s="3">
        <f>+'2001PILRecoveryAmt'!H32</f>
        <v>0.1492698630834224</v>
      </c>
      <c r="L34" s="2">
        <f>+K34*C34</f>
        <v>483.77616276021786</v>
      </c>
      <c r="M34" s="25">
        <f>+'2001PILRecoveryAmt'!M32</f>
        <v>209.47833333333332</v>
      </c>
      <c r="N34" s="25">
        <f>+L34+M34</f>
        <v>693.2544960935512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1017.6</v>
      </c>
      <c r="F37" s="2">
        <f>+'2001PILRecoveryAmt'!J35</f>
        <v>1905.8333333333333</v>
      </c>
      <c r="H37" s="2">
        <f>+C37-F37</f>
        <v>-888.2333333333332</v>
      </c>
      <c r="J37" s="29"/>
      <c r="K37" s="3">
        <f>+'2001PILRecoveryAmt'!H35</f>
        <v>0.21259247923043287</v>
      </c>
      <c r="L37" s="2">
        <f>+K37*C37</f>
        <v>216.3341068648885</v>
      </c>
      <c r="M37" s="25">
        <f>+'2001PILRecoveryAmt'!M35</f>
        <v>173.6425</v>
      </c>
      <c r="N37" s="25">
        <f>+L37+M37</f>
        <v>389.9766068648885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81741.97000000002</v>
      </c>
      <c r="D45" s="14">
        <f>SUM(D9:D44)</f>
        <v>15147285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-2216.196666666667</v>
      </c>
      <c r="I45" s="14">
        <f>SUM(I9:I43)</f>
        <v>-2176876.083333333</v>
      </c>
      <c r="J45" s="29"/>
      <c r="K45" s="15"/>
      <c r="L45" s="14">
        <f>SUM(L9:L43)</f>
        <v>15661.511462336835</v>
      </c>
      <c r="M45" s="14">
        <f>SUM(M9:M43)</f>
        <v>13603.726666666667</v>
      </c>
      <c r="N45" s="14">
        <f>SUM(N9:N43)</f>
        <v>29265.238129003505</v>
      </c>
      <c r="O45" s="25"/>
    </row>
    <row r="46" spans="7:15" ht="12.75">
      <c r="G46" s="19" t="s">
        <v>102</v>
      </c>
      <c r="H46" s="2">
        <f>+C45-F45</f>
        <v>-2216.196666666656</v>
      </c>
      <c r="I46" s="2">
        <f>+D45-G45</f>
        <v>-2176583.083333332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-293.0000000009313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4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9837223</v>
      </c>
      <c r="G9" s="2">
        <f>+'2001PILRecoveryAmt'!K9</f>
        <v>10449948.666666666</v>
      </c>
      <c r="I9" s="2">
        <f>+D9-G9</f>
        <v>-612725.666666666</v>
      </c>
      <c r="J9" s="29"/>
      <c r="K9" s="3">
        <f>+'2001PILRecoveryAmt'!I9</f>
        <v>0.0007005173964809906</v>
      </c>
      <c r="L9" s="2">
        <f>+K9*D9</f>
        <v>6891.14584456292</v>
      </c>
      <c r="M9" s="25">
        <f>+'2001PILRecoveryAmt'!M9</f>
        <v>7320.370000000002</v>
      </c>
      <c r="N9" s="25">
        <f>+L9+M9</f>
        <v>14211.51584456292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643344</v>
      </c>
      <c r="G10" s="2">
        <f>+'2001PILRecoveryAmt'!K10</f>
        <v>640442.5</v>
      </c>
      <c r="I10" s="2">
        <f>+D10-G10</f>
        <v>2901.5</v>
      </c>
      <c r="J10" s="29"/>
      <c r="K10" s="3">
        <f>+'2001PILRecoveryAmt'!I10</f>
        <v>0.0008798643125651405</v>
      </c>
      <c r="L10" s="2">
        <f>+K10*D10</f>
        <v>566.0554263029078</v>
      </c>
      <c r="M10" s="25">
        <f>+'2001PILRecoveryAmt'!M10</f>
        <v>42.41416666666669</v>
      </c>
      <c r="N10" s="25">
        <f>+L10+M10</f>
        <v>608.4695929695745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336565</v>
      </c>
      <c r="G11" s="2">
        <f>+'2001PILRecoveryAmt'!K11</f>
        <v>341661.4166666667</v>
      </c>
      <c r="I11" s="2">
        <f>+D11-G11</f>
        <v>-5096.416666666686</v>
      </c>
      <c r="J11" s="29"/>
      <c r="K11" s="3">
        <f>+'2001PILRecoveryAmt'!I11</f>
        <v>1.8156376549200634E-05</v>
      </c>
      <c r="L11" s="2">
        <f>+K11*D11</f>
        <v>6.110800873281711</v>
      </c>
      <c r="M11" s="25">
        <f>+'2001PILRecoveryAmt'!M11</f>
        <v>148.88</v>
      </c>
      <c r="N11" s="25">
        <f>+L11+M11</f>
        <v>154.9908008732817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5715279</v>
      </c>
      <c r="G15" s="2">
        <f>+'2001PILRecoveryAmt'!K13</f>
        <v>5891815.5</v>
      </c>
      <c r="I15" s="2">
        <f>+D15-G15</f>
        <v>-176536.5</v>
      </c>
      <c r="J15" s="29"/>
      <c r="K15" s="3">
        <f>+'2001PILRecoveryAmt'!I13</f>
        <v>0.0004570149048285711</v>
      </c>
      <c r="L15" s="2">
        <f>+K15*D15</f>
        <v>2611.967688253731</v>
      </c>
      <c r="M15" s="25">
        <f>+'2001PILRecoveryAmt'!M13</f>
        <v>2692.6483333333335</v>
      </c>
      <c r="N15" s="25">
        <f>+L15+M15</f>
        <v>5304.616021587064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28772</v>
      </c>
      <c r="G17" s="2">
        <f>+'2001PILRecoveryAmt'!K17</f>
        <v>0</v>
      </c>
      <c r="I17" s="2">
        <f>+D17-G17</f>
        <v>28772</v>
      </c>
      <c r="J17" s="29"/>
      <c r="K17" s="3">
        <v>0.00046</v>
      </c>
      <c r="L17" s="2">
        <f>+K17*D17</f>
        <v>13.23512</v>
      </c>
      <c r="M17" s="25">
        <f>+'2001PILRecoveryAmt'!M17</f>
        <v>0</v>
      </c>
      <c r="N17" s="25">
        <f>+L17+M17</f>
        <v>13.23512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14036.36</v>
      </c>
      <c r="F22" s="2">
        <f>+'2001PILRecoveryAmt'!J20</f>
        <v>70786.41666666667</v>
      </c>
      <c r="H22" s="2">
        <f>+C22-F22</f>
        <v>-56750.05666666667</v>
      </c>
      <c r="J22" s="29"/>
      <c r="K22" s="3">
        <f>+'2001PILRecoveryAmt'!H20</f>
        <v>0.07855470152583417</v>
      </c>
      <c r="L22" s="2">
        <f>+K22*C22</f>
        <v>1102.6220703091578</v>
      </c>
      <c r="M22" s="25">
        <f>+'2001PILRecoveryAmt'!M20</f>
        <v>2383.1158333333333</v>
      </c>
      <c r="N22" s="25">
        <f>+L22+M22</f>
        <v>3485.737903642491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17152.31</v>
      </c>
      <c r="H23" s="2">
        <f>+C23-F23</f>
        <v>17152.31</v>
      </c>
      <c r="J23" s="29"/>
      <c r="K23" s="3">
        <f>+'2001PILRecoveryAmt'!H20</f>
        <v>0.07855470152583417</v>
      </c>
      <c r="L23" s="2">
        <f>+K23*C23</f>
        <v>1347.394592528581</v>
      </c>
      <c r="M23" s="25"/>
      <c r="N23" s="25">
        <f>+L23+M23</f>
        <v>1347.394592528581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38223.78</v>
      </c>
      <c r="H24" s="2">
        <f>+C24-F24</f>
        <v>38223.78</v>
      </c>
      <c r="J24" s="29"/>
      <c r="K24" s="3">
        <f>+'2001PILRecoveryAmt'!H20</f>
        <v>0.07855470152583417</v>
      </c>
      <c r="L24" s="2">
        <f>+K24*C24</f>
        <v>3002.65762908915</v>
      </c>
      <c r="M24" s="25"/>
      <c r="N24" s="25">
        <f>+L24+M24</f>
        <v>3002.65762908915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278.34+1698.3</f>
        <v>1976.6399999999999</v>
      </c>
      <c r="H25" s="2">
        <f>+C25-F25</f>
        <v>1976.6399999999999</v>
      </c>
      <c r="J25" s="29"/>
      <c r="K25" s="3">
        <f>+'2001PILRecoveryAmt'!H20</f>
        <v>0.07855470152583417</v>
      </c>
      <c r="L25" s="2">
        <f>+K25*C25</f>
        <v>155.27436522402485</v>
      </c>
      <c r="M25" s="25"/>
      <c r="N25" s="25">
        <f>+L25+M25</f>
        <v>155.27436522402485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7134.86</v>
      </c>
      <c r="F30" s="2">
        <f>+'2001PILRecoveryAmt'!J28</f>
        <v>7063.666666666667</v>
      </c>
      <c r="H30" s="2">
        <f>+C30-F30</f>
        <v>71.1933333333327</v>
      </c>
      <c r="J30" s="29"/>
      <c r="K30" s="3">
        <f>+'2001PILRecoveryAmt'!H28</f>
        <v>0.030359704591571893</v>
      </c>
      <c r="L30" s="2">
        <f>+K30*C30</f>
        <v>216.61224190222262</v>
      </c>
      <c r="M30" s="25">
        <f>+'2001PILRecoveryAmt'!M28</f>
        <v>498.01000000000005</v>
      </c>
      <c r="N30" s="25">
        <f>+L30+M30</f>
        <v>714.6222419022226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3313.53</v>
      </c>
      <c r="F34" s="2">
        <f>+'2001PILRecoveryAmt'!J32</f>
        <v>3274.5</v>
      </c>
      <c r="H34" s="2">
        <f>+C34-F34</f>
        <v>39.0300000000002</v>
      </c>
      <c r="J34" s="29"/>
      <c r="K34" s="3">
        <f>+'2001PILRecoveryAmt'!H32</f>
        <v>0.1492698630834224</v>
      </c>
      <c r="L34" s="2">
        <f>+K34*C34</f>
        <v>494.6101694228127</v>
      </c>
      <c r="M34" s="25">
        <f>+'2001PILRecoveryAmt'!M32</f>
        <v>209.47833333333332</v>
      </c>
      <c r="N34" s="25">
        <f>+L34+M34</f>
        <v>704.088502756146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950.4</v>
      </c>
      <c r="F37" s="2">
        <f>+'2001PILRecoveryAmt'!J35</f>
        <v>1905.8333333333333</v>
      </c>
      <c r="H37" s="2">
        <f>+C37-F37</f>
        <v>-955.4333333333333</v>
      </c>
      <c r="J37" s="29"/>
      <c r="K37" s="3">
        <f>+'2001PILRecoveryAmt'!H35</f>
        <v>0.21259247923043287</v>
      </c>
      <c r="L37" s="2">
        <f>+K37*C37</f>
        <v>202.0478922606034</v>
      </c>
      <c r="M37" s="25">
        <f>+'2001PILRecoveryAmt'!M35</f>
        <v>173.6425</v>
      </c>
      <c r="N37" s="25">
        <f>+L37+M37</f>
        <v>375.6903922606034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258.53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83662.79</v>
      </c>
      <c r="D45" s="14">
        <f>SUM(D9:D44)</f>
        <v>16681741.53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-295.376666666675</v>
      </c>
      <c r="I45" s="14">
        <f>SUM(I9:I43)</f>
        <v>-642385.0833333328</v>
      </c>
      <c r="J45" s="29"/>
      <c r="K45" s="15"/>
      <c r="L45" s="14">
        <f>SUM(L9:L43)</f>
        <v>16715.68449514819</v>
      </c>
      <c r="M45" s="14">
        <f>SUM(M9:M43)</f>
        <v>13603.726666666667</v>
      </c>
      <c r="N45" s="14">
        <f>SUM(N9:N43)</f>
        <v>30319.411161814856</v>
      </c>
      <c r="O45" s="25"/>
    </row>
    <row r="46" spans="7:15" ht="12.75">
      <c r="G46" s="19" t="s">
        <v>102</v>
      </c>
      <c r="H46" s="2">
        <f>+C45-F45</f>
        <v>-295.3766666666779</v>
      </c>
      <c r="I46" s="2">
        <f>+D45-G45</f>
        <v>-642126.5533333328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-258.53000000002794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10869356</v>
      </c>
      <c r="G9" s="2">
        <f>+'2001PILRecoveryAmt'!K9</f>
        <v>10449948.666666666</v>
      </c>
      <c r="I9" s="2">
        <f>+D9-G9</f>
        <v>419407.33333333395</v>
      </c>
      <c r="J9" s="29"/>
      <c r="K9" s="3">
        <f>+'2001PILRecoveryAmt'!I9</f>
        <v>0.0007005173964809906</v>
      </c>
      <c r="L9" s="2">
        <f>+K9*D9</f>
        <v>7614.172966545034</v>
      </c>
      <c r="M9" s="25">
        <f>+'2001PILRecoveryAmt'!M9</f>
        <v>7320.370000000002</v>
      </c>
      <c r="N9" s="25">
        <f>+L9+M9</f>
        <v>14934.542966545036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765192</v>
      </c>
      <c r="G10" s="2">
        <f>+'2001PILRecoveryAmt'!K10</f>
        <v>640442.5</v>
      </c>
      <c r="I10" s="2">
        <f>+D10-G10</f>
        <v>124749.5</v>
      </c>
      <c r="J10" s="29"/>
      <c r="K10" s="3">
        <f>+'2001PILRecoveryAmt'!I10</f>
        <v>0.0008798643125651405</v>
      </c>
      <c r="L10" s="2">
        <f>+K10*D10</f>
        <v>673.265133060345</v>
      </c>
      <c r="M10" s="25">
        <f>+'2001PILRecoveryAmt'!M10</f>
        <v>42.41416666666669</v>
      </c>
      <c r="N10" s="25">
        <f>+L10+M10</f>
        <v>715.6792997270117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384670</v>
      </c>
      <c r="G11" s="2">
        <f>+'2001PILRecoveryAmt'!K11</f>
        <v>341661.4166666667</v>
      </c>
      <c r="I11" s="2">
        <f>+D11-G11</f>
        <v>43008.583333333314</v>
      </c>
      <c r="J11" s="29"/>
      <c r="K11" s="3">
        <f>+'2001PILRecoveryAmt'!I11</f>
        <v>1.8156376549200634E-05</v>
      </c>
      <c r="L11" s="2">
        <f>+K11*D11</f>
        <v>6.984213367181008</v>
      </c>
      <c r="M11" s="25">
        <f>+'2001PILRecoveryAmt'!M11</f>
        <v>148.88</v>
      </c>
      <c r="N11" s="25">
        <f>+L11+M11</f>
        <v>155.864213367181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6141188</v>
      </c>
      <c r="G15" s="2">
        <f>+'2001PILRecoveryAmt'!K13</f>
        <v>5891815.5</v>
      </c>
      <c r="I15" s="2">
        <f>+D15-G15</f>
        <v>249372.5</v>
      </c>
      <c r="J15" s="29"/>
      <c r="K15" s="3">
        <f>+'2001PILRecoveryAmt'!I13</f>
        <v>0.0004570149048285711</v>
      </c>
      <c r="L15" s="2">
        <f>+K15*D15</f>
        <v>2806.614449354363</v>
      </c>
      <c r="M15" s="25">
        <f>+'2001PILRecoveryAmt'!M13</f>
        <v>2692.6483333333335</v>
      </c>
      <c r="N15" s="25">
        <f>+L15+M15</f>
        <v>5499.262782687696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18400</v>
      </c>
      <c r="G17" s="2">
        <f>+'2001PILRecoveryAmt'!K17</f>
        <v>0</v>
      </c>
      <c r="I17" s="2">
        <f>+D17-G17</f>
        <v>18400</v>
      </c>
      <c r="J17" s="29"/>
      <c r="K17" s="3">
        <v>0.00046</v>
      </c>
      <c r="L17" s="2">
        <f>+K17*D17</f>
        <v>8.464</v>
      </c>
      <c r="M17" s="25">
        <f>+'2001PILRecoveryAmt'!M17</f>
        <v>0</v>
      </c>
      <c r="N17" s="25">
        <f>+L17+M17</f>
        <v>8.464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14069.14</v>
      </c>
      <c r="F22" s="2">
        <f>+'2001PILRecoveryAmt'!J20</f>
        <v>70786.41666666667</v>
      </c>
      <c r="H22" s="2">
        <f>+C22-F22</f>
        <v>-56717.27666666667</v>
      </c>
      <c r="J22" s="29"/>
      <c r="K22" s="3">
        <f>+'2001PILRecoveryAmt'!H20</f>
        <v>0.07855470152583417</v>
      </c>
      <c r="L22" s="2">
        <f>+K22*C22</f>
        <v>1105.1970934251744</v>
      </c>
      <c r="M22" s="25">
        <f>+'2001PILRecoveryAmt'!M20</f>
        <v>2383.1158333333333</v>
      </c>
      <c r="N22" s="25">
        <f>+L22+M22</f>
        <v>3488.3129267585077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16895.13</v>
      </c>
      <c r="H23" s="2">
        <f>+C23-F23</f>
        <v>16895.13</v>
      </c>
      <c r="J23" s="29"/>
      <c r="K23" s="3">
        <f>+'2001PILRecoveryAmt'!H20</f>
        <v>0.07855470152583417</v>
      </c>
      <c r="L23" s="2">
        <f>+K23*C23</f>
        <v>1327.1918943901667</v>
      </c>
      <c r="M23" s="25"/>
      <c r="N23" s="25">
        <f>+L23+M23</f>
        <v>1327.1918943901667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36977.99</v>
      </c>
      <c r="H24" s="2">
        <f>+C24-F24</f>
        <v>36977.99</v>
      </c>
      <c r="J24" s="29"/>
      <c r="K24" s="3">
        <f>+'2001PILRecoveryAmt'!H20</f>
        <v>0.07855470152583417</v>
      </c>
      <c r="L24" s="2">
        <f>+K24*C24</f>
        <v>2904.794967475281</v>
      </c>
      <c r="M24" s="25"/>
      <c r="N24" s="25">
        <f>+L24+M24</f>
        <v>2904.794967475281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286.8+1570.11</f>
        <v>1856.9099999999999</v>
      </c>
      <c r="H25" s="2">
        <f>+C25-F25</f>
        <v>1856.9099999999999</v>
      </c>
      <c r="J25" s="29"/>
      <c r="K25" s="3">
        <f>+'2001PILRecoveryAmt'!H20</f>
        <v>0.07855470152583417</v>
      </c>
      <c r="L25" s="2">
        <f>+K25*C25</f>
        <v>145.86901081033673</v>
      </c>
      <c r="M25" s="25"/>
      <c r="N25" s="25">
        <f>+L25+M25</f>
        <v>145.86901081033673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6859.21</v>
      </c>
      <c r="F30" s="2">
        <f>+'2001PILRecoveryAmt'!J28</f>
        <v>7063.666666666667</v>
      </c>
      <c r="H30" s="2">
        <f>+C30-F30</f>
        <v>-204.45666666666693</v>
      </c>
      <c r="J30" s="29"/>
      <c r="K30" s="3">
        <f>+'2001PILRecoveryAmt'!H28</f>
        <v>0.030359704591571893</v>
      </c>
      <c r="L30" s="2">
        <f>+K30*C30</f>
        <v>208.24358933155585</v>
      </c>
      <c r="M30" s="25">
        <f>+'2001PILRecoveryAmt'!M28</f>
        <v>498.01000000000005</v>
      </c>
      <c r="N30" s="25">
        <f>+L30+M30</f>
        <v>706.2535893315559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3281.43</v>
      </c>
      <c r="F34" s="2">
        <f>+'2001PILRecoveryAmt'!J32</f>
        <v>3274.5</v>
      </c>
      <c r="H34" s="2">
        <f>+C34-F34</f>
        <v>6.929999999999836</v>
      </c>
      <c r="J34" s="29"/>
      <c r="K34" s="3">
        <f>+'2001PILRecoveryAmt'!H32</f>
        <v>0.1492698630834224</v>
      </c>
      <c r="L34" s="2">
        <f>+K34*C34</f>
        <v>489.8186068178348</v>
      </c>
      <c r="M34" s="25">
        <f>+'2001PILRecoveryAmt'!M32</f>
        <v>209.47833333333332</v>
      </c>
      <c r="N34" s="25">
        <f>+L34+M34</f>
        <v>699.2969401511681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393.6</v>
      </c>
      <c r="F37" s="2">
        <f>+'2001PILRecoveryAmt'!J35</f>
        <v>1905.8333333333333</v>
      </c>
      <c r="H37" s="2">
        <f>+C37-F37</f>
        <v>-1512.2333333333331</v>
      </c>
      <c r="J37" s="29"/>
      <c r="K37" s="3">
        <f>+'2001PILRecoveryAmt'!H35</f>
        <v>0.21259247923043287</v>
      </c>
      <c r="L37" s="2">
        <f>+K37*C37</f>
        <v>83.67639982509839</v>
      </c>
      <c r="M37" s="25">
        <f>+'2001PILRecoveryAmt'!M35</f>
        <v>173.6425</v>
      </c>
      <c r="N37" s="25">
        <f>+L37+M37</f>
        <v>257.3188998250984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81208.32</v>
      </c>
      <c r="D45" s="14">
        <f>SUM(D9:D44)</f>
        <v>18297552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-2749.8466666666695</v>
      </c>
      <c r="I45" s="14">
        <f>SUM(I9:I43)</f>
        <v>973437.9166666672</v>
      </c>
      <c r="J45" s="29"/>
      <c r="K45" s="15"/>
      <c r="L45" s="14">
        <f>SUM(L9:L43)</f>
        <v>17479.42035199248</v>
      </c>
      <c r="M45" s="14">
        <f>SUM(M9:M43)</f>
        <v>13603.726666666667</v>
      </c>
      <c r="N45" s="14">
        <f>SUM(N9:N43)</f>
        <v>31083.147018659143</v>
      </c>
      <c r="O45" s="25"/>
    </row>
    <row r="46" spans="7:15" ht="12.75">
      <c r="G46" s="19" t="s">
        <v>102</v>
      </c>
      <c r="H46" s="2">
        <f>+C45-F45</f>
        <v>-2749.8466666666645</v>
      </c>
      <c r="I46" s="2">
        <f>+D45-G45</f>
        <v>973683.9166666679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12294131</v>
      </c>
      <c r="G9" s="2">
        <f>+'2001PILRecoveryAmt'!K9</f>
        <v>10449948.666666666</v>
      </c>
      <c r="I9" s="2">
        <f>+D9-G9</f>
        <v>1844182.333333334</v>
      </c>
      <c r="J9" s="29"/>
      <c r="K9" s="3">
        <f>+'2001PILRecoveryAmt'!I9</f>
        <v>0.0007005173964809906</v>
      </c>
      <c r="L9" s="2">
        <f>+K9*D9</f>
        <v>8612.252640116238</v>
      </c>
      <c r="M9" s="25">
        <f>+'2001PILRecoveryAmt'!M9</f>
        <v>7320.370000000002</v>
      </c>
      <c r="N9" s="25">
        <f>+L9+M9</f>
        <v>15932.622640116238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823851</v>
      </c>
      <c r="G10" s="2">
        <f>+'2001PILRecoveryAmt'!K10</f>
        <v>640442.5</v>
      </c>
      <c r="I10" s="2">
        <f>+D10-G10</f>
        <v>183408.5</v>
      </c>
      <c r="J10" s="29"/>
      <c r="K10" s="3">
        <f>+'2001PILRecoveryAmt'!I10</f>
        <v>0.0008798643125651405</v>
      </c>
      <c r="L10" s="2">
        <f>+K10*D10</f>
        <v>724.8770937711035</v>
      </c>
      <c r="M10" s="25">
        <f>+'2001PILRecoveryAmt'!M10</f>
        <v>42.41416666666669</v>
      </c>
      <c r="N10" s="25">
        <f>+L10+M10</f>
        <v>767.2912604377702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432334</v>
      </c>
      <c r="G11" s="2">
        <f>+'2001PILRecoveryAmt'!K11</f>
        <v>341661.4166666667</v>
      </c>
      <c r="I11" s="2">
        <f>+D11-G11</f>
        <v>90672.58333333331</v>
      </c>
      <c r="J11" s="29"/>
      <c r="K11" s="3">
        <f>+'2001PILRecoveryAmt'!I11</f>
        <v>1.8156376549200634E-05</v>
      </c>
      <c r="L11" s="2">
        <f>+K11*D11</f>
        <v>7.849618899022107</v>
      </c>
      <c r="M11" s="25">
        <f>+'2001PILRecoveryAmt'!M11</f>
        <v>148.88</v>
      </c>
      <c r="N11" s="25">
        <f>+L11+M11</f>
        <v>156.7296188990221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6758802</v>
      </c>
      <c r="G15" s="2">
        <f>+'2001PILRecoveryAmt'!K13</f>
        <v>5891815.5</v>
      </c>
      <c r="I15" s="2">
        <f>+D15-G15</f>
        <v>866986.5</v>
      </c>
      <c r="J15" s="29"/>
      <c r="K15" s="3">
        <f>+'2001PILRecoveryAmt'!I13</f>
        <v>0.0004570149048285711</v>
      </c>
      <c r="L15" s="2">
        <f>+K15*D15</f>
        <v>3088.873252785156</v>
      </c>
      <c r="M15" s="25">
        <f>+'2001PILRecoveryAmt'!M13</f>
        <v>2692.6483333333335</v>
      </c>
      <c r="N15" s="25">
        <f>+L15+M15</f>
        <v>5781.52158611849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15760</v>
      </c>
      <c r="G17" s="2">
        <f>+'2001PILRecoveryAmt'!K17</f>
        <v>0</v>
      </c>
      <c r="I17" s="2">
        <f>+D17-G17</f>
        <v>15760</v>
      </c>
      <c r="J17" s="29"/>
      <c r="K17" s="3">
        <v>0.00046</v>
      </c>
      <c r="L17" s="2">
        <f>+K17*D17</f>
        <v>7.2496</v>
      </c>
      <c r="M17" s="25">
        <f>+'2001PILRecoveryAmt'!M17</f>
        <v>0</v>
      </c>
      <c r="N17" s="25">
        <f>+L17+M17</f>
        <v>7.2496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14704.9</v>
      </c>
      <c r="F22" s="2">
        <f>+'2001PILRecoveryAmt'!J20</f>
        <v>70786.41666666667</v>
      </c>
      <c r="H22" s="2">
        <f>+C22-F22</f>
        <v>-56081.51666666667</v>
      </c>
      <c r="J22" s="29"/>
      <c r="K22" s="3">
        <f>+'2001PILRecoveryAmt'!H20</f>
        <v>0.07855470152583417</v>
      </c>
      <c r="L22" s="2">
        <f>+K22*C22</f>
        <v>1155.1390304672389</v>
      </c>
      <c r="M22" s="25">
        <f>+'2001PILRecoveryAmt'!M20</f>
        <v>2383.1158333333333</v>
      </c>
      <c r="N22" s="25">
        <f>+L22+M22</f>
        <v>3538.254863800572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17504.11</v>
      </c>
      <c r="H23" s="2">
        <f>+C23-F23</f>
        <v>17504.11</v>
      </c>
      <c r="J23" s="29"/>
      <c r="K23" s="3">
        <f>+'2001PILRecoveryAmt'!H20</f>
        <v>0.07855470152583417</v>
      </c>
      <c r="L23" s="2">
        <f>+K23*C23</f>
        <v>1375.0301365253692</v>
      </c>
      <c r="M23" s="25"/>
      <c r="N23" s="25">
        <f>+L23+M23</f>
        <v>1375.0301365253692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36870.15</v>
      </c>
      <c r="H24" s="2">
        <f>+C24-F24</f>
        <v>36870.15</v>
      </c>
      <c r="J24" s="29"/>
      <c r="K24" s="3">
        <f>+'2001PILRecoveryAmt'!H20</f>
        <v>0.07855470152583417</v>
      </c>
      <c r="L24" s="2">
        <f>+K24*C24</f>
        <v>2896.323628462735</v>
      </c>
      <c r="M24" s="25"/>
      <c r="N24" s="25">
        <f>+L24+M24</f>
        <v>2896.323628462735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270.82+1490.99</f>
        <v>1761.81</v>
      </c>
      <c r="H25" s="2">
        <f>+C25-F25</f>
        <v>1761.81</v>
      </c>
      <c r="J25" s="29"/>
      <c r="K25" s="3">
        <f>+'2001PILRecoveryAmt'!H20</f>
        <v>0.07855470152583417</v>
      </c>
      <c r="L25" s="2">
        <f>+K25*C25</f>
        <v>138.3984586952299</v>
      </c>
      <c r="M25" s="25"/>
      <c r="N25" s="25">
        <f>+L25+M25</f>
        <v>138.3984586952299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6823.07</v>
      </c>
      <c r="F30" s="2">
        <f>+'2001PILRecoveryAmt'!J28</f>
        <v>7063.666666666667</v>
      </c>
      <c r="H30" s="2">
        <f>+C30-F30</f>
        <v>-240.59666666666726</v>
      </c>
      <c r="J30" s="29"/>
      <c r="K30" s="3">
        <f>+'2001PILRecoveryAmt'!H28</f>
        <v>0.030359704591571893</v>
      </c>
      <c r="L30" s="2">
        <f>+K30*C30</f>
        <v>207.14638960761644</v>
      </c>
      <c r="M30" s="25">
        <f>+'2001PILRecoveryAmt'!M28</f>
        <v>498.01000000000005</v>
      </c>
      <c r="N30" s="25">
        <f>+L30+M30</f>
        <v>705.1563896076165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3247.77</v>
      </c>
      <c r="F34" s="2">
        <f>+'2001PILRecoveryAmt'!J32</f>
        <v>3274.5</v>
      </c>
      <c r="H34" s="2">
        <f>+C34-F34</f>
        <v>-26.730000000000018</v>
      </c>
      <c r="J34" s="29"/>
      <c r="K34" s="3">
        <f>+'2001PILRecoveryAmt'!H32</f>
        <v>0.1492698630834224</v>
      </c>
      <c r="L34" s="2">
        <f>+K34*C34</f>
        <v>484.7941832264468</v>
      </c>
      <c r="M34" s="25">
        <f>+'2001PILRecoveryAmt'!M32</f>
        <v>209.47833333333332</v>
      </c>
      <c r="N34" s="25">
        <f>+L34+M34</f>
        <v>694.2725165597801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582.54</v>
      </c>
      <c r="F37" s="2">
        <f>+'2001PILRecoveryAmt'!J35</f>
        <v>1905.8333333333333</v>
      </c>
      <c r="H37" s="2">
        <f>+C37-F37</f>
        <v>-1323.2933333333333</v>
      </c>
      <c r="J37" s="29"/>
      <c r="K37" s="3">
        <f>+'2001PILRecoveryAmt'!H35</f>
        <v>0.21259247923043287</v>
      </c>
      <c r="L37" s="2">
        <f>+K37*C37</f>
        <v>123.84362285089635</v>
      </c>
      <c r="M37" s="25">
        <f>+'2001PILRecoveryAmt'!M35</f>
        <v>173.6425</v>
      </c>
      <c r="N37" s="25">
        <f>+L37+M37</f>
        <v>297.4861228508964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82373.42000000001</v>
      </c>
      <c r="D45" s="14">
        <f>SUM(D9:D44)</f>
        <v>20443624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-1584.7466666666687</v>
      </c>
      <c r="I45" s="14">
        <f>SUM(I9:I43)</f>
        <v>3119509.9166666674</v>
      </c>
      <c r="J45" s="29"/>
      <c r="K45" s="15"/>
      <c r="L45" s="14">
        <f>SUM(L9:L43)</f>
        <v>18927.148042242447</v>
      </c>
      <c r="M45" s="14">
        <f>SUM(M9:M43)</f>
        <v>13603.726666666667</v>
      </c>
      <c r="N45" s="14">
        <f>SUM(N9:N43)</f>
        <v>32530.874708909105</v>
      </c>
      <c r="O45" s="25"/>
    </row>
    <row r="46" spans="7:15" ht="12.75">
      <c r="G46" s="19" t="s">
        <v>102</v>
      </c>
      <c r="H46" s="2">
        <f>+C45-F45</f>
        <v>-1584.7466666666587</v>
      </c>
      <c r="I46" s="2">
        <f>+D45-G45</f>
        <v>3119755.916666668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-246.00000000046566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K14" sqref="K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174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13659527</v>
      </c>
      <c r="G9" s="2">
        <f>+'2001PILRecoveryAmt'!K9</f>
        <v>10449948.666666666</v>
      </c>
      <c r="I9" s="2">
        <f>+D9-G9</f>
        <v>3209578.333333334</v>
      </c>
      <c r="J9" s="29"/>
      <c r="K9" s="3">
        <f>+'2001PILRecoveryAmt'!I9</f>
        <v>0.0007005173964809906</v>
      </c>
      <c r="L9" s="2">
        <f>+K9*D9</f>
        <v>9568.736291201796</v>
      </c>
      <c r="M9" s="25">
        <f>+'2001PILRecoveryAmt'!M9</f>
        <v>7320.370000000002</v>
      </c>
      <c r="N9" s="25">
        <f>+L9+M9</f>
        <v>16889.1062912018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866162</v>
      </c>
      <c r="G10" s="2">
        <f>+'2001PILRecoveryAmt'!K10</f>
        <v>640442.5</v>
      </c>
      <c r="I10" s="2">
        <f>+D10-G10</f>
        <v>225719.5</v>
      </c>
      <c r="J10" s="29"/>
      <c r="K10" s="3">
        <f>+'2001PILRecoveryAmt'!I10</f>
        <v>0.0008798643125651405</v>
      </c>
      <c r="L10" s="2">
        <f>+K10*D10</f>
        <v>762.1050327000472</v>
      </c>
      <c r="M10" s="25">
        <f>+'2001PILRecoveryAmt'!M10</f>
        <v>42.41416666666669</v>
      </c>
      <c r="N10" s="25">
        <f>+L10+M10</f>
        <v>804.5191993667139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447571</v>
      </c>
      <c r="G11" s="2">
        <f>+'2001PILRecoveryAmt'!K11</f>
        <v>341661.4166666667</v>
      </c>
      <c r="I11" s="2">
        <f>+D11-G11</f>
        <v>105909.58333333331</v>
      </c>
      <c r="J11" s="29"/>
      <c r="K11" s="3">
        <f>+'2001PILRecoveryAmt'!I11</f>
        <v>1.8156376549200634E-05</v>
      </c>
      <c r="L11" s="2">
        <f>+K11*D11</f>
        <v>8.126267608502276</v>
      </c>
      <c r="M11" s="25">
        <f>+'2001PILRecoveryAmt'!M11</f>
        <v>148.88</v>
      </c>
      <c r="N11" s="25">
        <f>+L11+M11</f>
        <v>157.00626760850227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7009754-1912</f>
        <v>7007842</v>
      </c>
      <c r="G15" s="2">
        <f>+'2001PILRecoveryAmt'!K13</f>
        <v>5891815.5</v>
      </c>
      <c r="I15" s="2">
        <f>+D15-G15</f>
        <v>1116026.5</v>
      </c>
      <c r="J15" s="29"/>
      <c r="K15" s="3">
        <f>+'2001PILRecoveryAmt'!I13</f>
        <v>0.0004570149048285711</v>
      </c>
      <c r="L15" s="2">
        <f>+K15*D15</f>
        <v>3202.6882446836635</v>
      </c>
      <c r="M15" s="25">
        <f>+'2001PILRecoveryAmt'!M13</f>
        <v>2692.6483333333335</v>
      </c>
      <c r="N15" s="25">
        <f>+L15+M15</f>
        <v>5895.336578016997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18080</v>
      </c>
      <c r="G17" s="2">
        <f>+'2001PILRecoveryAmt'!K17</f>
        <v>0</v>
      </c>
      <c r="I17" s="2">
        <f>+D17-G17</f>
        <v>18080</v>
      </c>
      <c r="J17" s="29"/>
      <c r="K17" s="3">
        <v>0.00046</v>
      </c>
      <c r="L17" s="2">
        <f>+K17*D17</f>
        <v>8.3168</v>
      </c>
      <c r="M17" s="25">
        <f>+'2001PILRecoveryAmt'!M17</f>
        <v>0</v>
      </c>
      <c r="N17" s="25">
        <f>+L17+M17</f>
        <v>8.3168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14602.98</v>
      </c>
      <c r="F22" s="2">
        <f>+'2001PILRecoveryAmt'!J20</f>
        <v>70786.41666666667</v>
      </c>
      <c r="H22" s="2">
        <f>+C22-F22</f>
        <v>-56183.436666666676</v>
      </c>
      <c r="J22" s="29"/>
      <c r="K22" s="3">
        <f>+'2001PILRecoveryAmt'!H20</f>
        <v>0.07855470152583417</v>
      </c>
      <c r="L22" s="2">
        <f>+K22*C22</f>
        <v>1147.1327352877258</v>
      </c>
      <c r="M22" s="25">
        <f>+'2001PILRecoveryAmt'!M20</f>
        <v>2383.1158333333333</v>
      </c>
      <c r="N22" s="25">
        <f>+L22+M22</f>
        <v>3530.2485686210593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17622.77</v>
      </c>
      <c r="H23" s="2">
        <f>+C23-F23</f>
        <v>17622.77</v>
      </c>
      <c r="J23" s="29"/>
      <c r="K23" s="3">
        <f>+'2001PILRecoveryAmt'!H20</f>
        <v>0.07855470152583417</v>
      </c>
      <c r="L23" s="2">
        <f>+K23*C23</f>
        <v>1384.3514374084248</v>
      </c>
      <c r="M23" s="25"/>
      <c r="N23" s="25">
        <f>+L23+M23</f>
        <v>1384.3514374084248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35984.01</v>
      </c>
      <c r="H24" s="2">
        <f>+C24-F24</f>
        <v>35984.01</v>
      </c>
      <c r="J24" s="29"/>
      <c r="K24" s="3">
        <f>+'2001PILRecoveryAmt'!H20</f>
        <v>0.07855470152583417</v>
      </c>
      <c r="L24" s="2">
        <f>+K24*C24</f>
        <v>2826.7131652526323</v>
      </c>
      <c r="M24" s="25"/>
      <c r="N24" s="25">
        <f>+L24+M24</f>
        <v>2826.7131652526323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275.1+1512.6</f>
        <v>1787.6999999999998</v>
      </c>
      <c r="H25" s="2">
        <f>+C25-F25</f>
        <v>1787.6999999999998</v>
      </c>
      <c r="J25" s="29"/>
      <c r="K25" s="3">
        <f>+'2001PILRecoveryAmt'!H20</f>
        <v>0.07855470152583417</v>
      </c>
      <c r="L25" s="2">
        <f>+K25*C25</f>
        <v>140.43223991773374</v>
      </c>
      <c r="M25" s="25"/>
      <c r="N25" s="25">
        <f>+L25+M25</f>
        <v>140.43223991773374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6983.77</v>
      </c>
      <c r="F30" s="2">
        <f>+'2001PILRecoveryAmt'!J28</f>
        <v>7063.666666666667</v>
      </c>
      <c r="H30" s="2">
        <f>+C30-F30</f>
        <v>-79.89666666666653</v>
      </c>
      <c r="J30" s="29"/>
      <c r="K30" s="3">
        <f>+'2001PILRecoveryAmt'!H28</f>
        <v>0.030359704591571893</v>
      </c>
      <c r="L30" s="2">
        <f>+K30*C30</f>
        <v>212.02519413548205</v>
      </c>
      <c r="M30" s="25">
        <f>+'2001PILRecoveryAmt'!M28</f>
        <v>498.01000000000005</v>
      </c>
      <c r="N30" s="25">
        <f>+L30+M30</f>
        <v>710.0351941354821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3843.2</v>
      </c>
      <c r="F34" s="2">
        <f>+'2001PILRecoveryAmt'!J32</f>
        <v>3274.5</v>
      </c>
      <c r="H34" s="2">
        <f>+C34-F34</f>
        <v>568.6999999999998</v>
      </c>
      <c r="J34" s="29"/>
      <c r="K34" s="3">
        <f>+'2001PILRecoveryAmt'!H32</f>
        <v>0.1492698630834224</v>
      </c>
      <c r="L34" s="2">
        <f>+K34*C34</f>
        <v>573.673937802209</v>
      </c>
      <c r="M34" s="25">
        <f>+'2001PILRecoveryAmt'!M32</f>
        <v>209.47833333333332</v>
      </c>
      <c r="N34" s="25">
        <f>+L34+M34</f>
        <v>783.1522711355424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449.03</v>
      </c>
      <c r="F37" s="2">
        <f>+'2001PILRecoveryAmt'!J35</f>
        <v>1905.8333333333333</v>
      </c>
      <c r="H37" s="2">
        <f>+C37-F37</f>
        <v>-1456.8033333333333</v>
      </c>
      <c r="J37" s="29"/>
      <c r="K37" s="3">
        <f>+'2001PILRecoveryAmt'!H35</f>
        <v>0.21259247923043287</v>
      </c>
      <c r="L37" s="2">
        <f>+K37*C37</f>
        <v>95.46040094884127</v>
      </c>
      <c r="M37" s="25">
        <f>+'2001PILRecoveryAmt'!M35</f>
        <v>173.6425</v>
      </c>
      <c r="N37" s="25">
        <f>+L37+M37</f>
        <v>269.1029009488413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172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82152.53000000001</v>
      </c>
      <c r="D45" s="14">
        <f>SUM(D9:D44)</f>
        <v>22117928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-1805.6366666666697</v>
      </c>
      <c r="I45" s="14">
        <f>SUM(I9:I43)</f>
        <v>4793813.916666668</v>
      </c>
      <c r="J45" s="29"/>
      <c r="K45" s="15"/>
      <c r="L45" s="14">
        <f>SUM(L9:L43)</f>
        <v>20035.132133782452</v>
      </c>
      <c r="M45" s="14">
        <f>SUM(M9:M43)</f>
        <v>13603.726666666667</v>
      </c>
      <c r="N45" s="14">
        <f>SUM(N9:N43)</f>
        <v>33638.858800449125</v>
      </c>
      <c r="O45" s="25"/>
    </row>
    <row r="46" spans="7:15" ht="12.75">
      <c r="G46" s="19" t="s">
        <v>102</v>
      </c>
      <c r="H46" s="2">
        <f>+C45-F45</f>
        <v>-1805.6366666666581</v>
      </c>
      <c r="I46" s="2">
        <f>+D45-G45</f>
        <v>4794059.916666668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1">
      <selection activeCell="F14" sqref="F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171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13075904</v>
      </c>
      <c r="G9" s="2">
        <f>+'2001PILRecoveryAmt'!K9</f>
        <v>10449948.666666666</v>
      </c>
      <c r="I9" s="2">
        <f>+D9-G9</f>
        <v>2625955.333333334</v>
      </c>
      <c r="J9" s="29"/>
      <c r="K9" s="3">
        <f>+'2001PILRecoveryAmt'!I9</f>
        <v>0.0007005173964809906</v>
      </c>
      <c r="L9" s="2">
        <f>+K9*D9</f>
        <v>9159.898226715371</v>
      </c>
      <c r="M9" s="25">
        <f>+'2001PILRecoveryAmt'!M9</f>
        <v>7320.370000000002</v>
      </c>
      <c r="N9" s="25">
        <f>+L9+M9</f>
        <v>16480.268226715372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768827</v>
      </c>
      <c r="G10" s="2">
        <f>+'2001PILRecoveryAmt'!K10</f>
        <v>640442.5</v>
      </c>
      <c r="I10" s="2">
        <f>+D10-G10</f>
        <v>128384.5</v>
      </c>
      <c r="J10" s="29"/>
      <c r="K10" s="3">
        <f>+'2001PILRecoveryAmt'!I10</f>
        <v>0.0008798643125651405</v>
      </c>
      <c r="L10" s="2">
        <f>+K10*D10</f>
        <v>676.4634398365192</v>
      </c>
      <c r="M10" s="25">
        <f>+'2001PILRecoveryAmt'!M10</f>
        <v>42.41416666666669</v>
      </c>
      <c r="N10" s="25">
        <f>+L10+M10</f>
        <v>718.8776065031859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412764</v>
      </c>
      <c r="G11" s="2">
        <f>+'2001PILRecoveryAmt'!K11</f>
        <v>341661.4166666667</v>
      </c>
      <c r="I11" s="2">
        <f>+D11-G11</f>
        <v>71102.58333333331</v>
      </c>
      <c r="J11" s="29"/>
      <c r="K11" s="3">
        <f>+'2001PILRecoveryAmt'!I11</f>
        <v>1.8156376549200634E-05</v>
      </c>
      <c r="L11" s="2">
        <f>+K11*D11</f>
        <v>7.49429860995425</v>
      </c>
      <c r="M11" s="25">
        <f>+'2001PILRecoveryAmt'!M11</f>
        <v>148.88</v>
      </c>
      <c r="N11" s="25">
        <f>+L11+M11</f>
        <v>156.37429860995425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6609714</v>
      </c>
      <c r="G15" s="2">
        <f>+'2001PILRecoveryAmt'!K13</f>
        <v>5891815.5</v>
      </c>
      <c r="I15" s="2">
        <f>+D15-G15</f>
        <v>717898.5</v>
      </c>
      <c r="J15" s="29"/>
      <c r="K15" s="3">
        <f>+'2001PILRecoveryAmt'!I13</f>
        <v>0.0004570149048285711</v>
      </c>
      <c r="L15" s="2">
        <f>+K15*D15</f>
        <v>3020.737814654074</v>
      </c>
      <c r="M15" s="25">
        <f>+'2001PILRecoveryAmt'!M13</f>
        <v>2692.6483333333335</v>
      </c>
      <c r="N15" s="25">
        <f>+L15+M15</f>
        <v>5713.386147987408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19120</v>
      </c>
      <c r="I17" s="2">
        <f>+D17-G17</f>
        <v>19120</v>
      </c>
      <c r="J17" s="29"/>
      <c r="K17" s="3">
        <v>0.00046</v>
      </c>
      <c r="L17" s="2">
        <f>+K17*D17</f>
        <v>8.7952</v>
      </c>
      <c r="M17" s="25">
        <f>+'2001PILRecoveryAmt'!M17</f>
        <v>0</v>
      </c>
      <c r="N17" s="25">
        <f>+L17+M17</f>
        <v>8.7952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13772.82</v>
      </c>
      <c r="F22" s="2">
        <f>+'2001PILRecoveryAmt'!J20</f>
        <v>70786.41666666667</v>
      </c>
      <c r="H22" s="2">
        <f>+C22-F22</f>
        <v>-57013.59666666667</v>
      </c>
      <c r="J22" s="29"/>
      <c r="K22" s="3">
        <f>+'2001PILRecoveryAmt'!H20</f>
        <v>0.07855470152583417</v>
      </c>
      <c r="L22" s="2">
        <f>+K22*C22</f>
        <v>1081.9197642690394</v>
      </c>
      <c r="M22" s="25">
        <f>+'2001PILRecoveryAmt'!M20</f>
        <v>2383.1158333333333</v>
      </c>
      <c r="N22" s="25">
        <f>+L22+M22</f>
        <v>3465.035597602373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18214.401</v>
      </c>
      <c r="H23" s="2">
        <f>+C23-F23</f>
        <v>18214.401</v>
      </c>
      <c r="J23" s="29"/>
      <c r="K23" s="3">
        <f>+'2001PILRecoveryAmt'!H20</f>
        <v>0.07855470152583417</v>
      </c>
      <c r="L23" s="2">
        <f>+K23*C23</f>
        <v>1430.8268340268555</v>
      </c>
      <c r="M23" s="25"/>
      <c r="N23" s="25">
        <f>+L23+M23</f>
        <v>1430.8268340268555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35886.69</v>
      </c>
      <c r="H24" s="2">
        <f>+C24-F24</f>
        <v>35886.69</v>
      </c>
      <c r="J24" s="29"/>
      <c r="K24" s="3">
        <f>+'2001PILRecoveryAmt'!H20</f>
        <v>0.07855470152583417</v>
      </c>
      <c r="L24" s="2">
        <f>+K24*C24</f>
        <v>2819.068221700138</v>
      </c>
      <c r="M24" s="25"/>
      <c r="N24" s="25">
        <f>+L24+M24</f>
        <v>2819.068221700138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272.22+1525.6</f>
        <v>1797.82</v>
      </c>
      <c r="H25" s="2">
        <f>+C25-F25</f>
        <v>1797.82</v>
      </c>
      <c r="J25" s="29"/>
      <c r="K25" s="3">
        <f>+'2001PILRecoveryAmt'!H20</f>
        <v>0.07855470152583417</v>
      </c>
      <c r="L25" s="2">
        <f>+K25*C25</f>
        <v>141.2272134971752</v>
      </c>
      <c r="M25" s="25"/>
      <c r="N25" s="25">
        <f>+L25+M25</f>
        <v>141.2272134971752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6751.5</v>
      </c>
      <c r="F30" s="2">
        <f>+'2001PILRecoveryAmt'!J28</f>
        <v>7063.666666666667</v>
      </c>
      <c r="H30" s="2">
        <f>+C30-F30</f>
        <v>-312.16666666666697</v>
      </c>
      <c r="J30" s="29"/>
      <c r="K30" s="3">
        <f>+'2001PILRecoveryAmt'!H28</f>
        <v>0.030359704591571893</v>
      </c>
      <c r="L30" s="2">
        <f>+K30*C30</f>
        <v>204.97354554999765</v>
      </c>
      <c r="M30" s="25">
        <f>+'2001PILRecoveryAmt'!M28</f>
        <v>498.01000000000005</v>
      </c>
      <c r="N30" s="25">
        <f>+L30+M30</f>
        <v>702.9835455499976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3350.05</v>
      </c>
      <c r="F34" s="2">
        <f>+'2001PILRecoveryAmt'!J32</f>
        <v>3274.5</v>
      </c>
      <c r="H34" s="2">
        <f>+C34-F34</f>
        <v>75.55000000000018</v>
      </c>
      <c r="J34" s="29"/>
      <c r="K34" s="3">
        <f>+'2001PILRecoveryAmt'!H32</f>
        <v>0.1492698630834224</v>
      </c>
      <c r="L34" s="2">
        <f>+K34*C34</f>
        <v>500.06150482261927</v>
      </c>
      <c r="M34" s="25">
        <f>+'2001PILRecoveryAmt'!M32</f>
        <v>209.47833333333332</v>
      </c>
      <c r="N34" s="25">
        <f>+L34+M34</f>
        <v>709.5398381559526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1254.26</v>
      </c>
      <c r="F37" s="2">
        <f>+'2001PILRecoveryAmt'!J35</f>
        <v>1905.8333333333333</v>
      </c>
      <c r="H37" s="2">
        <f>+C37-F37</f>
        <v>-651.5733333333333</v>
      </c>
      <c r="J37" s="29"/>
      <c r="K37" s="3">
        <f>+'2001PILRecoveryAmt'!H35</f>
        <v>0.21259247923043287</v>
      </c>
      <c r="L37" s="2">
        <f>+K37*C37</f>
        <v>266.64624299956273</v>
      </c>
      <c r="M37" s="25">
        <f>+'2001PILRecoveryAmt'!M35</f>
        <v>173.6425</v>
      </c>
      <c r="N37" s="25">
        <f>+L37+M37</f>
        <v>440.2887429995627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172</v>
      </c>
      <c r="C43" s="2">
        <v>0</v>
      </c>
      <c r="D43" s="2">
        <v>209.96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81906.61100000002</v>
      </c>
      <c r="D45" s="14">
        <f>SUM(D9:D44)</f>
        <v>21005038.96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-2051.5556666666644</v>
      </c>
      <c r="I45" s="14">
        <f>SUM(I9:I43)</f>
        <v>3680960.9166666674</v>
      </c>
      <c r="J45" s="29"/>
      <c r="K45" s="15"/>
      <c r="L45" s="14">
        <f>SUM(L9:L43)</f>
        <v>19423.482693516704</v>
      </c>
      <c r="M45" s="14">
        <f>SUM(M9:M43)</f>
        <v>13603.726666666667</v>
      </c>
      <c r="N45" s="14">
        <f>SUM(N9:N43)</f>
        <v>33027.20936018337</v>
      </c>
      <c r="O45" s="25"/>
    </row>
    <row r="46" spans="7:15" ht="12.75">
      <c r="G46" s="19" t="s">
        <v>102</v>
      </c>
      <c r="H46" s="2">
        <f>+C45-F45</f>
        <v>-2051.5556666666525</v>
      </c>
      <c r="I46" s="2">
        <f>+D45-G45</f>
        <v>3681170.876666669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-209.96000000135973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262"/>
  <sheetViews>
    <sheetView zoomScaleSheetLayoutView="100" zoomScalePageLayoutView="0" workbookViewId="0" topLeftCell="AI1">
      <selection activeCell="AQ9" sqref="AQ9"/>
    </sheetView>
  </sheetViews>
  <sheetFormatPr defaultColWidth="9.140625" defaultRowHeight="12.75"/>
  <cols>
    <col min="2" max="2" width="28.421875" style="0" bestFit="1" customWidth="1"/>
    <col min="3" max="3" width="17.140625" style="2" hidden="1" customWidth="1"/>
    <col min="4" max="4" width="14.8515625" style="2" hidden="1" customWidth="1"/>
    <col min="5" max="5" width="1.1484375" style="2" hidden="1" customWidth="1"/>
    <col min="6" max="6" width="15.00390625" style="2" hidden="1" customWidth="1"/>
    <col min="7" max="7" width="15.28125" style="19" hidden="1" customWidth="1"/>
    <col min="8" max="8" width="12.28125" style="2" bestFit="1" customWidth="1"/>
    <col min="9" max="9" width="14.28125" style="2" bestFit="1" customWidth="1"/>
    <col min="10" max="10" width="14.28125" style="2" customWidth="1"/>
    <col min="11" max="11" width="1.8515625" style="3" customWidth="1"/>
    <col min="12" max="12" width="13.57421875" style="2" bestFit="1" customWidth="1"/>
    <col min="13" max="14" width="14.28125" style="4" customWidth="1"/>
    <col min="15" max="15" width="1.8515625" style="4" customWidth="1"/>
    <col min="16" max="16" width="13.28125" style="2" bestFit="1" customWidth="1"/>
    <col min="17" max="17" width="14.00390625" style="2" bestFit="1" customWidth="1"/>
    <col min="18" max="18" width="13.421875" style="2" bestFit="1" customWidth="1"/>
    <col min="19" max="19" width="12.28125" style="0" customWidth="1"/>
    <col min="20" max="20" width="13.57421875" style="0" customWidth="1"/>
    <col min="21" max="21" width="10.8515625" style="0" bestFit="1" customWidth="1"/>
    <col min="22" max="22" width="10.8515625" style="0" customWidth="1"/>
    <col min="23" max="23" width="11.57421875" style="0" bestFit="1" customWidth="1"/>
    <col min="24" max="24" width="12.7109375" style="0" customWidth="1"/>
    <col min="25" max="25" width="10.8515625" style="0" customWidth="1"/>
    <col min="26" max="26" width="10.28125" style="0" customWidth="1"/>
    <col min="27" max="27" width="13.7109375" style="0" bestFit="1" customWidth="1"/>
    <col min="28" max="28" width="10.8515625" style="0" bestFit="1" customWidth="1"/>
    <col min="29" max="29" width="9.8515625" style="0" customWidth="1"/>
    <col min="30" max="30" width="13.7109375" style="0" bestFit="1" customWidth="1"/>
    <col min="31" max="31" width="10.8515625" style="0" bestFit="1" customWidth="1"/>
    <col min="32" max="32" width="9.8515625" style="0" bestFit="1" customWidth="1"/>
    <col min="33" max="33" width="12.7109375" style="0" bestFit="1" customWidth="1"/>
    <col min="34" max="34" width="10.8515625" style="0" bestFit="1" customWidth="1"/>
    <col min="35" max="35" width="9.8515625" style="0" bestFit="1" customWidth="1"/>
    <col min="36" max="36" width="10.7109375" style="0" bestFit="1" customWidth="1"/>
    <col min="38" max="38" width="9.7109375" style="0" bestFit="1" customWidth="1"/>
    <col min="39" max="39" width="10.140625" style="0" bestFit="1" customWidth="1"/>
    <col min="41" max="41" width="12.7109375" style="0" customWidth="1"/>
    <col min="42" max="42" width="18.421875" style="0" bestFit="1" customWidth="1"/>
    <col min="43" max="43" width="10.7109375" style="0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40</v>
      </c>
    </row>
    <row r="4" spans="8:41" ht="12.75">
      <c r="H4" s="16" t="s">
        <v>58</v>
      </c>
      <c r="L4" s="16" t="s">
        <v>60</v>
      </c>
      <c r="M4" s="2"/>
      <c r="O4" s="2"/>
      <c r="P4" s="16" t="s">
        <v>70</v>
      </c>
      <c r="S4" s="16" t="s">
        <v>87</v>
      </c>
      <c r="W4" s="16" t="s">
        <v>97</v>
      </c>
      <c r="Z4" s="16" t="s">
        <v>122</v>
      </c>
      <c r="AC4" s="16" t="s">
        <v>124</v>
      </c>
      <c r="AF4" s="16" t="s">
        <v>130</v>
      </c>
      <c r="AI4" s="16" t="s">
        <v>139</v>
      </c>
      <c r="AL4" s="16" t="s">
        <v>144</v>
      </c>
      <c r="AO4" s="1" t="s">
        <v>152</v>
      </c>
    </row>
    <row r="5" spans="2:43" ht="12.75">
      <c r="B5" s="1" t="s">
        <v>1</v>
      </c>
      <c r="C5" s="16" t="s">
        <v>54</v>
      </c>
      <c r="F5" s="16" t="s">
        <v>55</v>
      </c>
      <c r="H5" s="38" t="s">
        <v>59</v>
      </c>
      <c r="J5" s="16" t="s">
        <v>27</v>
      </c>
      <c r="L5" s="38" t="s">
        <v>59</v>
      </c>
      <c r="M5" s="2"/>
      <c r="N5" s="16" t="s">
        <v>27</v>
      </c>
      <c r="O5" s="2"/>
      <c r="P5" s="38" t="s">
        <v>59</v>
      </c>
      <c r="R5" s="16" t="s">
        <v>27</v>
      </c>
      <c r="S5" s="38" t="s">
        <v>59</v>
      </c>
      <c r="T5" s="2"/>
      <c r="U5" s="16" t="s">
        <v>27</v>
      </c>
      <c r="V5" s="16"/>
      <c r="W5" s="38" t="s">
        <v>59</v>
      </c>
      <c r="X5" s="2"/>
      <c r="Y5" s="17" t="s">
        <v>27</v>
      </c>
      <c r="Z5" s="38" t="s">
        <v>59</v>
      </c>
      <c r="AA5" s="2"/>
      <c r="AB5" s="17" t="s">
        <v>27</v>
      </c>
      <c r="AC5" s="38" t="s">
        <v>59</v>
      </c>
      <c r="AD5" s="2"/>
      <c r="AE5" s="17" t="s">
        <v>27</v>
      </c>
      <c r="AF5" s="38" t="s">
        <v>59</v>
      </c>
      <c r="AG5" s="2"/>
      <c r="AH5" s="17" t="s">
        <v>27</v>
      </c>
      <c r="AI5" s="38" t="s">
        <v>59</v>
      </c>
      <c r="AJ5" s="2"/>
      <c r="AK5" s="17" t="s">
        <v>27</v>
      </c>
      <c r="AL5" s="38" t="s">
        <v>59</v>
      </c>
      <c r="AM5" s="2"/>
      <c r="AN5" s="17" t="s">
        <v>27</v>
      </c>
      <c r="AO5" s="38" t="s">
        <v>59</v>
      </c>
      <c r="AP5" s="2"/>
      <c r="AQ5" s="17" t="s">
        <v>27</v>
      </c>
    </row>
    <row r="6" spans="2:43" ht="12.75">
      <c r="B6" s="5"/>
      <c r="C6" s="6"/>
      <c r="D6" s="6"/>
      <c r="E6" s="7"/>
      <c r="F6" s="7"/>
      <c r="G6" s="20"/>
      <c r="H6" s="39"/>
      <c r="I6" s="6"/>
      <c r="J6" s="16" t="s">
        <v>61</v>
      </c>
      <c r="K6" s="8"/>
      <c r="L6" s="39"/>
      <c r="M6" s="6"/>
      <c r="N6" s="16" t="s">
        <v>61</v>
      </c>
      <c r="O6" s="6"/>
      <c r="P6" s="39"/>
      <c r="Q6" s="6"/>
      <c r="R6" s="16" t="s">
        <v>61</v>
      </c>
      <c r="S6" s="39"/>
      <c r="T6" s="6"/>
      <c r="U6" s="16" t="s">
        <v>61</v>
      </c>
      <c r="V6" s="16"/>
      <c r="W6" s="39"/>
      <c r="X6" s="6"/>
      <c r="Y6" s="16" t="s">
        <v>61</v>
      </c>
      <c r="Z6" s="39"/>
      <c r="AA6" s="6"/>
      <c r="AB6" s="16" t="s">
        <v>61</v>
      </c>
      <c r="AC6" s="39"/>
      <c r="AD6" s="6"/>
      <c r="AE6" s="16" t="s">
        <v>61</v>
      </c>
      <c r="AF6" s="39"/>
      <c r="AG6" s="6"/>
      <c r="AH6" s="16" t="s">
        <v>61</v>
      </c>
      <c r="AI6" s="39"/>
      <c r="AJ6" s="6"/>
      <c r="AK6" s="16" t="s">
        <v>61</v>
      </c>
      <c r="AL6" s="39"/>
      <c r="AM6" s="6"/>
      <c r="AN6" s="16" t="s">
        <v>61</v>
      </c>
      <c r="AO6" s="39"/>
      <c r="AP6" s="6"/>
      <c r="AQ6" s="16" t="s">
        <v>61</v>
      </c>
    </row>
    <row r="7" spans="1:43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40" t="s">
        <v>4</v>
      </c>
      <c r="I7" s="11" t="s">
        <v>5</v>
      </c>
      <c r="J7" s="11"/>
      <c r="K7" s="12"/>
      <c r="L7" s="40" t="s">
        <v>4</v>
      </c>
      <c r="M7" s="11" t="s">
        <v>5</v>
      </c>
      <c r="N7" s="11"/>
      <c r="O7" s="11"/>
      <c r="P7" s="40" t="s">
        <v>4</v>
      </c>
      <c r="Q7" s="11" t="s">
        <v>5</v>
      </c>
      <c r="R7" s="11"/>
      <c r="S7" s="40" t="s">
        <v>4</v>
      </c>
      <c r="T7" s="11" t="s">
        <v>5</v>
      </c>
      <c r="U7" s="11"/>
      <c r="V7" s="11"/>
      <c r="W7" s="40" t="s">
        <v>4</v>
      </c>
      <c r="X7" s="11" t="s">
        <v>5</v>
      </c>
      <c r="Y7" s="11"/>
      <c r="Z7" s="40" t="s">
        <v>4</v>
      </c>
      <c r="AA7" s="11" t="s">
        <v>5</v>
      </c>
      <c r="AB7" s="11"/>
      <c r="AC7" s="40" t="s">
        <v>4</v>
      </c>
      <c r="AD7" s="11" t="s">
        <v>5</v>
      </c>
      <c r="AE7" s="11"/>
      <c r="AF7" s="40" t="s">
        <v>4</v>
      </c>
      <c r="AG7" s="11" t="s">
        <v>5</v>
      </c>
      <c r="AH7" s="11"/>
      <c r="AI7" s="40" t="s">
        <v>4</v>
      </c>
      <c r="AJ7" s="11" t="s">
        <v>5</v>
      </c>
      <c r="AK7" s="11"/>
      <c r="AL7" s="40" t="s">
        <v>4</v>
      </c>
      <c r="AM7" s="11" t="s">
        <v>5</v>
      </c>
      <c r="AN7" s="11"/>
      <c r="AO7" s="40" t="s">
        <v>4</v>
      </c>
      <c r="AP7" s="11" t="s">
        <v>5</v>
      </c>
      <c r="AQ7" s="11"/>
    </row>
    <row r="8" spans="8:38" ht="12.75">
      <c r="H8" s="42"/>
      <c r="L8" s="42"/>
      <c r="M8" s="2"/>
      <c r="N8" s="2"/>
      <c r="O8" s="2"/>
      <c r="P8" s="42"/>
      <c r="S8" s="42"/>
      <c r="T8" s="2"/>
      <c r="W8" s="41"/>
      <c r="Z8" s="41"/>
      <c r="AC8" s="41"/>
      <c r="AF8" s="41"/>
      <c r="AI8" s="41"/>
      <c r="AL8" s="41"/>
    </row>
    <row r="9" spans="1:43" ht="12.75">
      <c r="A9" t="s">
        <v>7</v>
      </c>
      <c r="B9" t="s">
        <v>8</v>
      </c>
      <c r="D9" s="2">
        <f>10777710+0</f>
        <v>10777710</v>
      </c>
      <c r="G9" s="2">
        <f>+'2001PILRecoveryAmt'!K9</f>
        <v>10449948.666666666</v>
      </c>
      <c r="H9" s="42"/>
      <c r="I9" s="2">
        <f>+'Festival Mar 31'!I9</f>
        <v>-7755521.166666666</v>
      </c>
      <c r="J9" s="2">
        <f>+'Festival Mar 31'!N9</f>
        <v>3717.585837306785</v>
      </c>
      <c r="L9" s="42"/>
      <c r="M9" s="2">
        <f>+'Festival Apr 30'!I9</f>
        <v>-29266.666666666046</v>
      </c>
      <c r="N9" s="2">
        <f>+'Festival Apr 30'!N9</f>
        <v>14620.239024196324</v>
      </c>
      <c r="O9" s="2"/>
      <c r="P9" s="42"/>
      <c r="Q9" s="2">
        <f>+'Festival May 31'!I9</f>
        <v>-1032154.666666666</v>
      </c>
      <c r="R9" s="2">
        <f>+'Festival May 31'!N9</f>
        <v>13917.698533474297</v>
      </c>
      <c r="S9" s="42"/>
      <c r="T9" s="2">
        <f>+'Festival June 30'!I9</f>
        <v>-4155232.666666666</v>
      </c>
      <c r="U9" s="2">
        <f>+'Festival June 30'!N9</f>
        <v>11729.928063907237</v>
      </c>
      <c r="V9" s="2"/>
      <c r="W9" s="42"/>
      <c r="X9" s="2">
        <f>+'Festival July 31'!I9</f>
        <v>-761118.666666666</v>
      </c>
      <c r="Y9" s="2">
        <f>+'Festival July 31'!N9</f>
        <v>14107.563966546917</v>
      </c>
      <c r="Z9" s="42"/>
      <c r="AA9" s="2">
        <f>+'Festival August 30'!I9</f>
        <v>1827674.333333334</v>
      </c>
      <c r="AB9" s="2">
        <f>+'Festival August 30'!N9</f>
        <v>15921.05849893513</v>
      </c>
      <c r="AC9" s="42"/>
      <c r="AD9" s="2">
        <f>+'Festival Sept 30 '!I9</f>
        <v>1275957.333333334</v>
      </c>
      <c r="AE9" s="2">
        <f>+'Festival Sept 30 '!N9</f>
        <v>15534.571142500827</v>
      </c>
      <c r="AF9" s="42"/>
      <c r="AG9" s="2">
        <f>+'Festival Oct  30'!I9</f>
        <v>-1071806.666666666</v>
      </c>
      <c r="AH9" s="2">
        <f>+'Festival Oct  30'!N9</f>
        <v>13889.921617669032</v>
      </c>
      <c r="AI9" s="42"/>
      <c r="AJ9" s="2">
        <f>+'Festival Nov 30 '!I9</f>
        <v>-464815.66666666605</v>
      </c>
      <c r="AK9" s="2">
        <f>+'Festival Nov 30 '!N9</f>
        <v>14315.129372676425</v>
      </c>
      <c r="AL9" s="42"/>
      <c r="AM9" s="2">
        <f>+'Festival Dec 30'!I9</f>
        <v>631264.333333334</v>
      </c>
      <c r="AN9" s="2">
        <f>+'Festival Dec 30'!N9</f>
        <v>15082.95248061131</v>
      </c>
      <c r="AO9" s="2"/>
      <c r="AP9" s="2">
        <f aca="true" t="shared" si="0" ref="AP9:AQ13">+AM9+AJ9+AG9+AD9+AA9+X9+T9+Q9+M9+I9</f>
        <v>-11535020.16666666</v>
      </c>
      <c r="AQ9" s="2">
        <f t="shared" si="0"/>
        <v>132836.64853782428</v>
      </c>
    </row>
    <row r="10" spans="1:43" ht="12.75">
      <c r="A10" t="s">
        <v>9</v>
      </c>
      <c r="B10" t="s">
        <v>10</v>
      </c>
      <c r="D10" s="2">
        <v>694421</v>
      </c>
      <c r="G10" s="2">
        <f>+'2001PILRecoveryAmt'!K10</f>
        <v>640442.5</v>
      </c>
      <c r="H10" s="42"/>
      <c r="I10" s="2">
        <f>+'Festival Mar 31'!I10</f>
        <v>-466837.25</v>
      </c>
      <c r="J10" s="2">
        <f>+'Festival Mar 31'!N10</f>
        <v>163.35260561561603</v>
      </c>
      <c r="L10" s="42"/>
      <c r="M10" s="2">
        <f>+'Festival Apr 30'!I10</f>
        <v>64709.5</v>
      </c>
      <c r="N10" s="2">
        <f>+'Festival Apr 30'!N10</f>
        <v>662.8522464006006</v>
      </c>
      <c r="O10" s="2"/>
      <c r="P10" s="42"/>
      <c r="Q10" s="2">
        <f>+'Festival May 31'!I10</f>
        <v>-86682.5</v>
      </c>
      <c r="R10" s="2">
        <f>+'Festival May 31'!N10</f>
        <v>529.6478283927389</v>
      </c>
      <c r="S10" s="42"/>
      <c r="T10" s="2">
        <f>+'Festival June 30'!I10</f>
        <v>-637968.5</v>
      </c>
      <c r="U10" s="2">
        <f>+'Festival June 30'!N10</f>
        <v>44.59095097595284</v>
      </c>
      <c r="V10" s="2"/>
      <c r="W10" s="42"/>
      <c r="X10" s="2">
        <f>+'Festival July 31'!I10</f>
        <v>-70284.5</v>
      </c>
      <c r="Y10" s="2">
        <f>+'Festival July 31'!N10</f>
        <v>544.0758433901821</v>
      </c>
      <c r="Z10" s="42"/>
      <c r="AA10" s="2">
        <f>+'Festival August 30'!I10</f>
        <v>12311.5</v>
      </c>
      <c r="AB10" s="2">
        <f>+'Festival August 30'!N10</f>
        <v>616.7491161508124</v>
      </c>
      <c r="AC10" s="42"/>
      <c r="AD10" s="2">
        <f>+'Festival Sept 30 '!I10</f>
        <v>62816.5</v>
      </c>
      <c r="AE10" s="2">
        <f>+'Festival Sept 30 '!N10</f>
        <v>661.1866632569148</v>
      </c>
      <c r="AF10" s="42"/>
      <c r="AG10" s="2">
        <f>+'Festival Oct  30'!I10</f>
        <v>16687.5</v>
      </c>
      <c r="AH10" s="2">
        <f>+'Festival Oct  30'!N10</f>
        <v>620.5994023825974</v>
      </c>
      <c r="AI10" s="42"/>
      <c r="AJ10" s="2">
        <f>+'Festival Nov 30 '!I10</f>
        <v>-112613.5</v>
      </c>
      <c r="AK10" s="2">
        <f>+'Festival Nov 30 '!N10</f>
        <v>506.83206690361226</v>
      </c>
      <c r="AL10" s="42"/>
      <c r="AM10" s="2">
        <f>+'Festival Dec 30'!I10</f>
        <v>-21500.5</v>
      </c>
      <c r="AN10" s="2">
        <f>+'Festival Dec 30'!N10</f>
        <v>586.9991440143599</v>
      </c>
      <c r="AO10" s="2"/>
      <c r="AP10" s="2">
        <f t="shared" si="0"/>
        <v>-1239361.75</v>
      </c>
      <c r="AQ10" s="2">
        <f t="shared" si="0"/>
        <v>4936.885867483387</v>
      </c>
    </row>
    <row r="11" spans="1:43" ht="12.75">
      <c r="A11" t="s">
        <v>11</v>
      </c>
      <c r="B11" t="s">
        <v>12</v>
      </c>
      <c r="D11" s="2">
        <v>384214</v>
      </c>
      <c r="G11" s="2">
        <f>+'2001PILRecoveryAmt'!K11</f>
        <v>341661.4166666667</v>
      </c>
      <c r="H11" s="42"/>
      <c r="I11" s="2">
        <f>+'Festival Mar 31'!I11</f>
        <v>-245607.9166666667</v>
      </c>
      <c r="J11" s="2">
        <f>+'Festival Mar 31'!N11</f>
        <v>38.963983514868644</v>
      </c>
      <c r="L11" s="42"/>
      <c r="M11" s="2">
        <f>+'Festival Apr 30'!I11</f>
        <v>24291.583333333314</v>
      </c>
      <c r="N11" s="2">
        <f>+'Festival Apr 30'!N11</f>
        <v>155.5243804673096</v>
      </c>
      <c r="O11" s="2"/>
      <c r="P11" s="42"/>
      <c r="Q11" s="2">
        <f>+'Festival May 31'!I11</f>
        <v>-41629.416666666686</v>
      </c>
      <c r="R11" s="2">
        <f>+'Festival May 31'!N11</f>
        <v>154.32749396880976</v>
      </c>
      <c r="S11" s="42"/>
      <c r="T11" s="2">
        <f>+'Festival June 30'!I11</f>
        <v>-340557.4166666667</v>
      </c>
      <c r="U11" s="2">
        <f>+'Festival June 30'!N11</f>
        <v>148.9000446397103</v>
      </c>
      <c r="V11" s="2"/>
      <c r="W11" s="42"/>
      <c r="X11" s="2">
        <f>+'Festival July 31'!I11</f>
        <v>-33267.416666666686</v>
      </c>
      <c r="Y11" s="2">
        <f>+'Festival July 31'!N11</f>
        <v>154.47931758951418</v>
      </c>
      <c r="Z11" s="42"/>
      <c r="AA11" s="2">
        <f>+'Festival August 30'!I11</f>
        <v>35617.583333333314</v>
      </c>
      <c r="AB11" s="2">
        <f>+'Festival August 30'!N11</f>
        <v>155.73001958810585</v>
      </c>
      <c r="AC11" s="42"/>
      <c r="AD11" s="2">
        <f>+'Festival Sept 30 '!I11</f>
        <v>15006.583333333314</v>
      </c>
      <c r="AE11" s="2">
        <f>+'Festival Sept 30 '!N11</f>
        <v>155.3557985110503</v>
      </c>
      <c r="AF11" s="42"/>
      <c r="AG11" s="2">
        <f>+'Festival Oct  30'!I11</f>
        <v>5572.583333333314</v>
      </c>
      <c r="AH11" s="2">
        <f>+'Festival Oct  30'!N11</f>
        <v>155.18451125468513</v>
      </c>
      <c r="AI11" s="42"/>
      <c r="AJ11" s="2">
        <f>+'Festival Nov 30 '!I11</f>
        <v>-63218.416666666686</v>
      </c>
      <c r="AK11" s="2">
        <f>+'Festival Nov 30 '!N11</f>
        <v>153.93551595548908</v>
      </c>
      <c r="AL11" s="42"/>
      <c r="AM11" s="2">
        <f>+'Festival Dec 30'!I11</f>
        <v>-7084.416666666686</v>
      </c>
      <c r="AN11" s="2">
        <f>+'Festival Dec 30'!N11</f>
        <v>154.9547059967019</v>
      </c>
      <c r="AO11" s="2"/>
      <c r="AP11" s="2">
        <f t="shared" si="0"/>
        <v>-650876.6666666669</v>
      </c>
      <c r="AQ11" s="2">
        <f t="shared" si="0"/>
        <v>1427.3557714862447</v>
      </c>
    </row>
    <row r="12" spans="1:43" ht="12.75">
      <c r="A12" t="s">
        <v>13</v>
      </c>
      <c r="B12" t="s">
        <v>10</v>
      </c>
      <c r="D12" s="2">
        <v>9701</v>
      </c>
      <c r="G12" s="19">
        <v>0</v>
      </c>
      <c r="H12" s="42"/>
      <c r="I12" s="2">
        <f>+'Festival Mar 31'!I12</f>
        <v>0</v>
      </c>
      <c r="J12" s="2">
        <f>+'Festival Mar 31'!N12</f>
        <v>0</v>
      </c>
      <c r="L12" s="42"/>
      <c r="M12" s="2">
        <f>+'Festival Apr 30'!I12</f>
        <v>0</v>
      </c>
      <c r="N12" s="2">
        <f>+'Festival Apr 30'!N12</f>
        <v>0</v>
      </c>
      <c r="O12" s="2"/>
      <c r="P12" s="42"/>
      <c r="Q12" s="2">
        <f>+'Festival May 31'!I12</f>
        <v>0</v>
      </c>
      <c r="R12" s="2">
        <f>+'Festival May 31'!N12</f>
        <v>0</v>
      </c>
      <c r="S12" s="42"/>
      <c r="T12" s="2"/>
      <c r="U12" s="2">
        <f>+'Festival June 30'!N12</f>
        <v>0</v>
      </c>
      <c r="V12" s="2"/>
      <c r="W12" s="42"/>
      <c r="X12" s="2">
        <f>+'Festival July 31'!I12</f>
        <v>0</v>
      </c>
      <c r="Y12" s="2">
        <f>+'Festival July 31'!N12</f>
        <v>0</v>
      </c>
      <c r="Z12" s="42"/>
      <c r="AA12" s="2">
        <f>+'Festival August 30'!I12</f>
        <v>0</v>
      </c>
      <c r="AB12" s="2">
        <f>+'Festival August 30'!N12</f>
        <v>0</v>
      </c>
      <c r="AC12" s="42"/>
      <c r="AD12" s="2">
        <f>+'Festival Sept 30 '!I12</f>
        <v>0</v>
      </c>
      <c r="AE12" s="2">
        <f>+'Festival Sept 30 '!N12</f>
        <v>0</v>
      </c>
      <c r="AF12" s="42"/>
      <c r="AG12" s="2">
        <f>+'Festival Oct  30'!I12</f>
        <v>0</v>
      </c>
      <c r="AH12" s="2">
        <f>+'Festival Oct  30'!N12</f>
        <v>0</v>
      </c>
      <c r="AI12" s="42"/>
      <c r="AJ12" s="2">
        <f>+'Festival Nov 30 '!I12</f>
        <v>0</v>
      </c>
      <c r="AK12" s="2">
        <f>+'Festival Nov 30 '!N12</f>
        <v>0</v>
      </c>
      <c r="AL12" s="42"/>
      <c r="AM12" s="2">
        <f>+'Festival Dec 30'!I12</f>
        <v>0</v>
      </c>
      <c r="AN12" s="2">
        <f>+'Festival Dec 30'!N12</f>
        <v>0</v>
      </c>
      <c r="AO12" s="2"/>
      <c r="AP12" s="2">
        <f t="shared" si="0"/>
        <v>0</v>
      </c>
      <c r="AQ12" s="2">
        <f t="shared" si="0"/>
        <v>0</v>
      </c>
    </row>
    <row r="13" spans="1:43" ht="12.75">
      <c r="A13" t="s">
        <v>14</v>
      </c>
      <c r="B13" t="s">
        <v>15</v>
      </c>
      <c r="D13" s="2">
        <v>22871</v>
      </c>
      <c r="G13" s="19">
        <v>0</v>
      </c>
      <c r="H13" s="42"/>
      <c r="I13" s="2">
        <f>+'Festival Mar 31'!I13</f>
        <v>0</v>
      </c>
      <c r="J13" s="2">
        <f>+'Festival Mar 31'!N13</f>
        <v>0</v>
      </c>
      <c r="L13" s="42"/>
      <c r="M13" s="2">
        <f>+'Festival Apr 30'!I13</f>
        <v>0</v>
      </c>
      <c r="N13" s="2">
        <f>+'Festival Apr 30'!N13</f>
        <v>0</v>
      </c>
      <c r="O13" s="2"/>
      <c r="P13" s="42"/>
      <c r="Q13" s="2">
        <f>+'Festival May 31'!I13</f>
        <v>0</v>
      </c>
      <c r="R13" s="2">
        <f>+'Festival May 31'!N13</f>
        <v>0</v>
      </c>
      <c r="S13" s="42"/>
      <c r="T13" s="2"/>
      <c r="U13" s="2">
        <f>+'Festival June 30'!N13</f>
        <v>0</v>
      </c>
      <c r="V13" s="2"/>
      <c r="W13" s="42"/>
      <c r="X13" s="2">
        <f>+'Festival July 31'!I13</f>
        <v>0</v>
      </c>
      <c r="Y13" s="2">
        <f>+'Festival July 31'!N13</f>
        <v>0</v>
      </c>
      <c r="Z13" s="42"/>
      <c r="AA13" s="2">
        <f>+'Festival August 30'!I13</f>
        <v>0</v>
      </c>
      <c r="AB13" s="2">
        <f>+'Festival August 30'!N13</f>
        <v>0</v>
      </c>
      <c r="AC13" s="42"/>
      <c r="AD13" s="2">
        <f>+'Festival Sept 30 '!I13</f>
        <v>0</v>
      </c>
      <c r="AE13" s="2">
        <f>+'Festival Sept 30 '!N13</f>
        <v>0</v>
      </c>
      <c r="AF13" s="42"/>
      <c r="AG13" s="2">
        <f>+'Festival Oct  30'!I13</f>
        <v>0</v>
      </c>
      <c r="AH13" s="2">
        <f>+'Festival Oct  30'!N13</f>
        <v>0</v>
      </c>
      <c r="AI13" s="42"/>
      <c r="AJ13" s="2">
        <f>+'Festival Nov 30 '!I13</f>
        <v>0</v>
      </c>
      <c r="AK13" s="2">
        <f>+'Festival Nov 30 '!N13</f>
        <v>0</v>
      </c>
      <c r="AL13" s="42"/>
      <c r="AM13" s="2">
        <f>+'Festival Dec 30'!I13</f>
        <v>0</v>
      </c>
      <c r="AN13" s="2">
        <f>+'Festival Dec 30'!N13</f>
        <v>0</v>
      </c>
      <c r="AO13" s="2"/>
      <c r="AP13" s="2">
        <f t="shared" si="0"/>
        <v>0</v>
      </c>
      <c r="AQ13" s="2">
        <f t="shared" si="0"/>
        <v>0</v>
      </c>
    </row>
    <row r="14" spans="8:43" ht="12.75">
      <c r="H14" s="42"/>
      <c r="L14" s="42"/>
      <c r="M14" s="2"/>
      <c r="N14" s="2"/>
      <c r="O14" s="2"/>
      <c r="P14" s="42"/>
      <c r="S14" s="42"/>
      <c r="T14" s="2"/>
      <c r="U14" s="2"/>
      <c r="V14" s="2"/>
      <c r="W14" s="42"/>
      <c r="X14" s="2"/>
      <c r="Z14" s="42"/>
      <c r="AA14" s="2"/>
      <c r="AC14" s="42"/>
      <c r="AD14" s="2"/>
      <c r="AF14" s="42"/>
      <c r="AG14" s="2"/>
      <c r="AI14" s="42"/>
      <c r="AJ14" s="2"/>
      <c r="AL14" s="42"/>
      <c r="AM14" s="2"/>
      <c r="AO14" s="2"/>
      <c r="AP14" s="2"/>
      <c r="AQ14" s="2"/>
    </row>
    <row r="15" spans="1:43" ht="12.75">
      <c r="A15" t="s">
        <v>16</v>
      </c>
      <c r="B15" t="s">
        <v>17</v>
      </c>
      <c r="D15" s="2">
        <f>5991228-1197-362</f>
        <v>5989669</v>
      </c>
      <c r="G15" s="2">
        <f>+'2001PILRecoveryAmt'!K13</f>
        <v>5891815.5</v>
      </c>
      <c r="H15" s="42"/>
      <c r="I15" s="2">
        <f>+'Festival Mar 31'!I15</f>
        <v>-4394008.5</v>
      </c>
      <c r="J15" s="2">
        <f>+'Festival Mar 31'!N15</f>
        <v>1357.682206889901</v>
      </c>
      <c r="L15" s="42"/>
      <c r="M15" s="2">
        <f>+'Festival Apr 30'!I15</f>
        <v>134154.5</v>
      </c>
      <c r="N15" s="2">
        <f>+'Festival Apr 30'!N15</f>
        <v>5446.606439383158</v>
      </c>
      <c r="O15" s="2"/>
      <c r="P15" s="42"/>
      <c r="Q15" s="2">
        <f>+'Festival May 31'!I15</f>
        <v>403361.5</v>
      </c>
      <c r="R15" s="2">
        <f>+'Festival May 31'!N15</f>
        <v>5569.638050867343</v>
      </c>
      <c r="S15" s="42"/>
      <c r="T15" s="2">
        <f>+'Festival June 30'!I15</f>
        <v>-3870307.5</v>
      </c>
      <c r="U15" s="2">
        <f>+'Festival June 30'!N15</f>
        <v>3616.507619563529</v>
      </c>
      <c r="V15" s="2"/>
      <c r="W15" s="42"/>
      <c r="X15" s="2">
        <f>+'Festival July 31'!I15</f>
        <v>-477555.5</v>
      </c>
      <c r="Y15" s="2">
        <f>+'Festival July 31'!N15</f>
        <v>5167.045851950474</v>
      </c>
      <c r="Z15" s="42"/>
      <c r="AA15" s="2">
        <f>+'Festival August 30'!I15</f>
        <v>477242.5</v>
      </c>
      <c r="AB15" s="2">
        <f>+'Festival August 30'!N15</f>
        <v>5603.402769050983</v>
      </c>
      <c r="AC15" s="42"/>
      <c r="AD15" s="2">
        <f>+'Festival Sept 30 '!I15</f>
        <v>538258.5</v>
      </c>
      <c r="AE15" s="2">
        <f>+'Festival Sept 30 '!N15</f>
        <v>5631.287990484003</v>
      </c>
      <c r="AF15" s="42"/>
      <c r="AG15" s="2">
        <f>+'Festival Oct  30'!I15</f>
        <v>-20325.5</v>
      </c>
      <c r="AH15" s="2">
        <f>+'Festival Oct  30'!N15</f>
        <v>5376.0067768852405</v>
      </c>
      <c r="AI15" s="42"/>
      <c r="AJ15" s="2">
        <f>+'Festival Nov 30 '!I15</f>
        <v>-305887.5</v>
      </c>
      <c r="AK15" s="2">
        <f>+'Festival Nov 30 '!N15</f>
        <v>5245.500686632584</v>
      </c>
      <c r="AL15" s="42"/>
      <c r="AM15" s="2">
        <f>+'Festival Dec 30'!I15</f>
        <v>60665.5</v>
      </c>
      <c r="AN15" s="2">
        <f>+'Festival Dec 30'!N15</f>
        <v>5413.020871042211</v>
      </c>
      <c r="AO15" s="2"/>
      <c r="AP15" s="2">
        <f>+AM15+AJ15+AG15+AD15+AA15+X15+T15+Q15+M15+I15</f>
        <v>-7454402</v>
      </c>
      <c r="AQ15" s="2">
        <f>+AN15+AK15+AH15+AE15+AB15+Y15+U15+R15+N15+J15</f>
        <v>48426.699262749426</v>
      </c>
    </row>
    <row r="16" spans="1:43" ht="12.75">
      <c r="A16" t="s">
        <v>25</v>
      </c>
      <c r="B16" t="s">
        <v>17</v>
      </c>
      <c r="D16" s="2">
        <v>121338</v>
      </c>
      <c r="G16" s="2">
        <f>+'2001PILRecoveryAmt'!K16</f>
        <v>0</v>
      </c>
      <c r="H16" s="42"/>
      <c r="I16" s="2">
        <f>+'Festival Mar 31'!I16</f>
        <v>30334.5</v>
      </c>
      <c r="J16" s="2">
        <f>+'Festival Mar 31'!N16</f>
        <v>13.86331863052229</v>
      </c>
      <c r="L16" s="42"/>
      <c r="M16" s="2">
        <f>+'Festival Apr 30'!I16</f>
        <v>118172</v>
      </c>
      <c r="N16" s="2">
        <f>+'Festival Apr 30'!N16</f>
        <v>54.00636533340191</v>
      </c>
      <c r="O16" s="2"/>
      <c r="P16" s="42"/>
      <c r="Q16" s="2">
        <f>+'Festival May 31'!I16</f>
        <v>115294</v>
      </c>
      <c r="R16" s="2">
        <f>+'Festival May 31'!N16</f>
        <v>52.69107643730528</v>
      </c>
      <c r="S16" s="42"/>
      <c r="T16" s="2">
        <f>+'Festival June 30'!I16</f>
        <v>11932</v>
      </c>
      <c r="U16" s="2">
        <f>+'Festival June 30'!N16</f>
        <v>5.453101844414511</v>
      </c>
      <c r="V16" s="2"/>
      <c r="W16" s="42"/>
      <c r="X16" s="2">
        <f>+'Festival July 31'!I16</f>
        <v>118172</v>
      </c>
      <c r="Y16" s="2">
        <f>+'Festival July 31'!N16</f>
        <v>54.00636533340191</v>
      </c>
      <c r="Z16" s="42"/>
      <c r="AA16" s="2">
        <f>+'Festival August 30'!I16</f>
        <v>118172</v>
      </c>
      <c r="AB16" s="2">
        <f>+'Festival August 30'!N16</f>
        <v>54.00636533340191</v>
      </c>
      <c r="AC16" s="42"/>
      <c r="AD16" s="2">
        <f>+'Festival Sept 30 '!I16</f>
        <v>118172</v>
      </c>
      <c r="AE16" s="2">
        <f>+'Festival Sept 30 '!N16</f>
        <v>54.00636533340191</v>
      </c>
      <c r="AF16" s="42"/>
      <c r="AG16" s="2">
        <f>+'Festival Oct  30'!I16</f>
        <v>118172</v>
      </c>
      <c r="AH16" s="2">
        <f>+'Festival Oct  30'!N16</f>
        <v>54.00636533340191</v>
      </c>
      <c r="AI16" s="42"/>
      <c r="AJ16" s="2">
        <f>+'Festival Nov 30 '!I16</f>
        <v>118500</v>
      </c>
      <c r="AK16" s="2">
        <f>+'Festival Nov 30 '!N16</f>
        <v>54.15626622218568</v>
      </c>
      <c r="AL16" s="42"/>
      <c r="AM16" s="2">
        <f>+'Festival Dec 30'!I16</f>
        <v>118500</v>
      </c>
      <c r="AN16" s="2">
        <f>+'Festival Dec 30'!N16</f>
        <v>54.15626622218568</v>
      </c>
      <c r="AO16" s="2"/>
      <c r="AP16" s="2">
        <f>+AM16+AJ16+AG16+AD16+AA16+X16+T16+Q16+M16+I16</f>
        <v>985420.5</v>
      </c>
      <c r="AQ16" s="2">
        <f>+AN16+AK16+AH16+AE16+AB16+Y16+U16+R16+N16+J16</f>
        <v>450.351856023623</v>
      </c>
    </row>
    <row r="17" spans="1:43" ht="12.75">
      <c r="A17" t="s">
        <v>16</v>
      </c>
      <c r="B17" t="s">
        <v>17</v>
      </c>
      <c r="C17" s="2">
        <v>0</v>
      </c>
      <c r="H17" s="42"/>
      <c r="L17" s="42"/>
      <c r="M17" s="2"/>
      <c r="N17" s="2"/>
      <c r="O17" s="2"/>
      <c r="P17" s="42"/>
      <c r="S17" s="42"/>
      <c r="T17" s="2"/>
      <c r="U17" s="2"/>
      <c r="V17" s="2"/>
      <c r="W17" s="42"/>
      <c r="X17" s="2"/>
      <c r="Z17" s="42"/>
      <c r="AA17" s="2"/>
      <c r="AC17" s="42"/>
      <c r="AD17" s="2"/>
      <c r="AF17" s="42"/>
      <c r="AG17" s="2"/>
      <c r="AI17" s="42"/>
      <c r="AJ17" s="2"/>
      <c r="AL17" s="42"/>
      <c r="AM17" s="2"/>
      <c r="AO17" s="2"/>
      <c r="AP17" s="2"/>
      <c r="AQ17" s="2"/>
    </row>
    <row r="18" spans="8:43" ht="12.75">
      <c r="H18" s="42"/>
      <c r="L18" s="42"/>
      <c r="M18" s="2"/>
      <c r="N18" s="2"/>
      <c r="O18" s="2"/>
      <c r="P18" s="42"/>
      <c r="S18" s="42"/>
      <c r="T18" s="2"/>
      <c r="U18" s="2"/>
      <c r="V18" s="2"/>
      <c r="W18" s="42"/>
      <c r="X18" s="2"/>
      <c r="Z18" s="42"/>
      <c r="AA18" s="2"/>
      <c r="AC18" s="42"/>
      <c r="AD18" s="2"/>
      <c r="AF18" s="42"/>
      <c r="AG18" s="2"/>
      <c r="AI18" s="42"/>
      <c r="AJ18" s="2"/>
      <c r="AL18" s="42"/>
      <c r="AM18" s="2"/>
      <c r="AO18" s="2"/>
      <c r="AP18" s="2"/>
      <c r="AQ18" s="2"/>
    </row>
    <row r="19" spans="1:43" ht="12.75">
      <c r="A19" t="s">
        <v>18</v>
      </c>
      <c r="B19" t="s">
        <v>19</v>
      </c>
      <c r="H19" s="42"/>
      <c r="L19" s="42"/>
      <c r="M19" s="2"/>
      <c r="N19" s="2"/>
      <c r="O19" s="2"/>
      <c r="P19" s="42"/>
      <c r="S19" s="42"/>
      <c r="T19" s="2"/>
      <c r="U19" s="2"/>
      <c r="V19" s="2"/>
      <c r="W19" s="42"/>
      <c r="X19" s="2"/>
      <c r="Z19" s="42"/>
      <c r="AA19" s="2"/>
      <c r="AC19" s="42"/>
      <c r="AD19" s="2"/>
      <c r="AF19" s="42"/>
      <c r="AG19" s="2"/>
      <c r="AI19" s="42"/>
      <c r="AJ19" s="2"/>
      <c r="AL19" s="42"/>
      <c r="AM19" s="2"/>
      <c r="AO19" s="2"/>
      <c r="AP19" s="2"/>
      <c r="AQ19" s="2"/>
    </row>
    <row r="20" spans="1:43" ht="12.75">
      <c r="A20" t="s">
        <v>29</v>
      </c>
      <c r="B20" t="s">
        <v>19</v>
      </c>
      <c r="H20" s="42"/>
      <c r="L20" s="42"/>
      <c r="M20" s="2"/>
      <c r="N20" s="2"/>
      <c r="O20" s="2"/>
      <c r="P20" s="42"/>
      <c r="S20" s="42"/>
      <c r="T20" s="2"/>
      <c r="U20" s="2"/>
      <c r="V20" s="2"/>
      <c r="W20" s="42"/>
      <c r="X20" s="2"/>
      <c r="Z20" s="42"/>
      <c r="AA20" s="2"/>
      <c r="AC20" s="42"/>
      <c r="AD20" s="2"/>
      <c r="AF20" s="42"/>
      <c r="AG20" s="2"/>
      <c r="AI20" s="42"/>
      <c r="AJ20" s="2"/>
      <c r="AL20" s="42"/>
      <c r="AM20" s="2"/>
      <c r="AO20" s="2"/>
      <c r="AP20" s="2"/>
      <c r="AQ20" s="2"/>
    </row>
    <row r="21" spans="1:43" ht="12.75">
      <c r="A21" t="s">
        <v>30</v>
      </c>
      <c r="B21" t="s">
        <v>19</v>
      </c>
      <c r="H21" s="42"/>
      <c r="L21" s="42"/>
      <c r="M21" s="2"/>
      <c r="N21" s="2"/>
      <c r="O21" s="2"/>
      <c r="P21" s="42"/>
      <c r="S21" s="42"/>
      <c r="T21" s="2"/>
      <c r="U21" s="2"/>
      <c r="V21" s="2"/>
      <c r="W21" s="42"/>
      <c r="X21" s="2"/>
      <c r="Z21" s="42"/>
      <c r="AA21" s="2"/>
      <c r="AC21" s="42"/>
      <c r="AD21" s="2"/>
      <c r="AF21" s="42"/>
      <c r="AG21" s="2"/>
      <c r="AI21" s="42"/>
      <c r="AJ21" s="2"/>
      <c r="AL21" s="42"/>
      <c r="AM21" s="2"/>
      <c r="AO21" s="2"/>
      <c r="AP21" s="2"/>
      <c r="AQ21" s="2"/>
    </row>
    <row r="22" spans="1:43" ht="12.75">
      <c r="A22" t="s">
        <v>18</v>
      </c>
      <c r="B22" t="s">
        <v>19</v>
      </c>
      <c r="C22" s="2">
        <v>16775.26</v>
      </c>
      <c r="F22" s="2">
        <f>+'2001PILRecoveryAmt'!J20</f>
        <v>70786.41666666667</v>
      </c>
      <c r="H22" s="42">
        <f>+'Festival Mar 31'!H22</f>
        <v>-66610.24166666667</v>
      </c>
      <c r="J22" s="2">
        <f>+'Festival Mar 31'!N22</f>
        <v>923.8371389779838</v>
      </c>
      <c r="L22" s="42">
        <f>+'Festival Apr 30'!H22</f>
        <v>-50631.926666666666</v>
      </c>
      <c r="M22" s="2"/>
      <c r="N22" s="2">
        <f>+'Festival Apr 30'!N22</f>
        <v>3966.3457796887433</v>
      </c>
      <c r="O22" s="2"/>
      <c r="P22" s="42">
        <f>+'Festival May 31'!H22</f>
        <v>-55654.90666666667</v>
      </c>
      <c r="R22" s="2">
        <f>+'Festival May 31'!N22</f>
        <v>3571.7670850185086</v>
      </c>
      <c r="S22" s="42">
        <f>+'Festival June 30'!H22</f>
        <v>-65491.48666666667</v>
      </c>
      <c r="T22" s="2"/>
      <c r="U22" s="2">
        <f>+'Festival June 30'!N22</f>
        <v>2799.0574790835185</v>
      </c>
      <c r="V22" s="2"/>
      <c r="W22" s="42">
        <f>+'Festival July 31'!H22</f>
        <v>-57841.92666666667</v>
      </c>
      <c r="X22" s="2"/>
      <c r="Y22" s="2">
        <f>+'Festival July 31'!N22</f>
        <v>2383.1158333333333</v>
      </c>
      <c r="Z22" s="2">
        <f>+'Festival August 30'!H22</f>
        <v>-57845.06666666667</v>
      </c>
      <c r="AA22" s="2"/>
      <c r="AB22" s="2">
        <f>+'Festival August 30'!N22</f>
        <v>3399.7197199246875</v>
      </c>
      <c r="AC22" s="2">
        <f>+'Festival Sept 30 '!H22</f>
        <v>-57002.95666666667</v>
      </c>
      <c r="AD22" s="2"/>
      <c r="AE22" s="2">
        <f>+'Festival Sept 30 '!N22</f>
        <v>3465.8714196266073</v>
      </c>
      <c r="AF22" s="2">
        <f>+'Festival Oct  30'!H22</f>
        <v>-56884.89666666667</v>
      </c>
      <c r="AG22" s="2"/>
      <c r="AH22" s="2">
        <f>+'Festival Oct  30'!N22</f>
        <v>3475.1455876887476</v>
      </c>
      <c r="AI22" s="2">
        <f>+'Festival Nov 30 '!H22</f>
        <v>-57109.11666666667</v>
      </c>
      <c r="AJ22" s="2"/>
      <c r="AK22" s="2">
        <f>+'Festival Nov 30 '!N22</f>
        <v>3457.532052512625</v>
      </c>
      <c r="AL22" s="2">
        <f>+'Festival Dec 30'!H22</f>
        <v>-57131.04666666667</v>
      </c>
      <c r="AM22" s="2"/>
      <c r="AN22" s="2">
        <f>+'Festival Dec 30'!N22</f>
        <v>3455.8093479081635</v>
      </c>
      <c r="AO22" s="2">
        <f>+AL22+AI22+AF22+AC22+Z22+W22+S22+P22+L22+H22</f>
        <v>-582203.5716666668</v>
      </c>
      <c r="AP22" s="2"/>
      <c r="AQ22" s="2">
        <f>+AN22+AK22+AH22+AE22+AB22+Y22+U22+R22+N22+J22</f>
        <v>30898.201443762922</v>
      </c>
    </row>
    <row r="23" spans="1:43" ht="12.75">
      <c r="A23" t="s">
        <v>29</v>
      </c>
      <c r="B23" t="s">
        <v>19</v>
      </c>
      <c r="C23" s="2">
        <v>15360.81</v>
      </c>
      <c r="H23" s="42">
        <f>+'Festival Mar 31'!H23</f>
        <v>5570.202499999999</v>
      </c>
      <c r="J23" s="2">
        <f>+'Festival Mar 31'!N23</f>
        <v>437.56559482595526</v>
      </c>
      <c r="L23" s="42">
        <f>+'Festival Apr 30'!H23</f>
        <v>16456.76</v>
      </c>
      <c r="M23" s="2"/>
      <c r="N23" s="2">
        <f>+'Festival Apr 30'!N23</f>
        <v>1292.7558698822866</v>
      </c>
      <c r="O23" s="2"/>
      <c r="P23" s="42">
        <f>+'Festival May 31'!H23</f>
        <v>217.92</v>
      </c>
      <c r="R23" s="2">
        <f>+'Festival May 31'!N23</f>
        <v>17.11864055650978</v>
      </c>
      <c r="S23" s="42">
        <f>+'Festival June 30'!H23</f>
        <v>18033.09</v>
      </c>
      <c r="T23" s="2"/>
      <c r="U23" s="2">
        <f>+'Festival June 30'!N23</f>
        <v>1416.584002538505</v>
      </c>
      <c r="V23" s="2"/>
      <c r="W23" s="42">
        <f>+'Festival July 31'!H23</f>
        <v>19378.26</v>
      </c>
      <c r="X23" s="2"/>
      <c r="Y23" s="2">
        <f>+'Festival July 31'!N23</f>
        <v>1016.8505483541452</v>
      </c>
      <c r="Z23" s="2">
        <f>+'Festival August 30'!H23</f>
        <v>19384.02</v>
      </c>
      <c r="AA23" s="2"/>
      <c r="AB23" s="2">
        <f>+'Festival August 30'!N23</f>
        <v>1522.7059054708002</v>
      </c>
      <c r="AC23" s="2">
        <f>+'Festival Sept 30 '!H23</f>
        <v>19352.77</v>
      </c>
      <c r="AD23" s="2"/>
      <c r="AE23" s="2">
        <f>+'Festival Sept 30 '!N23</f>
        <v>1520.2510710481179</v>
      </c>
      <c r="AF23" s="2">
        <f>+'Festival Oct  30'!H23</f>
        <v>19329.41</v>
      </c>
      <c r="AG23" s="2"/>
      <c r="AH23" s="2">
        <f>+'Festival Oct  30'!N23</f>
        <v>1518.4160332204742</v>
      </c>
      <c r="AI23" s="2">
        <f>+'Festival Nov 30 '!H23</f>
        <v>20292.78</v>
      </c>
      <c r="AJ23" s="2"/>
      <c r="AK23" s="2">
        <f>+'Festival Nov 30 '!N23</f>
        <v>1594.093276029417</v>
      </c>
      <c r="AL23" s="2">
        <f>+'Festival Dec 30'!H23</f>
        <v>18731.85</v>
      </c>
      <c r="AM23" s="2"/>
      <c r="AN23" s="2">
        <f>+'Festival Dec 30'!N23</f>
        <v>1471.4748857766967</v>
      </c>
      <c r="AO23" s="2">
        <f>+AL23+AI23+AF23+AC23+Z23+W23+S23+P23+L23+H23</f>
        <v>156747.0625</v>
      </c>
      <c r="AP23" s="2"/>
      <c r="AQ23" s="2">
        <f>+AN23+AK23+AH23+AE23+AB23+Y23+U23+R23+N23+J23</f>
        <v>11807.815827702907</v>
      </c>
    </row>
    <row r="24" spans="1:43" ht="12.75">
      <c r="A24" t="s">
        <v>30</v>
      </c>
      <c r="B24" t="s">
        <v>19</v>
      </c>
      <c r="C24" s="2">
        <v>33466.81</v>
      </c>
      <c r="H24" s="42">
        <f>+'Festival Mar 31'!H24</f>
        <v>8366.7025</v>
      </c>
      <c r="J24" s="2">
        <f>+'Festival Mar 31'!N24</f>
        <v>657.2438176429505</v>
      </c>
      <c r="L24" s="42">
        <f>+'Festival Apr 30'!H24</f>
        <v>33937.02</v>
      </c>
      <c r="M24" s="2"/>
      <c r="N24" s="2">
        <f>+'Festival Apr 30'!N24</f>
        <v>2665.9124767762646</v>
      </c>
      <c r="O24" s="2"/>
      <c r="P24" s="42">
        <f>+'Festival May 31'!H24</f>
        <v>236.78</v>
      </c>
      <c r="R24" s="2">
        <f>+'Festival May 31'!N24</f>
        <v>18.600182227287014</v>
      </c>
      <c r="S24" s="42">
        <f>+'Festival June 30'!H24</f>
        <v>34874.51</v>
      </c>
      <c r="T24" s="2"/>
      <c r="U24" s="2">
        <f>+'Festival June 30'!N24</f>
        <v>2739.556723909719</v>
      </c>
      <c r="V24" s="2"/>
      <c r="W24" s="42">
        <f>+'Festival July 31'!H24</f>
        <v>35727.53</v>
      </c>
      <c r="X24" s="2"/>
      <c r="Y24" s="2">
        <f>+'Festival July 31'!N24</f>
        <v>1522.253430390011</v>
      </c>
      <c r="Z24" s="2">
        <f>+'Festival August 30'!H24</f>
        <v>35334.2</v>
      </c>
      <c r="AA24" s="2"/>
      <c r="AB24" s="2">
        <f>+'Festival August 30'!N24</f>
        <v>2775.6675346541297</v>
      </c>
      <c r="AC24" s="2">
        <f>+'Festival Sept 30 '!H24</f>
        <v>35935.44</v>
      </c>
      <c r="AD24" s="2"/>
      <c r="AE24" s="2">
        <f>+'Festival Sept 30 '!N24</f>
        <v>2822.8977633995223</v>
      </c>
      <c r="AF24" s="2">
        <f>+'Festival Oct  30'!H24</f>
        <v>35713.55</v>
      </c>
      <c r="AG24" s="2"/>
      <c r="AH24" s="2">
        <f>+'Festival Oct  30'!N24</f>
        <v>2805.4672606779554</v>
      </c>
      <c r="AI24" s="2">
        <f>+'Festival Nov 30 '!H24</f>
        <v>35748.48</v>
      </c>
      <c r="AJ24" s="2"/>
      <c r="AK24" s="2">
        <f>+'Festival Nov 30 '!N24</f>
        <v>2808.2111764022525</v>
      </c>
      <c r="AL24" s="2">
        <f>+'Festival Dec 30'!H24</f>
        <v>35801.58</v>
      </c>
      <c r="AM24" s="2"/>
      <c r="AN24" s="2">
        <f>+'Festival Dec 30'!N24</f>
        <v>2812.382431053274</v>
      </c>
      <c r="AO24" s="2">
        <f>+AL24+AI24+AF24+AC24+Z24+W24+S24+P24+L24+H24</f>
        <v>291675.79250000004</v>
      </c>
      <c r="AP24" s="2"/>
      <c r="AQ24" s="2">
        <f>+AN24+AK24+AH24+AE24+AB24+Y24+U24+R24+N24+J24</f>
        <v>21628.192797133364</v>
      </c>
    </row>
    <row r="25" spans="1:43" ht="12.75">
      <c r="A25" t="s">
        <v>85</v>
      </c>
      <c r="B25" t="s">
        <v>86</v>
      </c>
      <c r="H25" s="42">
        <f>+'Festival Mar 31'!H25</f>
        <v>0</v>
      </c>
      <c r="L25" s="42"/>
      <c r="M25" s="2"/>
      <c r="N25" s="2"/>
      <c r="O25" s="2"/>
      <c r="P25" s="42">
        <f>+'Festival May 31'!H25</f>
        <v>0</v>
      </c>
      <c r="R25" s="2">
        <f>+'Festival May 31'!N25</f>
        <v>0</v>
      </c>
      <c r="S25" s="42">
        <f>+'Festival June 30'!H25</f>
        <v>297.9</v>
      </c>
      <c r="T25" s="2"/>
      <c r="U25" s="2">
        <f>+'Festival June 30'!N25</f>
        <v>23.400044999999995</v>
      </c>
      <c r="V25" s="2"/>
      <c r="W25" s="42">
        <f>+'Festival July 31'!H25</f>
        <v>1541.72</v>
      </c>
      <c r="X25" s="2"/>
      <c r="Y25" s="2">
        <f>+'Festival July 31'!N25</f>
        <v>2806.5654554052862</v>
      </c>
      <c r="Z25" s="2">
        <f>+'Festival August 30'!H25</f>
        <v>1812.3400000000001</v>
      </c>
      <c r="AA25" s="2"/>
      <c r="AB25" s="2">
        <f>+'Festival August 30'!N25</f>
        <v>142.36782776333033</v>
      </c>
      <c r="AC25" s="2">
        <f>+'Festival Sept 30 '!H25</f>
        <v>1871.62</v>
      </c>
      <c r="AD25" s="2"/>
      <c r="AE25" s="2">
        <f>+'Festival Sept 30 '!N25</f>
        <v>147.02455046978176</v>
      </c>
      <c r="AF25" s="2">
        <f>+'Festival Oct  30'!H25</f>
        <v>1753.22</v>
      </c>
      <c r="AG25" s="2"/>
      <c r="AH25" s="2">
        <f>+'Festival Oct  30'!N25</f>
        <v>137.723673809123</v>
      </c>
      <c r="AI25" s="2">
        <f>+'Festival Nov 30 '!H25</f>
        <v>1619.8600000000001</v>
      </c>
      <c r="AJ25" s="2"/>
      <c r="AK25" s="2">
        <f>+'Festival Nov 30 '!N25</f>
        <v>127.24761881363776</v>
      </c>
      <c r="AL25" s="2">
        <f>+'Festival Dec 30'!H25</f>
        <v>1429.02</v>
      </c>
      <c r="AM25" s="2"/>
      <c r="AN25" s="2">
        <f>+'Festival Dec 30'!N25</f>
        <v>112.25623957444755</v>
      </c>
      <c r="AO25" s="2">
        <f>+AL25+AI25+AF25+AC25+Z25+W25+S25+P25+L25+H25</f>
        <v>10325.68</v>
      </c>
      <c r="AP25" s="2"/>
      <c r="AQ25" s="2">
        <f>+AN25+AK25+AH25+AE25+AB25+Y25+U25+R25+N25+J25</f>
        <v>3496.5854108356066</v>
      </c>
    </row>
    <row r="26" spans="8:43" ht="12.75">
      <c r="H26" s="42"/>
      <c r="L26" s="42"/>
      <c r="M26" s="2"/>
      <c r="N26" s="2"/>
      <c r="O26" s="2"/>
      <c r="P26" s="42"/>
      <c r="S26" s="42"/>
      <c r="T26" s="2"/>
      <c r="U26" s="2"/>
      <c r="V26" s="2"/>
      <c r="W26" s="42"/>
      <c r="X26" s="2"/>
      <c r="Z26" s="42"/>
      <c r="AA26" s="2"/>
      <c r="AC26" s="42"/>
      <c r="AD26" s="2"/>
      <c r="AF26" s="42"/>
      <c r="AG26" s="2"/>
      <c r="AI26" s="42"/>
      <c r="AJ26" s="2"/>
      <c r="AL26" s="42"/>
      <c r="AM26" s="2"/>
      <c r="AO26" s="2"/>
      <c r="AP26" s="2"/>
      <c r="AQ26" s="2"/>
    </row>
    <row r="27" spans="8:43" ht="12.75">
      <c r="H27" s="42"/>
      <c r="L27" s="42"/>
      <c r="M27" s="2"/>
      <c r="N27" s="2"/>
      <c r="O27" s="2"/>
      <c r="P27" s="42"/>
      <c r="S27" s="42"/>
      <c r="T27" s="2"/>
      <c r="U27" s="2"/>
      <c r="V27" s="2"/>
      <c r="W27" s="42"/>
      <c r="X27" s="2"/>
      <c r="Z27" s="42"/>
      <c r="AA27" s="2"/>
      <c r="AC27" s="42"/>
      <c r="AD27" s="2"/>
      <c r="AF27" s="42"/>
      <c r="AG27" s="2"/>
      <c r="AI27" s="42"/>
      <c r="AJ27" s="2"/>
      <c r="AL27" s="42"/>
      <c r="AM27" s="2"/>
      <c r="AO27" s="2"/>
      <c r="AP27" s="2"/>
      <c r="AQ27" s="2"/>
    </row>
    <row r="28" spans="1:43" ht="12.75">
      <c r="A28" t="s">
        <v>28</v>
      </c>
      <c r="B28" t="s">
        <v>33</v>
      </c>
      <c r="D28" s="2" t="s">
        <v>56</v>
      </c>
      <c r="H28" s="42"/>
      <c r="L28" s="42"/>
      <c r="M28" s="2"/>
      <c r="N28" s="2"/>
      <c r="O28" s="2"/>
      <c r="P28" s="42"/>
      <c r="S28" s="42"/>
      <c r="T28" s="2"/>
      <c r="U28" s="2"/>
      <c r="V28" s="2"/>
      <c r="W28" s="42"/>
      <c r="X28" s="2"/>
      <c r="Z28" s="42"/>
      <c r="AA28" s="2"/>
      <c r="AC28" s="42"/>
      <c r="AD28" s="2"/>
      <c r="AF28" s="42"/>
      <c r="AG28" s="2"/>
      <c r="AI28" s="42"/>
      <c r="AJ28" s="2"/>
      <c r="AL28" s="42"/>
      <c r="AM28" s="2"/>
      <c r="AO28" s="2"/>
      <c r="AP28" s="2"/>
      <c r="AQ28" s="2"/>
    </row>
    <row r="29" spans="1:43" ht="12.75">
      <c r="A29" t="s">
        <v>36</v>
      </c>
      <c r="B29" t="s">
        <v>34</v>
      </c>
      <c r="D29" s="2" t="s">
        <v>56</v>
      </c>
      <c r="H29" s="42"/>
      <c r="L29" s="42"/>
      <c r="M29" s="2"/>
      <c r="N29" s="2"/>
      <c r="O29" s="2"/>
      <c r="P29" s="42"/>
      <c r="S29" s="42"/>
      <c r="T29" s="2"/>
      <c r="U29" s="2"/>
      <c r="V29" s="2"/>
      <c r="W29" s="42"/>
      <c r="X29" s="2"/>
      <c r="Z29" s="42"/>
      <c r="AA29" s="2"/>
      <c r="AC29" s="42"/>
      <c r="AD29" s="2"/>
      <c r="AF29" s="42"/>
      <c r="AG29" s="2"/>
      <c r="AI29" s="42"/>
      <c r="AJ29" s="2"/>
      <c r="AL29" s="42"/>
      <c r="AM29" s="2"/>
      <c r="AO29" s="2"/>
      <c r="AP29" s="2"/>
      <c r="AQ29" s="2"/>
    </row>
    <row r="30" spans="1:43" ht="12.75">
      <c r="A30" t="s">
        <v>28</v>
      </c>
      <c r="B30" t="s">
        <v>26</v>
      </c>
      <c r="C30" s="2">
        <v>6703.47</v>
      </c>
      <c r="F30" s="2">
        <f>+'2001PILRecoveryAmt'!J28</f>
        <v>7063.666666666667</v>
      </c>
      <c r="H30" s="42">
        <f>+'Festival Mar 31'!H30</f>
        <v>-5387.799166666667</v>
      </c>
      <c r="J30" s="2">
        <f>+'Festival Mar 31'!N30</f>
        <v>175.3813422346161</v>
      </c>
      <c r="L30" s="42">
        <f>+'Festival Apr 30'!H30</f>
        <v>351.48333333333267</v>
      </c>
      <c r="M30" s="2"/>
      <c r="N30" s="2">
        <f>+'Festival Apr 30'!N30</f>
        <v>723.1317635021944</v>
      </c>
      <c r="O30" s="2"/>
      <c r="P30" s="42">
        <f>+'Festival May 31'!H30</f>
        <v>-7063.666666666667</v>
      </c>
      <c r="R30" s="2">
        <f>+'Festival May 31'!N30</f>
        <v>498.01000000000005</v>
      </c>
      <c r="S30" s="42">
        <f>+'Festival June 30'!H30</f>
        <v>466.3233333333328</v>
      </c>
      <c r="T30" s="2"/>
      <c r="U30" s="2">
        <f>+'Festival June 30'!N30</f>
        <v>726.6182719774905</v>
      </c>
      <c r="V30" s="2"/>
      <c r="W30" s="42">
        <f>+'Festival July 31'!H30</f>
        <v>553.4433333333327</v>
      </c>
      <c r="X30" s="2"/>
      <c r="Y30" s="2">
        <f>+'Festival July 31'!N30</f>
        <v>729.2632094415083</v>
      </c>
      <c r="Z30" s="2">
        <f>+'Festival August 30'!H30</f>
        <v>615.6833333333334</v>
      </c>
      <c r="AA30" s="2"/>
      <c r="AB30" s="2">
        <f>+'Festival August 30'!N30</f>
        <v>731.1527974552877</v>
      </c>
      <c r="AC30" s="2">
        <f>+'Festival Sept 30 '!H30</f>
        <v>645.5333333333328</v>
      </c>
      <c r="AD30" s="2"/>
      <c r="AE30" s="2">
        <f>+'Festival Sept 30 '!N30</f>
        <v>732.059034637346</v>
      </c>
      <c r="AF30" s="2">
        <f>+'Festival Oct  30'!H30</f>
        <v>599.3833333333332</v>
      </c>
      <c r="AG30" s="2"/>
      <c r="AH30" s="2">
        <f>+'Festival Oct  30'!N30</f>
        <v>730.657934270445</v>
      </c>
      <c r="AI30" s="2">
        <f>+'Festival Nov 30 '!H30</f>
        <v>443.2633333333333</v>
      </c>
      <c r="AJ30" s="2"/>
      <c r="AK30" s="2">
        <f>+'Festival Nov 30 '!N30</f>
        <v>725.9181771896089</v>
      </c>
      <c r="AL30" s="2">
        <f>+'Festival Dec 30'!H30</f>
        <v>-213.50666666666712</v>
      </c>
      <c r="AM30" s="2"/>
      <c r="AN30" s="2">
        <f>+'Festival Dec 30'!N30</f>
        <v>705.9788340050022</v>
      </c>
      <c r="AO30" s="2">
        <f>+AL30+AI30+AF30+AC30+Z30+W30+S30+P30+L30+H30</f>
        <v>-8989.859166666669</v>
      </c>
      <c r="AP30" s="2"/>
      <c r="AQ30" s="2">
        <f>+AN30+AK30+AH30+AE30+AB30+Y30+U30+R30+N30+J30</f>
        <v>6478.171364713498</v>
      </c>
    </row>
    <row r="31" spans="8:43" ht="12.75">
      <c r="H31" s="42"/>
      <c r="L31" s="42"/>
      <c r="M31" s="2"/>
      <c r="N31" s="2"/>
      <c r="O31" s="2"/>
      <c r="P31" s="42"/>
      <c r="S31" s="42"/>
      <c r="T31" s="2"/>
      <c r="U31" s="2"/>
      <c r="V31" s="2"/>
      <c r="W31" s="42"/>
      <c r="X31" s="2"/>
      <c r="Z31" s="42"/>
      <c r="AA31" s="2"/>
      <c r="AC31" s="42"/>
      <c r="AD31" s="2"/>
      <c r="AF31" s="42"/>
      <c r="AG31" s="2"/>
      <c r="AI31" s="42"/>
      <c r="AJ31" s="2"/>
      <c r="AL31" s="42"/>
      <c r="AM31" s="2"/>
      <c r="AO31" s="2"/>
      <c r="AP31" s="2"/>
      <c r="AQ31" s="2"/>
    </row>
    <row r="32" spans="1:43" ht="12.75">
      <c r="A32" t="s">
        <v>31</v>
      </c>
      <c r="B32" t="s">
        <v>33</v>
      </c>
      <c r="H32" s="42"/>
      <c r="L32" s="42"/>
      <c r="M32" s="2"/>
      <c r="N32" s="2"/>
      <c r="O32" s="2"/>
      <c r="P32" s="42"/>
      <c r="S32" s="42"/>
      <c r="T32" s="2"/>
      <c r="U32" s="2"/>
      <c r="V32" s="2"/>
      <c r="W32" s="42"/>
      <c r="X32" s="2"/>
      <c r="Z32" s="42"/>
      <c r="AA32" s="2"/>
      <c r="AC32" s="42"/>
      <c r="AD32" s="2"/>
      <c r="AF32" s="42"/>
      <c r="AG32" s="2"/>
      <c r="AI32" s="42"/>
      <c r="AJ32" s="2"/>
      <c r="AL32" s="42"/>
      <c r="AM32" s="2"/>
      <c r="AO32" s="2"/>
      <c r="AP32" s="2"/>
      <c r="AQ32" s="2"/>
    </row>
    <row r="33" spans="1:43" ht="12.75">
      <c r="A33" t="s">
        <v>37</v>
      </c>
      <c r="B33" t="s">
        <v>34</v>
      </c>
      <c r="H33" s="42"/>
      <c r="L33" s="42"/>
      <c r="M33" s="2"/>
      <c r="N33" s="2"/>
      <c r="O33" s="2"/>
      <c r="P33" s="42"/>
      <c r="S33" s="42"/>
      <c r="T33" s="2"/>
      <c r="U33" s="2"/>
      <c r="V33" s="2"/>
      <c r="W33" s="42"/>
      <c r="X33" s="2"/>
      <c r="Z33" s="42"/>
      <c r="AA33" s="2"/>
      <c r="AC33" s="42"/>
      <c r="AD33" s="2"/>
      <c r="AF33" s="42"/>
      <c r="AG33" s="2"/>
      <c r="AI33" s="42"/>
      <c r="AJ33" s="2"/>
      <c r="AL33" s="42"/>
      <c r="AM33" s="2"/>
      <c r="AO33" s="2"/>
      <c r="AP33" s="2"/>
      <c r="AQ33" s="2"/>
    </row>
    <row r="34" spans="1:43" ht="12.75">
      <c r="A34" t="s">
        <v>31</v>
      </c>
      <c r="B34" t="s">
        <v>26</v>
      </c>
      <c r="C34" s="2">
        <v>3582.01</v>
      </c>
      <c r="F34" s="2">
        <f>+'2001PILRecoveryAmt'!J32</f>
        <v>3274.5</v>
      </c>
      <c r="H34" s="42">
        <f>+'Festival Mar 31'!H34</f>
        <v>-2378.9975</v>
      </c>
      <c r="J34" s="2">
        <f>+'Festival Mar 31'!N34</f>
        <v>186.04111889919582</v>
      </c>
      <c r="L34" s="42">
        <f>+'Festival Apr 30'!H34</f>
        <v>462.80999999999995</v>
      </c>
      <c r="M34" s="2"/>
      <c r="N34" s="2">
        <f>+'Festival Apr 30'!N34</f>
        <v>767.3460853336387</v>
      </c>
      <c r="O34" s="2"/>
      <c r="P34" s="42">
        <f>+'Festival May 31'!H34</f>
        <v>-3274.5</v>
      </c>
      <c r="R34" s="2">
        <f>+'Festival May 31'!N34</f>
        <v>209.47833333333332</v>
      </c>
      <c r="S34" s="42">
        <f>+'Festival June 30'!H34</f>
        <v>480.0799999999999</v>
      </c>
      <c r="T34" s="2"/>
      <c r="U34" s="2">
        <f>+'Festival June 30'!N34</f>
        <v>769.9239758690894</v>
      </c>
      <c r="V34" s="2"/>
      <c r="W34" s="42">
        <f>+'Festival July 31'!H34</f>
        <v>412.3000000000002</v>
      </c>
      <c r="X34" s="2"/>
      <c r="Y34" s="2">
        <f>+'Festival July 31'!N34</f>
        <v>759.8064645492951</v>
      </c>
      <c r="Z34" s="2">
        <f>+'Festival August 30'!H34</f>
        <v>352.2399999999998</v>
      </c>
      <c r="AA34" s="2"/>
      <c r="AB34" s="2">
        <f>+'Festival August 30'!N34</f>
        <v>750.8413165725048</v>
      </c>
      <c r="AC34" s="2">
        <f>+'Festival Sept 30 '!H34</f>
        <v>267.57000000000016</v>
      </c>
      <c r="AD34" s="2"/>
      <c r="AE34" s="2">
        <f>+'Festival Sept 30 '!N34</f>
        <v>738.2026372652314</v>
      </c>
      <c r="AF34" s="2">
        <f>+'Festival Oct  30'!H34</f>
        <v>200.15999999999985</v>
      </c>
      <c r="AG34" s="2"/>
      <c r="AH34" s="2">
        <f>+'Festival Oct  30'!N34</f>
        <v>728.1403557947779</v>
      </c>
      <c r="AI34" s="2">
        <f>+'Festival Nov 30 '!H34</f>
        <v>267.57000000000016</v>
      </c>
      <c r="AJ34" s="2"/>
      <c r="AK34" s="2">
        <f>+'Festival Nov 30 '!N34</f>
        <v>738.2026372652314</v>
      </c>
      <c r="AL34" s="2">
        <f>+'Festival Dec 30'!H34</f>
        <v>130.36000000000013</v>
      </c>
      <c r="AM34" s="2"/>
      <c r="AN34" s="2">
        <f>+'Festival Dec 30'!N34</f>
        <v>717.7213193515549</v>
      </c>
      <c r="AO34" s="2">
        <f>+AL34+AI34+AF34+AC34+Z34+W34+S34+P34+L34+H34</f>
        <v>-3080.4075</v>
      </c>
      <c r="AP34" s="2"/>
      <c r="AQ34" s="2">
        <f>+AN34+AK34+AH34+AE34+AB34+Y34+U34+R34+N34+J34</f>
        <v>6365.7042442338525</v>
      </c>
    </row>
    <row r="35" spans="8:43" ht="12.75">
      <c r="H35" s="42"/>
      <c r="L35" s="42"/>
      <c r="M35" s="2"/>
      <c r="N35" s="2"/>
      <c r="O35" s="2"/>
      <c r="P35" s="42"/>
      <c r="S35" s="42"/>
      <c r="T35" s="2"/>
      <c r="U35" s="2"/>
      <c r="V35" s="2"/>
      <c r="W35" s="42"/>
      <c r="X35" s="2"/>
      <c r="Z35" s="42"/>
      <c r="AA35" s="2"/>
      <c r="AC35" s="42"/>
      <c r="AD35" s="2"/>
      <c r="AF35" s="42"/>
      <c r="AG35" s="2"/>
      <c r="AI35" s="42"/>
      <c r="AJ35" s="2"/>
      <c r="AL35" s="42"/>
      <c r="AM35" s="2"/>
      <c r="AO35" s="2"/>
      <c r="AP35" s="2"/>
      <c r="AQ35" s="2"/>
    </row>
    <row r="36" spans="1:43" ht="12.75">
      <c r="A36" t="s">
        <v>32</v>
      </c>
      <c r="B36" t="s">
        <v>33</v>
      </c>
      <c r="H36" s="42"/>
      <c r="L36" s="42"/>
      <c r="M36" s="2"/>
      <c r="N36" s="2"/>
      <c r="O36" s="2"/>
      <c r="P36" s="42"/>
      <c r="S36" s="42"/>
      <c r="T36" s="2"/>
      <c r="U36" s="2"/>
      <c r="V36" s="2"/>
      <c r="W36" s="42"/>
      <c r="X36" s="2"/>
      <c r="Z36" s="42"/>
      <c r="AA36" s="2"/>
      <c r="AC36" s="42"/>
      <c r="AD36" s="2"/>
      <c r="AF36" s="42"/>
      <c r="AG36" s="2"/>
      <c r="AI36" s="42"/>
      <c r="AJ36" s="2"/>
      <c r="AL36" s="42"/>
      <c r="AM36" s="2"/>
      <c r="AO36" s="2"/>
      <c r="AP36" s="2"/>
      <c r="AQ36" s="2"/>
    </row>
    <row r="37" spans="1:43" ht="12.75">
      <c r="A37" t="s">
        <v>32</v>
      </c>
      <c r="B37" t="s">
        <v>26</v>
      </c>
      <c r="C37" s="2">
        <v>1779.61</v>
      </c>
      <c r="F37" s="2">
        <f>+'2001PILRecoveryAmt'!J35</f>
        <v>1905.8333333333333</v>
      </c>
      <c r="H37" s="42">
        <f>+'Festival Mar 31'!H37</f>
        <v>-1460.9308333333333</v>
      </c>
      <c r="J37" s="2">
        <f>+'Festival Mar 31'!N37</f>
        <v>137.99355049081765</v>
      </c>
      <c r="L37" s="42">
        <f>+'Festival Apr 30'!H37</f>
        <v>-612.8933333333332</v>
      </c>
      <c r="M37" s="2"/>
      <c r="N37" s="2">
        <f>+'Festival Apr 30'!N37</f>
        <v>448.51182009619595</v>
      </c>
      <c r="O37" s="2"/>
      <c r="P37" s="42">
        <f>+'Festival May 31'!H37</f>
        <v>-1905.8333333333333</v>
      </c>
      <c r="R37" s="2">
        <f>+'Festival May 31'!N37</f>
        <v>173.6425</v>
      </c>
      <c r="S37" s="42">
        <f>+'Festival June 30'!H37</f>
        <v>-571.8033333333333</v>
      </c>
      <c r="T37" s="2"/>
      <c r="U37" s="2">
        <f>+'Festival June 30'!N37</f>
        <v>457.2472450677743</v>
      </c>
      <c r="V37" s="2"/>
      <c r="W37" s="42">
        <f>+'Festival July 31'!H37</f>
        <v>-815.1133333333332</v>
      </c>
      <c r="X37" s="2"/>
      <c r="Y37" s="2">
        <f>+'Festival July 31'!N37</f>
        <v>405.52136894621776</v>
      </c>
      <c r="Z37" s="2">
        <f>+'Festival August 30'!H37</f>
        <v>-724.9033333333332</v>
      </c>
      <c r="AA37" s="2"/>
      <c r="AB37" s="2">
        <f>+'Festival August 30'!N37</f>
        <v>424.69933649759514</v>
      </c>
      <c r="AC37" s="2">
        <f>+'Festival Sept 30 '!H37</f>
        <v>-753.2133333333334</v>
      </c>
      <c r="AD37" s="2"/>
      <c r="AE37" s="2">
        <f>+'Festival Sept 30 '!N37</f>
        <v>418.68084341058153</v>
      </c>
      <c r="AF37" s="2">
        <f>+'Festival Oct  30'!H37</f>
        <v>-621.0033333333333</v>
      </c>
      <c r="AG37" s="2"/>
      <c r="AH37" s="2">
        <f>+'Festival Oct  30'!N37</f>
        <v>446.78769508963705</v>
      </c>
      <c r="AI37" s="2">
        <f>+'Festival Nov 30 '!H37</f>
        <v>-229.4033333333332</v>
      </c>
      <c r="AJ37" s="2"/>
      <c r="AK37" s="2">
        <f>+'Festival Nov 30 '!N37</f>
        <v>530.0389099562746</v>
      </c>
      <c r="AL37" s="2">
        <f>+'Festival Dec 30'!H37</f>
        <v>-119.33333333333326</v>
      </c>
      <c r="AM37" s="2"/>
      <c r="AN37" s="2">
        <f>+'Festival Dec 30'!N37</f>
        <v>553.4389641451684</v>
      </c>
      <c r="AO37" s="2">
        <f>+AL37+AI37+AF37+AC37+Z37+W37+S37+P37+L37+H37</f>
        <v>-7814.430833333334</v>
      </c>
      <c r="AP37" s="2"/>
      <c r="AQ37" s="2">
        <f>+AN37+AK37+AH37+AE37+AB37+Y37+U37+R37+N37+J37</f>
        <v>3996.562233700262</v>
      </c>
    </row>
    <row r="38" spans="8:43" ht="12.75">
      <c r="H38" s="42"/>
      <c r="L38" s="42"/>
      <c r="M38" s="2"/>
      <c r="N38" s="2"/>
      <c r="O38" s="2"/>
      <c r="P38" s="42"/>
      <c r="S38" s="42"/>
      <c r="T38" s="2"/>
      <c r="U38" s="2"/>
      <c r="V38" s="2"/>
      <c r="W38" s="42"/>
      <c r="X38" s="2"/>
      <c r="Z38" s="42"/>
      <c r="AA38" s="2"/>
      <c r="AC38" s="42"/>
      <c r="AD38" s="2"/>
      <c r="AF38" s="42"/>
      <c r="AG38" s="2"/>
      <c r="AI38" s="42"/>
      <c r="AJ38" s="2"/>
      <c r="AL38" s="42"/>
      <c r="AM38" s="2"/>
      <c r="AO38" s="2"/>
      <c r="AP38" s="2"/>
      <c r="AQ38" s="2"/>
    </row>
    <row r="39" spans="2:43" ht="12.75">
      <c r="B39" t="s">
        <v>21</v>
      </c>
      <c r="H39" s="42"/>
      <c r="L39" s="42"/>
      <c r="M39" s="2"/>
      <c r="N39" s="2"/>
      <c r="O39" s="2"/>
      <c r="P39" s="42"/>
      <c r="S39" s="42"/>
      <c r="T39" s="2"/>
      <c r="U39" s="2"/>
      <c r="V39" s="2"/>
      <c r="W39" s="42"/>
      <c r="X39" s="2"/>
      <c r="Z39" s="42"/>
      <c r="AA39" s="2"/>
      <c r="AC39" s="42"/>
      <c r="AD39" s="2"/>
      <c r="AF39" s="42"/>
      <c r="AG39" s="2"/>
      <c r="AI39" s="42"/>
      <c r="AJ39" s="2"/>
      <c r="AL39" s="42"/>
      <c r="AM39" s="2"/>
      <c r="AO39" s="2"/>
      <c r="AP39" s="2"/>
      <c r="AQ39" s="2"/>
    </row>
    <row r="40" spans="2:43" ht="12.75">
      <c r="B40" t="s">
        <v>22</v>
      </c>
      <c r="H40" s="42"/>
      <c r="L40" s="42"/>
      <c r="M40" s="2"/>
      <c r="N40" s="2"/>
      <c r="O40" s="2"/>
      <c r="P40" s="42"/>
      <c r="S40" s="42"/>
      <c r="T40" s="2"/>
      <c r="U40" s="2"/>
      <c r="V40" s="2"/>
      <c r="W40" s="42"/>
      <c r="X40" s="2"/>
      <c r="Z40" s="42"/>
      <c r="AA40" s="2"/>
      <c r="AC40" s="42"/>
      <c r="AD40" s="2"/>
      <c r="AF40" s="42"/>
      <c r="AG40" s="2"/>
      <c r="AI40" s="42"/>
      <c r="AJ40" s="2"/>
      <c r="AL40" s="42"/>
      <c r="AM40" s="2"/>
      <c r="AO40" s="2"/>
      <c r="AP40" s="2"/>
      <c r="AQ40" s="2"/>
    </row>
    <row r="41" spans="1:43" ht="12.75">
      <c r="A41" t="s">
        <v>38</v>
      </c>
      <c r="B41" t="s">
        <v>35</v>
      </c>
      <c r="D41" s="2">
        <v>311663</v>
      </c>
      <c r="F41" s="2">
        <f>+'2001PILRecoveryAmt'!J39</f>
        <v>883.3333333333334</v>
      </c>
      <c r="H41" s="42">
        <f>+'Festival Mar 31'!H41</f>
        <v>-883.3333333333334</v>
      </c>
      <c r="I41" s="2">
        <f>+'Festival Mar 31'!I41</f>
        <v>0</v>
      </c>
      <c r="J41" s="2">
        <f>+'Festival Mar 31'!N41</f>
        <v>30.019791666666666</v>
      </c>
      <c r="L41" s="42">
        <f>+'Festival Apr 30'!H41</f>
        <v>-883.3333333333334</v>
      </c>
      <c r="M41" s="2"/>
      <c r="N41" s="2">
        <f>+'Festival Apr 30'!N41</f>
        <v>120.07916666666667</v>
      </c>
      <c r="O41" s="2"/>
      <c r="P41" s="42">
        <f>+'Festival May 31'!H41</f>
        <v>-883.3333333333334</v>
      </c>
      <c r="R41" s="2">
        <f>+'Festival May 31'!N41</f>
        <v>120.07916666666667</v>
      </c>
      <c r="S41" s="42">
        <f>+'Festival June 30'!H41</f>
        <v>-883.3333333333334</v>
      </c>
      <c r="T41" s="2"/>
      <c r="U41" s="2">
        <f>+'Festival June 30'!N41</f>
        <v>120.07916666666667</v>
      </c>
      <c r="V41" s="2"/>
      <c r="W41" s="42">
        <f>+'Festival July 31'!H41</f>
        <v>-12.693333333333385</v>
      </c>
      <c r="X41" s="2"/>
      <c r="Y41" s="2">
        <f>+'Festival July 31'!N41</f>
        <v>170.80216025157233</v>
      </c>
      <c r="Z41" s="2">
        <f>+'Festival August 30'!H41</f>
        <v>-12.693333333333385</v>
      </c>
      <c r="AA41" s="2"/>
      <c r="AB41" s="2">
        <f>+'Festival August 30'!N41</f>
        <v>170.80216025157233</v>
      </c>
      <c r="AC41" s="2">
        <f>+'Festival Sept 30 '!H41</f>
        <v>-12.693333333333385</v>
      </c>
      <c r="AD41" s="2"/>
      <c r="AE41" s="2">
        <f>+'Festival Sept 30 '!N41</f>
        <v>170.80216025157233</v>
      </c>
      <c r="AF41" s="2">
        <f>+'Festival Oct  30'!H41</f>
        <v>-12.693333333333385</v>
      </c>
      <c r="AG41" s="2"/>
      <c r="AH41" s="2">
        <f>+'Festival Oct  30'!N41</f>
        <v>170.80216025157233</v>
      </c>
      <c r="AI41" s="2">
        <f>+'Festival Nov 30 '!H41</f>
        <v>-9.333333333333371</v>
      </c>
      <c r="AJ41" s="2"/>
      <c r="AK41" s="2">
        <f>+'Festival Nov 30 '!N41</f>
        <v>170.99791194968554</v>
      </c>
      <c r="AL41" s="2">
        <f>+'Festival Dec 30'!H41</f>
        <v>2597.846666666667</v>
      </c>
      <c r="AM41" s="2"/>
      <c r="AN41" s="2">
        <f>+'Festival Dec 30'!N41</f>
        <v>322.8907429874214</v>
      </c>
      <c r="AO41" s="2">
        <f>+AL41+AI41+AF41+AC41+Z41+W41+S41+P41+L41+H41</f>
        <v>-995.5933333333347</v>
      </c>
      <c r="AP41" s="2"/>
      <c r="AQ41" s="2">
        <f>+AN41+AK41+AH41+AE41+AB41+Y41+U41+R41+N41+J41</f>
        <v>1567.3545876100627</v>
      </c>
    </row>
    <row r="42" spans="8:43" ht="12.75">
      <c r="H42" s="42"/>
      <c r="L42" s="42"/>
      <c r="M42" s="2"/>
      <c r="N42" s="2"/>
      <c r="O42" s="2"/>
      <c r="P42" s="42"/>
      <c r="S42" s="42"/>
      <c r="T42" s="2"/>
      <c r="U42" s="2"/>
      <c r="V42" s="2"/>
      <c r="W42" s="42"/>
      <c r="X42" s="2"/>
      <c r="Z42" s="42"/>
      <c r="AA42" s="2"/>
      <c r="AC42" s="42"/>
      <c r="AD42" s="2"/>
      <c r="AF42" s="42"/>
      <c r="AG42" s="2"/>
      <c r="AI42" s="42"/>
      <c r="AJ42" s="2"/>
      <c r="AL42" s="42"/>
      <c r="AM42" s="2"/>
      <c r="AO42" s="2"/>
      <c r="AP42" s="2"/>
      <c r="AQ42" s="2"/>
    </row>
    <row r="43" spans="2:43" ht="12.75">
      <c r="B43" t="s">
        <v>23</v>
      </c>
      <c r="F43" s="2">
        <f>+'2001PILRecoveryAmt'!J41</f>
        <v>44.416666666666664</v>
      </c>
      <c r="H43" s="42">
        <f>+'Festival Mar 31'!H43</f>
        <v>-44.416666666666664</v>
      </c>
      <c r="J43" s="2">
        <f>+'Festival Mar 31'!N43</f>
        <v>3.7720833333333332</v>
      </c>
      <c r="L43" s="42">
        <f>+'Festival Apr 30'!H43</f>
        <v>-44.416666666666664</v>
      </c>
      <c r="M43" s="2"/>
      <c r="N43" s="2">
        <f>+'Festival Apr 30'!N43</f>
        <v>15.088333333333333</v>
      </c>
      <c r="O43" s="2"/>
      <c r="P43" s="42">
        <f>+'Festival May 31'!H43</f>
        <v>-44.416666666666664</v>
      </c>
      <c r="R43" s="2">
        <f>+'Festival May 31'!N43</f>
        <v>15.088333333333333</v>
      </c>
      <c r="S43" s="42">
        <f>+'Festival June 30'!H43</f>
        <v>-44.416666666666664</v>
      </c>
      <c r="T43" s="2"/>
      <c r="U43" s="2">
        <f>+'Festival June 30'!N43</f>
        <v>15.088333333333333</v>
      </c>
      <c r="V43" s="2"/>
      <c r="W43" s="42">
        <f>+'Festival July 31'!H43</f>
        <v>-44.416666666666664</v>
      </c>
      <c r="X43" s="2"/>
      <c r="Y43" s="2">
        <f>+'Festival July 31'!N43</f>
        <v>15.088333333333333</v>
      </c>
      <c r="Z43" s="2">
        <f>+'Festival August 30'!H43</f>
        <v>-44.416666666666664</v>
      </c>
      <c r="AA43" s="2"/>
      <c r="AB43" s="2">
        <f>+'Festival August 30'!N43</f>
        <v>15.088333333333333</v>
      </c>
      <c r="AC43" s="2">
        <f>+'Festival Sept 30 '!H43</f>
        <v>-44.416666666666664</v>
      </c>
      <c r="AD43" s="2"/>
      <c r="AE43" s="2">
        <f>+'Festival Sept 30 '!N43</f>
        <v>15.088333333333333</v>
      </c>
      <c r="AF43" s="2">
        <f>+'Festival Oct  30'!H43</f>
        <v>-44.416666666666664</v>
      </c>
      <c r="AG43" s="2"/>
      <c r="AH43" s="2">
        <f>+'Festival Oct  30'!N43</f>
        <v>15.088333333333333</v>
      </c>
      <c r="AI43" s="2">
        <f>+'Festival Nov 30 '!H43</f>
        <v>-44.416666666666664</v>
      </c>
      <c r="AJ43" s="2"/>
      <c r="AK43" s="2">
        <f>+'Festival Nov 30 '!N43</f>
        <v>15.088333333333333</v>
      </c>
      <c r="AL43" s="2">
        <f>+'Festival Dec 30'!H43</f>
        <v>-1.7566666666666677</v>
      </c>
      <c r="AM43" s="2"/>
      <c r="AN43" s="2">
        <f>+'Festival Dec 30'!N43</f>
        <v>21.32805866166354</v>
      </c>
      <c r="AO43" s="2">
        <f>+AL43+AI43+AF43+AC43+Z43+W43+S43+P43+L43+H43</f>
        <v>-401.5066666666667</v>
      </c>
      <c r="AP43" s="2"/>
      <c r="AQ43" s="2">
        <f>+AN43+AK43+AH43+AE43+AB43+Y43+U43+R43+N43+J43</f>
        <v>145.80680866166355</v>
      </c>
    </row>
    <row r="44" spans="8:43" ht="12.75">
      <c r="H44" s="42"/>
      <c r="L44" s="42"/>
      <c r="M44" s="2"/>
      <c r="N44" s="2"/>
      <c r="O44" s="2"/>
      <c r="P44" s="42"/>
      <c r="S44" s="42"/>
      <c r="T44" s="2"/>
      <c r="U44" s="2"/>
      <c r="V44" s="2"/>
      <c r="W44" s="42"/>
      <c r="X44" s="2"/>
      <c r="Z44" s="42"/>
      <c r="AA44" s="2"/>
      <c r="AC44" s="42"/>
      <c r="AD44" s="2"/>
      <c r="AF44" s="42"/>
      <c r="AG44" s="2"/>
      <c r="AI44" s="42"/>
      <c r="AJ44" s="2"/>
      <c r="AL44" s="42"/>
      <c r="AM44" s="2"/>
      <c r="AO44" s="2"/>
      <c r="AP44" s="2"/>
      <c r="AQ44" s="2"/>
    </row>
    <row r="45" spans="1:43" ht="13.5" thickBot="1">
      <c r="A45" s="13"/>
      <c r="B45" s="13" t="s">
        <v>24</v>
      </c>
      <c r="C45" s="14">
        <f>SUM(C9:C43)</f>
        <v>77667.97</v>
      </c>
      <c r="D45" s="14">
        <f>SUM(D9:D43)</f>
        <v>18311587</v>
      </c>
      <c r="E45" s="14"/>
      <c r="F45" s="14">
        <f>SUM(F9:F43)</f>
        <v>83958.16666666667</v>
      </c>
      <c r="G45" s="14">
        <f>SUM(G9:G43)</f>
        <v>17323868.083333332</v>
      </c>
      <c r="H45" s="43">
        <f>SUM(H9:H43)</f>
        <v>-62828.81416666666</v>
      </c>
      <c r="I45" s="14">
        <f>SUM(I9:I43)</f>
        <v>-12831640.333333332</v>
      </c>
      <c r="J45" s="14">
        <f>SUM(J9:J44)</f>
        <v>7843.302390029213</v>
      </c>
      <c r="K45" s="15"/>
      <c r="L45" s="43">
        <f>SUM(L9:L43)</f>
        <v>-964.4966666666753</v>
      </c>
      <c r="M45" s="14">
        <f>SUM(M9:M43)</f>
        <v>312060.91666666727</v>
      </c>
      <c r="N45" s="14">
        <f>SUM(N9:N44)</f>
        <v>30938.399751060122</v>
      </c>
      <c r="O45" s="14"/>
      <c r="P45" s="43">
        <f>SUM(P9:P43)</f>
        <v>-68371.95666666667</v>
      </c>
      <c r="Q45" s="14">
        <f>SUM(Q9:Q43)</f>
        <v>-641811.0833333328</v>
      </c>
      <c r="R45" s="14">
        <f>SUM(R9:R44)</f>
        <v>24847.787224276133</v>
      </c>
      <c r="S45" s="43">
        <f>SUM(S21:S44)</f>
        <v>-12839.136666666667</v>
      </c>
      <c r="T45" s="14">
        <f>SUM(T9:T43)</f>
        <v>-8992134.083333332</v>
      </c>
      <c r="U45" s="14">
        <f>SUM(U9:U44)</f>
        <v>24612.935024376937</v>
      </c>
      <c r="V45" s="14"/>
      <c r="W45" s="43">
        <f>SUM(W9:W44)</f>
        <v>-1100.8966666666731</v>
      </c>
      <c r="X45" s="14">
        <f>SUM(X9:X43)</f>
        <v>-1224054.0833333328</v>
      </c>
      <c r="Y45" s="14">
        <f>SUM(Y9:Y43)</f>
        <v>29836.438148815192</v>
      </c>
      <c r="Z45" s="43">
        <f>SUM(Z9:Z44)</f>
        <v>-1128.596666666679</v>
      </c>
      <c r="AA45" s="14">
        <f>SUM(AA9:AA43)</f>
        <v>2471017.916666667</v>
      </c>
      <c r="AB45" s="14">
        <f>SUM(AB9:AB43)</f>
        <v>32283.991700981678</v>
      </c>
      <c r="AC45" s="43">
        <f>SUM(AC9:AC44)</f>
        <v>259.6533333333262</v>
      </c>
      <c r="AD45" s="14">
        <f>SUM(AD9:AD43)</f>
        <v>2010210.9166666672</v>
      </c>
      <c r="AE45" s="14">
        <f>SUM(AE9:AE43)</f>
        <v>32067.285773528296</v>
      </c>
      <c r="AF45" s="43">
        <f>SUM(AF9:AF44)</f>
        <v>32.713333333338674</v>
      </c>
      <c r="AG45" s="14">
        <f>SUM(AG9:AG43)</f>
        <v>-951700.0833333328</v>
      </c>
      <c r="AH45" s="14">
        <f>SUM(AH9:AH43)</f>
        <v>30123.947707661027</v>
      </c>
      <c r="AI45" s="43">
        <f>SUM(AI9:AI44)</f>
        <v>979.6833333333337</v>
      </c>
      <c r="AJ45" s="14">
        <f>SUM(AJ9:AJ43)</f>
        <v>-828035.0833333328</v>
      </c>
      <c r="AK45" s="14">
        <f>SUM(AK9:AK43)</f>
        <v>30442.88400184236</v>
      </c>
      <c r="AL45" s="43">
        <f>SUM(AL9:AL44)</f>
        <v>1225.0133333333313</v>
      </c>
      <c r="AM45" s="14">
        <f>SUM(AM9:AM43)</f>
        <v>781844.9166666672</v>
      </c>
      <c r="AN45" s="14">
        <f>SUM(AN9:AN43)</f>
        <v>31465.36429135016</v>
      </c>
      <c r="AO45" s="43">
        <f>SUM(AO9:AO44)</f>
        <v>-144736.83416666673</v>
      </c>
      <c r="AP45" s="14">
        <f>SUM(AP9:AP43)</f>
        <v>-19894240.08333333</v>
      </c>
      <c r="AQ45" s="14">
        <f>SUM(AQ9:AQ43)</f>
        <v>274462.33601392107</v>
      </c>
    </row>
    <row r="46" spans="2:42" ht="12.75">
      <c r="B46" s="47" t="s">
        <v>149</v>
      </c>
      <c r="I46" s="2">
        <f>+'Festival Mar 31'!I47</f>
        <v>77915.75</v>
      </c>
      <c r="M46" s="2">
        <f>+'Festival Apr 30'!I47</f>
        <v>311663.00000000064</v>
      </c>
      <c r="N46" s="2"/>
      <c r="O46" s="2"/>
      <c r="Q46" s="2">
        <f>+'Festival May 31'!I47</f>
        <v>313435.0000000007</v>
      </c>
      <c r="X46" s="2">
        <f>-'Festival July 31'!I47</f>
        <v>152.0000000006985</v>
      </c>
      <c r="AA46" s="2">
        <f>-'Festival August 30'!I47</f>
        <v>152.00000000093132</v>
      </c>
      <c r="AD46" s="2">
        <f>-'Festival Sept 30 '!I47</f>
        <v>152.0000000006985</v>
      </c>
      <c r="AG46" s="2">
        <f>-'Festival Oct  30'!I47</f>
        <v>152.0000000006985</v>
      </c>
      <c r="AJ46" s="2">
        <f>-'Festival Nov 30 '!I47</f>
        <v>152.0000000006985</v>
      </c>
      <c r="AM46" s="2">
        <f>-'Festival Dec 30'!I47</f>
        <v>152.0000000006985</v>
      </c>
      <c r="AP46" s="2">
        <f>+AM46+AJ46+AG46+AD46+AA46+X46+T46+Q46+M46+I46</f>
        <v>703925.7500000058</v>
      </c>
    </row>
    <row r="47" spans="3:43" ht="12.75">
      <c r="C47" s="2">
        <f>16775.26+15360.81+33466.81+3582.01+1779.61+0+6703.47</f>
        <v>77667.97</v>
      </c>
      <c r="D47" s="2">
        <f>10777710+694421+384214+9701+22871-362+5991228-1197+1923163+1994047+6588304+5946043+14820672+121338+821861+711293+311663+94066+0</f>
        <v>51211036</v>
      </c>
      <c r="M47" s="2"/>
      <c r="N47" s="2"/>
      <c r="O47" s="2"/>
      <c r="AK47" s="2" t="s">
        <v>164</v>
      </c>
      <c r="AL47" s="2">
        <f>+AP46-AP48</f>
        <v>912.0000000044238</v>
      </c>
      <c r="AO47" s="2"/>
      <c r="AP47" s="2"/>
      <c r="AQ47" s="2"/>
    </row>
    <row r="48" spans="13:43" ht="12.75">
      <c r="M48" s="2"/>
      <c r="N48" s="2"/>
      <c r="O48" s="2"/>
      <c r="AK48" s="2" t="s">
        <v>165</v>
      </c>
      <c r="AL48" s="2">
        <v>14446.45</v>
      </c>
      <c r="AM48" s="2"/>
      <c r="AO48" s="2" t="s">
        <v>160</v>
      </c>
      <c r="AP48" s="2">
        <f>+I46++M46+Q46</f>
        <v>703013.7500000014</v>
      </c>
      <c r="AQ48" s="2"/>
    </row>
    <row r="49" spans="14:43" ht="12.75">
      <c r="N49" s="2"/>
      <c r="O49" s="2"/>
      <c r="AK49" s="2" t="s">
        <v>121</v>
      </c>
      <c r="AL49" s="2">
        <f>+AL47+AL48</f>
        <v>15358.450000004425</v>
      </c>
      <c r="AM49" s="2"/>
      <c r="AO49" s="2" t="s">
        <v>161</v>
      </c>
      <c r="AP49" s="2" t="s">
        <v>162</v>
      </c>
      <c r="AQ49" s="2"/>
    </row>
    <row r="50" spans="14:43" ht="12.75">
      <c r="N50" s="2"/>
      <c r="O50" s="2"/>
      <c r="AK50" s="2" t="s">
        <v>161</v>
      </c>
      <c r="AL50" s="2" t="s">
        <v>162</v>
      </c>
      <c r="AM50" s="2"/>
      <c r="AN50" s="2" t="s">
        <v>166</v>
      </c>
      <c r="AP50" s="2">
        <f>+AP48/360</f>
        <v>1952.815972222226</v>
      </c>
      <c r="AQ50" s="2"/>
    </row>
    <row r="51" spans="14:43" ht="12.75">
      <c r="N51" s="2"/>
      <c r="O51" s="2"/>
      <c r="AJ51" s="2" t="s">
        <v>167</v>
      </c>
      <c r="AK51" s="2"/>
      <c r="AL51" s="2">
        <f>+AL49/360</f>
        <v>42.6623611111234</v>
      </c>
      <c r="AM51" s="2"/>
      <c r="AO51" s="2"/>
      <c r="AP51" s="2"/>
      <c r="AQ51" s="2"/>
    </row>
    <row r="52" spans="14:39" ht="12.75">
      <c r="N52" s="2"/>
      <c r="O52" s="2"/>
      <c r="AM52" s="2"/>
    </row>
    <row r="53" spans="14:15" ht="12.75">
      <c r="N53" s="2"/>
      <c r="O53" s="2"/>
    </row>
    <row r="54" spans="14:15" ht="12.75">
      <c r="N54" s="2"/>
      <c r="O54" s="2"/>
    </row>
    <row r="55" spans="14:15" ht="12.75">
      <c r="N55" s="2"/>
      <c r="O55" s="2"/>
    </row>
    <row r="56" spans="14:15" ht="12.75">
      <c r="N56" s="2"/>
      <c r="O56" s="2"/>
    </row>
    <row r="57" spans="41:43" ht="12.75">
      <c r="AO57" s="2"/>
      <c r="AP57" s="2"/>
      <c r="AQ57" s="2"/>
    </row>
    <row r="58" spans="41:43" ht="12.75">
      <c r="AO58" s="2"/>
      <c r="AP58" s="2"/>
      <c r="AQ58" s="2"/>
    </row>
    <row r="59" spans="41:43" ht="12.75">
      <c r="AO59" s="2"/>
      <c r="AP59" s="2"/>
      <c r="AQ59" s="2"/>
    </row>
    <row r="60" spans="41:43" ht="12.75">
      <c r="AO60" s="2"/>
      <c r="AP60" s="2"/>
      <c r="AQ60" s="2"/>
    </row>
    <row r="61" spans="41:43" ht="12.75">
      <c r="AO61" s="2"/>
      <c r="AP61" s="2"/>
      <c r="AQ61" s="2"/>
    </row>
    <row r="62" spans="41:43" ht="12.75">
      <c r="AO62" s="2"/>
      <c r="AP62" s="2"/>
      <c r="AQ62" s="2"/>
    </row>
    <row r="63" spans="41:43" ht="12.75">
      <c r="AO63" s="2"/>
      <c r="AP63" s="2"/>
      <c r="AQ63" s="2"/>
    </row>
    <row r="64" spans="41:43" ht="12.75">
      <c r="AO64" s="2"/>
      <c r="AP64" s="2"/>
      <c r="AQ64" s="2"/>
    </row>
    <row r="65" spans="41:43" ht="12.75">
      <c r="AO65" s="2"/>
      <c r="AP65" s="2"/>
      <c r="AQ65" s="2"/>
    </row>
    <row r="66" spans="41:43" ht="12.75">
      <c r="AO66" s="2"/>
      <c r="AP66" s="2"/>
      <c r="AQ66" s="2"/>
    </row>
    <row r="67" spans="41:43" ht="12.75">
      <c r="AO67" s="2"/>
      <c r="AP67" s="2"/>
      <c r="AQ67" s="2"/>
    </row>
    <row r="68" spans="41:43" ht="12.75">
      <c r="AO68" s="2"/>
      <c r="AP68" s="2"/>
      <c r="AQ68" s="2"/>
    </row>
    <row r="69" spans="41:43" ht="12.75">
      <c r="AO69" s="2"/>
      <c r="AP69" s="2"/>
      <c r="AQ69" s="2"/>
    </row>
    <row r="70" spans="41:43" ht="12.75">
      <c r="AO70" s="2"/>
      <c r="AP70" s="2"/>
      <c r="AQ70" s="2"/>
    </row>
    <row r="71" spans="41:43" ht="12.75">
      <c r="AO71" s="2"/>
      <c r="AP71" s="2"/>
      <c r="AQ71" s="2"/>
    </row>
    <row r="72" spans="41:43" ht="12.75">
      <c r="AO72" s="2"/>
      <c r="AP72" s="2"/>
      <c r="AQ72" s="2"/>
    </row>
    <row r="73" spans="41:43" ht="12.75">
      <c r="AO73" s="2"/>
      <c r="AP73" s="2"/>
      <c r="AQ73" s="2"/>
    </row>
    <row r="74" spans="41:43" ht="12.75">
      <c r="AO74" s="2"/>
      <c r="AP74" s="2"/>
      <c r="AQ74" s="2"/>
    </row>
    <row r="75" spans="41:43" ht="12.75">
      <c r="AO75" s="2"/>
      <c r="AP75" s="2"/>
      <c r="AQ75" s="2"/>
    </row>
    <row r="76" spans="41:43" ht="12.75">
      <c r="AO76" s="2"/>
      <c r="AP76" s="2"/>
      <c r="AQ76" s="2"/>
    </row>
    <row r="77" spans="41:43" ht="12.75">
      <c r="AO77" s="2"/>
      <c r="AP77" s="2"/>
      <c r="AQ77" s="2"/>
    </row>
    <row r="78" spans="41:43" ht="12.75">
      <c r="AO78" s="2"/>
      <c r="AP78" s="2"/>
      <c r="AQ78" s="2"/>
    </row>
    <row r="79" spans="41:43" ht="12.75">
      <c r="AO79" s="2"/>
      <c r="AP79" s="2"/>
      <c r="AQ79" s="2"/>
    </row>
    <row r="80" spans="41:43" ht="12.75">
      <c r="AO80" s="2"/>
      <c r="AP80" s="2"/>
      <c r="AQ80" s="2"/>
    </row>
    <row r="81" spans="41:43" ht="12.75">
      <c r="AO81" s="2"/>
      <c r="AP81" s="2"/>
      <c r="AQ81" s="2"/>
    </row>
    <row r="82" spans="41:43" ht="12.75">
      <c r="AO82" s="2"/>
      <c r="AP82" s="2"/>
      <c r="AQ82" s="2"/>
    </row>
    <row r="83" spans="41:43" ht="12.75">
      <c r="AO83" s="2"/>
      <c r="AP83" s="2"/>
      <c r="AQ83" s="2"/>
    </row>
    <row r="84" spans="41:43" ht="12.75">
      <c r="AO84" s="2"/>
      <c r="AP84" s="2"/>
      <c r="AQ84" s="2"/>
    </row>
    <row r="85" spans="41:43" ht="12.75">
      <c r="AO85" s="2"/>
      <c r="AP85" s="2"/>
      <c r="AQ85" s="2"/>
    </row>
    <row r="86" spans="41:43" ht="12.75">
      <c r="AO86" s="2"/>
      <c r="AP86" s="2"/>
      <c r="AQ86" s="2"/>
    </row>
    <row r="87" spans="41:43" ht="12.75">
      <c r="AO87" s="2"/>
      <c r="AP87" s="2"/>
      <c r="AQ87" s="2"/>
    </row>
    <row r="88" spans="41:43" ht="12.75">
      <c r="AO88" s="2"/>
      <c r="AP88" s="2"/>
      <c r="AQ88" s="2"/>
    </row>
    <row r="89" spans="41:43" ht="12.75">
      <c r="AO89" s="2"/>
      <c r="AP89" s="2"/>
      <c r="AQ89" s="2"/>
    </row>
    <row r="90" spans="41:43" ht="12.75">
      <c r="AO90" s="2"/>
      <c r="AP90" s="2"/>
      <c r="AQ90" s="2"/>
    </row>
    <row r="91" spans="41:43" ht="12.75">
      <c r="AO91" s="2"/>
      <c r="AP91" s="2"/>
      <c r="AQ91" s="2"/>
    </row>
    <row r="92" spans="41:43" ht="12.75">
      <c r="AO92" s="2"/>
      <c r="AP92" s="2"/>
      <c r="AQ92" s="2"/>
    </row>
    <row r="93" spans="41:43" ht="12.75">
      <c r="AO93" s="2"/>
      <c r="AP93" s="2"/>
      <c r="AQ93" s="2"/>
    </row>
    <row r="94" spans="41:43" ht="12.75">
      <c r="AO94" s="2"/>
      <c r="AP94" s="2"/>
      <c r="AQ94" s="2"/>
    </row>
    <row r="95" spans="41:43" ht="12.75">
      <c r="AO95" s="2"/>
      <c r="AP95" s="2"/>
      <c r="AQ95" s="2"/>
    </row>
    <row r="96" spans="41:43" ht="12.75">
      <c r="AO96" s="2"/>
      <c r="AP96" s="2"/>
      <c r="AQ96" s="2"/>
    </row>
    <row r="97" spans="41:43" ht="12.75">
      <c r="AO97" s="2"/>
      <c r="AP97" s="2"/>
      <c r="AQ97" s="2"/>
    </row>
    <row r="98" spans="41:43" ht="12.75">
      <c r="AO98" s="2"/>
      <c r="AP98" s="2"/>
      <c r="AQ98" s="2"/>
    </row>
    <row r="99" spans="41:43" ht="12.75">
      <c r="AO99" s="2"/>
      <c r="AP99" s="2"/>
      <c r="AQ99" s="2"/>
    </row>
    <row r="100" spans="41:43" ht="12.75">
      <c r="AO100" s="2"/>
      <c r="AP100" s="2"/>
      <c r="AQ100" s="2"/>
    </row>
    <row r="101" spans="41:43" ht="12.75">
      <c r="AO101" s="2"/>
      <c r="AP101" s="2"/>
      <c r="AQ101" s="2"/>
    </row>
    <row r="102" spans="41:43" ht="12.75">
      <c r="AO102" s="2"/>
      <c r="AP102" s="2"/>
      <c r="AQ102" s="2"/>
    </row>
    <row r="103" spans="41:43" ht="12.75">
      <c r="AO103" s="2"/>
      <c r="AP103" s="2"/>
      <c r="AQ103" s="2"/>
    </row>
    <row r="104" spans="41:43" ht="12.75">
      <c r="AO104" s="2"/>
      <c r="AP104" s="2"/>
      <c r="AQ104" s="2"/>
    </row>
    <row r="105" spans="41:43" ht="12.75">
      <c r="AO105" s="2"/>
      <c r="AP105" s="2"/>
      <c r="AQ105" s="2"/>
    </row>
    <row r="106" spans="41:43" ht="12.75">
      <c r="AO106" s="2"/>
      <c r="AP106" s="2"/>
      <c r="AQ106" s="2"/>
    </row>
    <row r="107" spans="41:43" ht="12.75">
      <c r="AO107" s="2"/>
      <c r="AP107" s="2"/>
      <c r="AQ107" s="2"/>
    </row>
    <row r="108" spans="41:43" ht="12.75">
      <c r="AO108" s="2"/>
      <c r="AP108" s="2"/>
      <c r="AQ108" s="2"/>
    </row>
    <row r="109" spans="41:43" ht="12.75">
      <c r="AO109" s="2"/>
      <c r="AP109" s="2"/>
      <c r="AQ109" s="2"/>
    </row>
    <row r="110" spans="41:43" ht="12.75">
      <c r="AO110" s="2"/>
      <c r="AP110" s="2"/>
      <c r="AQ110" s="2"/>
    </row>
    <row r="111" spans="41:43" ht="12.75">
      <c r="AO111" s="2"/>
      <c r="AP111" s="2"/>
      <c r="AQ111" s="2"/>
    </row>
    <row r="112" spans="41:43" ht="12.75">
      <c r="AO112" s="2"/>
      <c r="AP112" s="2"/>
      <c r="AQ112" s="2"/>
    </row>
    <row r="113" spans="41:43" ht="12.75">
      <c r="AO113" s="2"/>
      <c r="AP113" s="2"/>
      <c r="AQ113" s="2"/>
    </row>
    <row r="114" spans="41:43" ht="12.75">
      <c r="AO114" s="2"/>
      <c r="AP114" s="2"/>
      <c r="AQ114" s="2"/>
    </row>
    <row r="115" spans="41:43" ht="12.75">
      <c r="AO115" s="2"/>
      <c r="AP115" s="2"/>
      <c r="AQ115" s="2"/>
    </row>
    <row r="116" spans="41:43" ht="12.75">
      <c r="AO116" s="2"/>
      <c r="AP116" s="2"/>
      <c r="AQ116" s="2"/>
    </row>
    <row r="117" spans="41:43" ht="12.75">
      <c r="AO117" s="2"/>
      <c r="AP117" s="2"/>
      <c r="AQ117" s="2"/>
    </row>
    <row r="118" spans="41:43" ht="12.75">
      <c r="AO118" s="2"/>
      <c r="AP118" s="2"/>
      <c r="AQ118" s="2"/>
    </row>
    <row r="119" spans="41:43" ht="12.75">
      <c r="AO119" s="2"/>
      <c r="AP119" s="2"/>
      <c r="AQ119" s="2"/>
    </row>
    <row r="120" spans="41:43" ht="12.75">
      <c r="AO120" s="2"/>
      <c r="AP120" s="2"/>
      <c r="AQ120" s="2"/>
    </row>
    <row r="121" spans="41:43" ht="12.75">
      <c r="AO121" s="2"/>
      <c r="AP121" s="2"/>
      <c r="AQ121" s="2"/>
    </row>
    <row r="122" spans="41:43" ht="12.75">
      <c r="AO122" s="2"/>
      <c r="AP122" s="2"/>
      <c r="AQ122" s="2"/>
    </row>
    <row r="123" spans="41:43" ht="12.75">
      <c r="AO123" s="2"/>
      <c r="AP123" s="2"/>
      <c r="AQ123" s="2"/>
    </row>
    <row r="124" spans="41:43" ht="12.75">
      <c r="AO124" s="2"/>
      <c r="AP124" s="2"/>
      <c r="AQ124" s="2"/>
    </row>
    <row r="125" spans="41:43" ht="12.75">
      <c r="AO125" s="2"/>
      <c r="AP125" s="2"/>
      <c r="AQ125" s="2"/>
    </row>
    <row r="126" spans="41:43" ht="12.75">
      <c r="AO126" s="2"/>
      <c r="AP126" s="2"/>
      <c r="AQ126" s="2"/>
    </row>
    <row r="127" spans="41:43" ht="12.75">
      <c r="AO127" s="2"/>
      <c r="AP127" s="2"/>
      <c r="AQ127" s="2"/>
    </row>
    <row r="128" spans="41:43" ht="12.75">
      <c r="AO128" s="2"/>
      <c r="AP128" s="2"/>
      <c r="AQ128" s="2"/>
    </row>
    <row r="129" spans="41:43" ht="12.75">
      <c r="AO129" s="2"/>
      <c r="AP129" s="2"/>
      <c r="AQ129" s="2"/>
    </row>
    <row r="130" spans="41:43" ht="12.75">
      <c r="AO130" s="2"/>
      <c r="AP130" s="2"/>
      <c r="AQ130" s="2"/>
    </row>
    <row r="131" spans="41:43" ht="12.75">
      <c r="AO131" s="2"/>
      <c r="AP131" s="2"/>
      <c r="AQ131" s="2"/>
    </row>
    <row r="132" spans="41:43" ht="12.75">
      <c r="AO132" s="2"/>
      <c r="AP132" s="2"/>
      <c r="AQ132" s="2"/>
    </row>
    <row r="133" spans="41:43" ht="12.75">
      <c r="AO133" s="2"/>
      <c r="AP133" s="2"/>
      <c r="AQ133" s="2"/>
    </row>
    <row r="134" spans="41:43" ht="12.75">
      <c r="AO134" s="2"/>
      <c r="AP134" s="2"/>
      <c r="AQ134" s="2"/>
    </row>
    <row r="135" spans="41:43" ht="12.75">
      <c r="AO135" s="2"/>
      <c r="AP135" s="2"/>
      <c r="AQ135" s="2"/>
    </row>
    <row r="136" spans="41:43" ht="12.75">
      <c r="AO136" s="2"/>
      <c r="AP136" s="2"/>
      <c r="AQ136" s="2"/>
    </row>
    <row r="137" spans="41:43" ht="12.75">
      <c r="AO137" s="2"/>
      <c r="AP137" s="2"/>
      <c r="AQ137" s="2"/>
    </row>
    <row r="138" spans="41:43" ht="12.75">
      <c r="AO138" s="2"/>
      <c r="AP138" s="2"/>
      <c r="AQ138" s="2"/>
    </row>
    <row r="139" spans="41:43" ht="12.75">
      <c r="AO139" s="2"/>
      <c r="AP139" s="2"/>
      <c r="AQ139" s="2"/>
    </row>
    <row r="140" spans="41:43" ht="12.75">
      <c r="AO140" s="2"/>
      <c r="AP140" s="2"/>
      <c r="AQ140" s="2"/>
    </row>
    <row r="141" spans="41:43" ht="12.75">
      <c r="AO141" s="2"/>
      <c r="AP141" s="2"/>
      <c r="AQ141" s="2"/>
    </row>
    <row r="142" spans="41:43" ht="12.75">
      <c r="AO142" s="2"/>
      <c r="AP142" s="2"/>
      <c r="AQ142" s="2"/>
    </row>
    <row r="143" spans="41:43" ht="12.75">
      <c r="AO143" s="2"/>
      <c r="AP143" s="2"/>
      <c r="AQ143" s="2"/>
    </row>
    <row r="144" spans="41:43" ht="12.75">
      <c r="AO144" s="2"/>
      <c r="AP144" s="2"/>
      <c r="AQ144" s="2"/>
    </row>
    <row r="145" spans="41:43" ht="12.75">
      <c r="AO145" s="2"/>
      <c r="AP145" s="2"/>
      <c r="AQ145" s="2"/>
    </row>
    <row r="146" spans="41:43" ht="12.75">
      <c r="AO146" s="2"/>
      <c r="AP146" s="2"/>
      <c r="AQ146" s="2"/>
    </row>
    <row r="147" spans="41:43" ht="12.75">
      <c r="AO147" s="2"/>
      <c r="AP147" s="2"/>
      <c r="AQ147" s="2"/>
    </row>
    <row r="148" spans="41:43" ht="12.75">
      <c r="AO148" s="2"/>
      <c r="AP148" s="2"/>
      <c r="AQ148" s="2"/>
    </row>
    <row r="149" spans="41:43" ht="12.75">
      <c r="AO149" s="2"/>
      <c r="AP149" s="2"/>
      <c r="AQ149" s="2"/>
    </row>
    <row r="150" spans="41:43" ht="12.75">
      <c r="AO150" s="2"/>
      <c r="AP150" s="2"/>
      <c r="AQ150" s="2"/>
    </row>
    <row r="151" spans="41:43" ht="12.75">
      <c r="AO151" s="2"/>
      <c r="AP151" s="2"/>
      <c r="AQ151" s="2"/>
    </row>
    <row r="152" spans="41:43" ht="12.75">
      <c r="AO152" s="2"/>
      <c r="AP152" s="2"/>
      <c r="AQ152" s="2"/>
    </row>
    <row r="153" spans="41:43" ht="12.75">
      <c r="AO153" s="2"/>
      <c r="AP153" s="2"/>
      <c r="AQ153" s="2"/>
    </row>
    <row r="154" spans="41:43" ht="12.75">
      <c r="AO154" s="2"/>
      <c r="AP154" s="2"/>
      <c r="AQ154" s="2"/>
    </row>
    <row r="155" spans="41:43" ht="12.75">
      <c r="AO155" s="2"/>
      <c r="AP155" s="2"/>
      <c r="AQ155" s="2"/>
    </row>
    <row r="156" spans="41:43" ht="12.75">
      <c r="AO156" s="2"/>
      <c r="AP156" s="2"/>
      <c r="AQ156" s="2"/>
    </row>
    <row r="157" spans="41:43" ht="12.75">
      <c r="AO157" s="2"/>
      <c r="AP157" s="2"/>
      <c r="AQ157" s="2"/>
    </row>
    <row r="158" spans="41:43" ht="12.75">
      <c r="AO158" s="2"/>
      <c r="AP158" s="2"/>
      <c r="AQ158" s="2"/>
    </row>
    <row r="159" spans="41:43" ht="12.75">
      <c r="AO159" s="2"/>
      <c r="AP159" s="2"/>
      <c r="AQ159" s="2"/>
    </row>
    <row r="160" spans="41:43" ht="12.75">
      <c r="AO160" s="2"/>
      <c r="AP160" s="2"/>
      <c r="AQ160" s="2"/>
    </row>
    <row r="161" spans="41:43" ht="12.75">
      <c r="AO161" s="2"/>
      <c r="AP161" s="2"/>
      <c r="AQ161" s="2"/>
    </row>
    <row r="162" spans="41:43" ht="12.75">
      <c r="AO162" s="2"/>
      <c r="AP162" s="2"/>
      <c r="AQ162" s="2"/>
    </row>
    <row r="163" spans="41:43" ht="12.75">
      <c r="AO163" s="2"/>
      <c r="AP163" s="2"/>
      <c r="AQ163" s="2"/>
    </row>
    <row r="164" spans="41:43" ht="12.75">
      <c r="AO164" s="2"/>
      <c r="AP164" s="2"/>
      <c r="AQ164" s="2"/>
    </row>
    <row r="165" spans="41:43" ht="12.75">
      <c r="AO165" s="2"/>
      <c r="AP165" s="2"/>
      <c r="AQ165" s="2"/>
    </row>
    <row r="166" spans="41:43" ht="12.75">
      <c r="AO166" s="2"/>
      <c r="AP166" s="2"/>
      <c r="AQ166" s="2"/>
    </row>
    <row r="167" spans="41:43" ht="12.75">
      <c r="AO167" s="2"/>
      <c r="AP167" s="2"/>
      <c r="AQ167" s="2"/>
    </row>
    <row r="168" spans="41:43" ht="12.75">
      <c r="AO168" s="2"/>
      <c r="AP168" s="2"/>
      <c r="AQ168" s="2"/>
    </row>
    <row r="169" spans="41:43" ht="12.75">
      <c r="AO169" s="2"/>
      <c r="AP169" s="2"/>
      <c r="AQ169" s="2"/>
    </row>
    <row r="170" spans="41:43" ht="12.75">
      <c r="AO170" s="2"/>
      <c r="AP170" s="2"/>
      <c r="AQ170" s="2"/>
    </row>
    <row r="171" spans="41:43" ht="12.75">
      <c r="AO171" s="2"/>
      <c r="AP171" s="2"/>
      <c r="AQ171" s="2"/>
    </row>
    <row r="172" spans="41:43" ht="12.75">
      <c r="AO172" s="2"/>
      <c r="AP172" s="2"/>
      <c r="AQ172" s="2"/>
    </row>
    <row r="173" spans="41:43" ht="12.75">
      <c r="AO173" s="2"/>
      <c r="AP173" s="2"/>
      <c r="AQ173" s="2"/>
    </row>
    <row r="174" spans="41:43" ht="12.75">
      <c r="AO174" s="2"/>
      <c r="AP174" s="2"/>
      <c r="AQ174" s="2"/>
    </row>
    <row r="175" spans="41:43" ht="12.75">
      <c r="AO175" s="2"/>
      <c r="AP175" s="2"/>
      <c r="AQ175" s="2"/>
    </row>
    <row r="176" spans="41:43" ht="12.75">
      <c r="AO176" s="2"/>
      <c r="AP176" s="2"/>
      <c r="AQ176" s="2"/>
    </row>
    <row r="177" spans="41:43" ht="12.75">
      <c r="AO177" s="2"/>
      <c r="AP177" s="2"/>
      <c r="AQ177" s="2"/>
    </row>
    <row r="178" spans="41:43" ht="12.75">
      <c r="AO178" s="2"/>
      <c r="AP178" s="2"/>
      <c r="AQ178" s="2"/>
    </row>
    <row r="179" spans="41:43" ht="12.75">
      <c r="AO179" s="2"/>
      <c r="AP179" s="2"/>
      <c r="AQ179" s="2"/>
    </row>
    <row r="180" spans="41:43" ht="12.75">
      <c r="AO180" s="2"/>
      <c r="AP180" s="2"/>
      <c r="AQ180" s="2"/>
    </row>
    <row r="181" spans="41:43" ht="12.75">
      <c r="AO181" s="2"/>
      <c r="AP181" s="2"/>
      <c r="AQ181" s="2"/>
    </row>
    <row r="182" spans="41:43" ht="12.75">
      <c r="AO182" s="2"/>
      <c r="AP182" s="2"/>
      <c r="AQ182" s="2"/>
    </row>
    <row r="183" spans="41:43" ht="12.75">
      <c r="AO183" s="2"/>
      <c r="AP183" s="2"/>
      <c r="AQ183" s="2"/>
    </row>
    <row r="184" spans="41:43" ht="12.75">
      <c r="AO184" s="2"/>
      <c r="AP184" s="2"/>
      <c r="AQ184" s="2"/>
    </row>
    <row r="185" spans="41:43" ht="12.75">
      <c r="AO185" s="2"/>
      <c r="AP185" s="2"/>
      <c r="AQ185" s="2"/>
    </row>
    <row r="186" spans="41:43" ht="12.75">
      <c r="AO186" s="2"/>
      <c r="AP186" s="2"/>
      <c r="AQ186" s="2"/>
    </row>
    <row r="187" spans="41:43" ht="12.75">
      <c r="AO187" s="2"/>
      <c r="AP187" s="2"/>
      <c r="AQ187" s="2"/>
    </row>
    <row r="188" spans="41:43" ht="12.75">
      <c r="AO188" s="2"/>
      <c r="AP188" s="2"/>
      <c r="AQ188" s="2"/>
    </row>
    <row r="189" spans="41:43" ht="12.75">
      <c r="AO189" s="2"/>
      <c r="AP189" s="2"/>
      <c r="AQ189" s="2"/>
    </row>
    <row r="190" spans="41:43" ht="12.75">
      <c r="AO190" s="2"/>
      <c r="AP190" s="2"/>
      <c r="AQ190" s="2"/>
    </row>
    <row r="191" spans="41:43" ht="12.75">
      <c r="AO191" s="2"/>
      <c r="AP191" s="2"/>
      <c r="AQ191" s="2"/>
    </row>
    <row r="192" spans="41:43" ht="12.75">
      <c r="AO192" s="2"/>
      <c r="AP192" s="2"/>
      <c r="AQ192" s="2"/>
    </row>
    <row r="193" spans="41:43" ht="12.75">
      <c r="AO193" s="2"/>
      <c r="AP193" s="2"/>
      <c r="AQ193" s="2"/>
    </row>
    <row r="194" spans="41:43" ht="12.75">
      <c r="AO194" s="2"/>
      <c r="AP194" s="2"/>
      <c r="AQ194" s="2"/>
    </row>
    <row r="195" spans="41:43" ht="12.75">
      <c r="AO195" s="2"/>
      <c r="AP195" s="2"/>
      <c r="AQ195" s="2"/>
    </row>
    <row r="196" spans="41:43" ht="12.75">
      <c r="AO196" s="2"/>
      <c r="AP196" s="2"/>
      <c r="AQ196" s="2"/>
    </row>
    <row r="197" spans="41:43" ht="12.75">
      <c r="AO197" s="2"/>
      <c r="AP197" s="2"/>
      <c r="AQ197" s="2"/>
    </row>
    <row r="198" spans="41:43" ht="12.75">
      <c r="AO198" s="2"/>
      <c r="AP198" s="2"/>
      <c r="AQ198" s="2"/>
    </row>
    <row r="199" spans="41:43" ht="12.75">
      <c r="AO199" s="2"/>
      <c r="AP199" s="2"/>
      <c r="AQ199" s="2"/>
    </row>
    <row r="200" spans="41:43" ht="12.75">
      <c r="AO200" s="2"/>
      <c r="AP200" s="2"/>
      <c r="AQ200" s="2"/>
    </row>
    <row r="201" spans="41:43" ht="12.75">
      <c r="AO201" s="2"/>
      <c r="AP201" s="2"/>
      <c r="AQ201" s="2"/>
    </row>
    <row r="202" spans="41:43" ht="12.75">
      <c r="AO202" s="2"/>
      <c r="AP202" s="2"/>
      <c r="AQ202" s="2"/>
    </row>
    <row r="203" spans="41:43" ht="12.75">
      <c r="AO203" s="2"/>
      <c r="AP203" s="2"/>
      <c r="AQ203" s="2"/>
    </row>
    <row r="204" spans="41:43" ht="12.75">
      <c r="AO204" s="2"/>
      <c r="AP204" s="2"/>
      <c r="AQ204" s="2"/>
    </row>
    <row r="205" spans="41:43" ht="12.75">
      <c r="AO205" s="2"/>
      <c r="AP205" s="2"/>
      <c r="AQ205" s="2"/>
    </row>
    <row r="206" spans="41:43" ht="12.75">
      <c r="AO206" s="2"/>
      <c r="AP206" s="2"/>
      <c r="AQ206" s="2"/>
    </row>
    <row r="207" spans="41:43" ht="12.75">
      <c r="AO207" s="2"/>
      <c r="AP207" s="2"/>
      <c r="AQ207" s="2"/>
    </row>
    <row r="208" spans="41:43" ht="12.75">
      <c r="AO208" s="2"/>
      <c r="AP208" s="2"/>
      <c r="AQ208" s="2"/>
    </row>
    <row r="209" spans="41:43" ht="12.75">
      <c r="AO209" s="2"/>
      <c r="AP209" s="2"/>
      <c r="AQ209" s="2"/>
    </row>
    <row r="210" spans="41:43" ht="12.75">
      <c r="AO210" s="2"/>
      <c r="AP210" s="2"/>
      <c r="AQ210" s="2"/>
    </row>
    <row r="211" spans="41:43" ht="12.75">
      <c r="AO211" s="2"/>
      <c r="AP211" s="2"/>
      <c r="AQ211" s="2"/>
    </row>
    <row r="212" spans="41:43" ht="12.75">
      <c r="AO212" s="2"/>
      <c r="AP212" s="2"/>
      <c r="AQ212" s="2"/>
    </row>
    <row r="213" spans="41:43" ht="12.75">
      <c r="AO213" s="2"/>
      <c r="AP213" s="2"/>
      <c r="AQ213" s="2"/>
    </row>
    <row r="214" spans="41:43" ht="12.75">
      <c r="AO214" s="2"/>
      <c r="AP214" s="2"/>
      <c r="AQ214" s="2"/>
    </row>
    <row r="215" spans="41:43" ht="12.75">
      <c r="AO215" s="2"/>
      <c r="AP215" s="2"/>
      <c r="AQ215" s="2"/>
    </row>
    <row r="216" spans="41:43" ht="12.75">
      <c r="AO216" s="2"/>
      <c r="AP216" s="2"/>
      <c r="AQ216" s="2"/>
    </row>
    <row r="217" spans="41:43" ht="12.75">
      <c r="AO217" s="2"/>
      <c r="AP217" s="2"/>
      <c r="AQ217" s="2"/>
    </row>
    <row r="218" spans="41:43" ht="12.75">
      <c r="AO218" s="2"/>
      <c r="AP218" s="2"/>
      <c r="AQ218" s="2"/>
    </row>
    <row r="219" spans="41:43" ht="12.75">
      <c r="AO219" s="2"/>
      <c r="AP219" s="2"/>
      <c r="AQ219" s="2"/>
    </row>
    <row r="220" spans="41:43" ht="12.75">
      <c r="AO220" s="2"/>
      <c r="AP220" s="2"/>
      <c r="AQ220" s="2"/>
    </row>
    <row r="221" spans="41:43" ht="12.75">
      <c r="AO221" s="2"/>
      <c r="AP221" s="2"/>
      <c r="AQ221" s="2"/>
    </row>
    <row r="222" spans="41:43" ht="12.75">
      <c r="AO222" s="2"/>
      <c r="AP222" s="2"/>
      <c r="AQ222" s="2"/>
    </row>
    <row r="223" spans="41:43" ht="12.75">
      <c r="AO223" s="2"/>
      <c r="AP223" s="2"/>
      <c r="AQ223" s="2"/>
    </row>
    <row r="224" spans="41:43" ht="12.75">
      <c r="AO224" s="2"/>
      <c r="AP224" s="2"/>
      <c r="AQ224" s="2"/>
    </row>
    <row r="225" spans="41:43" ht="12.75">
      <c r="AO225" s="2"/>
      <c r="AP225" s="2"/>
      <c r="AQ225" s="2"/>
    </row>
    <row r="226" spans="41:43" ht="12.75">
      <c r="AO226" s="2"/>
      <c r="AP226" s="2"/>
      <c r="AQ226" s="2"/>
    </row>
    <row r="227" spans="41:43" ht="12.75">
      <c r="AO227" s="2"/>
      <c r="AP227" s="2"/>
      <c r="AQ227" s="2"/>
    </row>
    <row r="228" spans="41:43" ht="12.75">
      <c r="AO228" s="2"/>
      <c r="AP228" s="2"/>
      <c r="AQ228" s="2"/>
    </row>
    <row r="229" spans="41:43" ht="12.75">
      <c r="AO229" s="2"/>
      <c r="AP229" s="2"/>
      <c r="AQ229" s="2"/>
    </row>
    <row r="230" spans="41:43" ht="12.75">
      <c r="AO230" s="2"/>
      <c r="AP230" s="2"/>
      <c r="AQ230" s="2"/>
    </row>
    <row r="231" spans="41:43" ht="12.75">
      <c r="AO231" s="2"/>
      <c r="AP231" s="2"/>
      <c r="AQ231" s="2"/>
    </row>
    <row r="232" spans="41:43" ht="12.75">
      <c r="AO232" s="2"/>
      <c r="AP232" s="2"/>
      <c r="AQ232" s="2"/>
    </row>
    <row r="233" spans="41:43" ht="12.75">
      <c r="AO233" s="2"/>
      <c r="AP233" s="2"/>
      <c r="AQ233" s="2"/>
    </row>
    <row r="234" spans="41:43" ht="12.75">
      <c r="AO234" s="2"/>
      <c r="AP234" s="2"/>
      <c r="AQ234" s="2"/>
    </row>
    <row r="235" spans="41:43" ht="12.75">
      <c r="AO235" s="2"/>
      <c r="AP235" s="2"/>
      <c r="AQ235" s="2"/>
    </row>
    <row r="236" spans="41:43" ht="12.75">
      <c r="AO236" s="2"/>
      <c r="AP236" s="2"/>
      <c r="AQ236" s="2"/>
    </row>
    <row r="237" spans="41:43" ht="12.75">
      <c r="AO237" s="2"/>
      <c r="AP237" s="2"/>
      <c r="AQ237" s="2"/>
    </row>
    <row r="238" spans="41:43" ht="12.75">
      <c r="AO238" s="2"/>
      <c r="AP238" s="2"/>
      <c r="AQ238" s="2"/>
    </row>
    <row r="239" spans="41:43" ht="12.75">
      <c r="AO239" s="2"/>
      <c r="AP239" s="2"/>
      <c r="AQ239" s="2"/>
    </row>
    <row r="240" spans="41:43" ht="12.75">
      <c r="AO240" s="2"/>
      <c r="AP240" s="2"/>
      <c r="AQ240" s="2"/>
    </row>
    <row r="241" spans="41:43" ht="12.75">
      <c r="AO241" s="2"/>
      <c r="AP241" s="2"/>
      <c r="AQ241" s="2"/>
    </row>
    <row r="242" spans="41:43" ht="12.75">
      <c r="AO242" s="2"/>
      <c r="AP242" s="2"/>
      <c r="AQ242" s="2"/>
    </row>
    <row r="243" spans="41:43" ht="12.75">
      <c r="AO243" s="2"/>
      <c r="AP243" s="2"/>
      <c r="AQ243" s="2"/>
    </row>
    <row r="244" spans="41:43" ht="12.75">
      <c r="AO244" s="2"/>
      <c r="AP244" s="2"/>
      <c r="AQ244" s="2"/>
    </row>
    <row r="245" spans="41:43" ht="12.75">
      <c r="AO245" s="2"/>
      <c r="AP245" s="2"/>
      <c r="AQ245" s="2"/>
    </row>
    <row r="246" spans="41:43" ht="12.75">
      <c r="AO246" s="2"/>
      <c r="AP246" s="2"/>
      <c r="AQ246" s="2"/>
    </row>
    <row r="247" spans="41:43" ht="12.75">
      <c r="AO247" s="2"/>
      <c r="AP247" s="2"/>
      <c r="AQ247" s="2"/>
    </row>
    <row r="248" spans="41:43" ht="12.75">
      <c r="AO248" s="2"/>
      <c r="AP248" s="2"/>
      <c r="AQ248" s="2"/>
    </row>
    <row r="249" spans="41:43" ht="12.75">
      <c r="AO249" s="2"/>
      <c r="AP249" s="2"/>
      <c r="AQ249" s="2"/>
    </row>
    <row r="250" spans="41:43" ht="12.75">
      <c r="AO250" s="2"/>
      <c r="AP250" s="2"/>
      <c r="AQ250" s="2"/>
    </row>
    <row r="251" spans="41:43" ht="12.75">
      <c r="AO251" s="2"/>
      <c r="AP251" s="2"/>
      <c r="AQ251" s="2"/>
    </row>
    <row r="252" spans="41:43" ht="12.75">
      <c r="AO252" s="2"/>
      <c r="AP252" s="2"/>
      <c r="AQ252" s="2"/>
    </row>
    <row r="253" spans="41:43" ht="12.75">
      <c r="AO253" s="2"/>
      <c r="AP253" s="2"/>
      <c r="AQ253" s="2"/>
    </row>
    <row r="254" spans="41:43" ht="12.75">
      <c r="AO254" s="2"/>
      <c r="AP254" s="2"/>
      <c r="AQ254" s="2"/>
    </row>
    <row r="255" spans="41:43" ht="12.75">
      <c r="AO255" s="2"/>
      <c r="AP255" s="2"/>
      <c r="AQ255" s="2"/>
    </row>
    <row r="256" spans="41:43" ht="12.75">
      <c r="AO256" s="2"/>
      <c r="AP256" s="2"/>
      <c r="AQ256" s="2"/>
    </row>
    <row r="257" spans="41:43" ht="12.75">
      <c r="AO257" s="2"/>
      <c r="AP257" s="2"/>
      <c r="AQ257" s="2"/>
    </row>
    <row r="258" spans="41:43" ht="12.75">
      <c r="AO258" s="2"/>
      <c r="AP258" s="2"/>
      <c r="AQ258" s="2"/>
    </row>
    <row r="259" spans="41:43" ht="12.75">
      <c r="AO259" s="2"/>
      <c r="AP259" s="2"/>
      <c r="AQ259" s="2"/>
    </row>
    <row r="260" spans="41:43" ht="12.75">
      <c r="AO260" s="2"/>
      <c r="AP260" s="2"/>
      <c r="AQ260" s="2"/>
    </row>
    <row r="261" spans="41:43" ht="12.75">
      <c r="AO261" s="2"/>
      <c r="AP261" s="2"/>
      <c r="AQ261" s="2"/>
    </row>
    <row r="262" spans="41:43" ht="12.75">
      <c r="AO262" s="2"/>
      <c r="AP262" s="2"/>
      <c r="AQ26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28">
      <selection activeCell="A52" sqref="A5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5.28125" style="2" customWidth="1"/>
    <col min="8" max="8" width="13.28125" style="2" bestFit="1" customWidth="1"/>
    <col min="9" max="9" width="10.7109375" style="19" customWidth="1"/>
    <col min="10" max="10" width="12.28125" style="2" bestFit="1" customWidth="1"/>
    <col min="11" max="11" width="14.28125" style="2" bestFit="1" customWidth="1"/>
    <col min="12" max="12" width="14.1406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43</v>
      </c>
    </row>
    <row r="3" ht="12.75">
      <c r="A3" s="1" t="s">
        <v>110</v>
      </c>
    </row>
    <row r="4" spans="6:12" ht="12.75">
      <c r="F4" s="17" t="s">
        <v>79</v>
      </c>
      <c r="G4" s="17" t="s">
        <v>79</v>
      </c>
      <c r="H4" s="16" t="s">
        <v>113</v>
      </c>
      <c r="L4" s="17" t="s">
        <v>79</v>
      </c>
    </row>
    <row r="5" spans="2:13" ht="12.75">
      <c r="B5" s="1" t="s">
        <v>1</v>
      </c>
      <c r="C5" s="16" t="s">
        <v>46</v>
      </c>
      <c r="F5" s="17" t="s">
        <v>47</v>
      </c>
      <c r="G5" s="17" t="s">
        <v>47</v>
      </c>
      <c r="H5" s="18" t="s">
        <v>49</v>
      </c>
      <c r="J5" s="18" t="s">
        <v>51</v>
      </c>
      <c r="L5" s="17" t="s">
        <v>47</v>
      </c>
      <c r="M5" s="16" t="s">
        <v>115</v>
      </c>
    </row>
    <row r="6" spans="2:19" ht="12.75">
      <c r="B6" s="5"/>
      <c r="C6" s="6"/>
      <c r="D6" s="6"/>
      <c r="E6" s="6"/>
      <c r="F6" s="17" t="s">
        <v>48</v>
      </c>
      <c r="G6" s="17" t="s">
        <v>48</v>
      </c>
      <c r="H6" s="17" t="s">
        <v>50</v>
      </c>
      <c r="I6" s="17" t="s">
        <v>50</v>
      </c>
      <c r="J6" s="28" t="s">
        <v>52</v>
      </c>
      <c r="K6" s="6"/>
      <c r="L6" s="17" t="s">
        <v>48</v>
      </c>
      <c r="M6" s="16" t="s">
        <v>116</v>
      </c>
      <c r="N6" s="9"/>
      <c r="O6" s="6"/>
      <c r="P6" s="6"/>
      <c r="Q6" s="6"/>
      <c r="S6" s="22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111</v>
      </c>
      <c r="G7" s="11" t="s">
        <v>112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114</v>
      </c>
      <c r="M7" s="11" t="s">
        <v>117</v>
      </c>
      <c r="N7" s="9"/>
      <c r="O7" s="6"/>
      <c r="P7" s="6"/>
      <c r="Q7" s="6"/>
      <c r="S7" s="22"/>
      <c r="T7" s="22"/>
    </row>
    <row r="8" spans="12:17" ht="12.75">
      <c r="L8" s="29"/>
      <c r="M8" s="25"/>
      <c r="N8" s="30"/>
      <c r="O8" s="25"/>
      <c r="P8" s="25"/>
      <c r="Q8" s="25"/>
    </row>
    <row r="9" spans="1:20" ht="12.75">
      <c r="A9" t="s">
        <v>44</v>
      </c>
      <c r="B9" t="s">
        <v>8</v>
      </c>
      <c r="D9" s="2">
        <v>125399384</v>
      </c>
      <c r="F9" s="2">
        <v>175688.89</v>
      </c>
      <c r="G9" s="2">
        <v>87844.45</v>
      </c>
      <c r="I9" s="3">
        <f>+G9/D9</f>
        <v>0.0007005173964809906</v>
      </c>
      <c r="K9" s="2">
        <f>+D9/12</f>
        <v>10449948.666666666</v>
      </c>
      <c r="L9" s="25">
        <f>+F9-G9</f>
        <v>87844.44000000002</v>
      </c>
      <c r="M9" s="25">
        <f>+L9/12</f>
        <v>7320.370000000002</v>
      </c>
      <c r="N9" s="30"/>
      <c r="O9" s="25"/>
      <c r="P9" s="25"/>
      <c r="Q9" s="25"/>
      <c r="S9" s="23"/>
      <c r="T9" s="23"/>
    </row>
    <row r="10" spans="1:20" ht="12.75">
      <c r="A10" t="s">
        <v>45</v>
      </c>
      <c r="B10" t="s">
        <v>10</v>
      </c>
      <c r="D10" s="2">
        <v>7685310</v>
      </c>
      <c r="F10" s="2">
        <v>7271</v>
      </c>
      <c r="G10" s="2">
        <v>6762.03</v>
      </c>
      <c r="I10" s="3">
        <f>+G10/D10</f>
        <v>0.0008798643125651405</v>
      </c>
      <c r="K10" s="2">
        <f>+D10/12</f>
        <v>640442.5</v>
      </c>
      <c r="L10" s="25">
        <f>+F10-G10</f>
        <v>508.97000000000025</v>
      </c>
      <c r="M10" s="25">
        <f>+L10/12</f>
        <v>42.41416666666669</v>
      </c>
      <c r="N10" s="30"/>
      <c r="O10" s="25"/>
      <c r="P10" s="25"/>
      <c r="Q10" s="25"/>
      <c r="S10" s="23"/>
      <c r="T10" s="23"/>
    </row>
    <row r="11" spans="1:20" ht="12.75">
      <c r="A11" t="s">
        <v>11</v>
      </c>
      <c r="B11" t="s">
        <v>12</v>
      </c>
      <c r="D11" s="2">
        <v>4099937</v>
      </c>
      <c r="F11" s="2">
        <v>1861</v>
      </c>
      <c r="G11" s="2">
        <v>74.44</v>
      </c>
      <c r="I11" s="3">
        <f>+G11/D11</f>
        <v>1.8156376549200634E-05</v>
      </c>
      <c r="K11" s="2">
        <f>+D11/12</f>
        <v>341661.4166666667</v>
      </c>
      <c r="L11" s="25">
        <f>+F11-G11</f>
        <v>1786.56</v>
      </c>
      <c r="M11" s="25">
        <f>+L11/12</f>
        <v>148.88</v>
      </c>
      <c r="N11" s="30"/>
      <c r="O11" s="25"/>
      <c r="P11" s="25"/>
      <c r="Q11" s="25"/>
      <c r="S11" s="23"/>
      <c r="T11" s="23"/>
    </row>
    <row r="12" spans="12:20" ht="12.75">
      <c r="L12" s="29"/>
      <c r="M12" s="25"/>
      <c r="N12" s="30"/>
      <c r="O12" s="25"/>
      <c r="P12" s="25"/>
      <c r="Q12" s="25"/>
      <c r="S12" s="23"/>
      <c r="T12" s="23"/>
    </row>
    <row r="13" spans="1:20" ht="12.75">
      <c r="A13" t="s">
        <v>16</v>
      </c>
      <c r="B13" t="s">
        <v>17</v>
      </c>
      <c r="D13" s="2">
        <v>70701786</v>
      </c>
      <c r="F13" s="2">
        <v>64623.55</v>
      </c>
      <c r="G13" s="2">
        <v>32311.77</v>
      </c>
      <c r="I13" s="3">
        <f>+G13/D13</f>
        <v>0.0004570149048285711</v>
      </c>
      <c r="K13" s="2">
        <f>+D13/12</f>
        <v>5891815.5</v>
      </c>
      <c r="L13" s="25">
        <f>+F13-G13</f>
        <v>32311.780000000002</v>
      </c>
      <c r="M13" s="25">
        <f>+L13/12</f>
        <v>2692.6483333333335</v>
      </c>
      <c r="N13" s="30"/>
      <c r="O13" s="25"/>
      <c r="P13" s="25"/>
      <c r="Q13" s="25"/>
      <c r="S13" s="23"/>
      <c r="T13" s="23"/>
    </row>
    <row r="14" spans="1:20" ht="12.75">
      <c r="A14" t="s">
        <v>25</v>
      </c>
      <c r="B14" t="s">
        <v>17</v>
      </c>
      <c r="D14" s="2">
        <v>0</v>
      </c>
      <c r="L14" s="29"/>
      <c r="M14" s="25"/>
      <c r="N14" s="30"/>
      <c r="O14" s="25"/>
      <c r="P14" s="25"/>
      <c r="Q14" s="25"/>
      <c r="S14" s="23"/>
      <c r="T14" s="23"/>
    </row>
    <row r="15" spans="1:20" ht="12.75">
      <c r="A15" t="s">
        <v>16</v>
      </c>
      <c r="B15" t="s">
        <v>17</v>
      </c>
      <c r="C15" s="2">
        <v>0</v>
      </c>
      <c r="L15" s="29"/>
      <c r="M15" s="25"/>
      <c r="N15" s="30"/>
      <c r="O15" s="25"/>
      <c r="P15" s="25"/>
      <c r="Q15" s="25"/>
      <c r="S15" s="23"/>
      <c r="T15" s="23"/>
    </row>
    <row r="16" spans="12:20" ht="12.75">
      <c r="L16" s="29"/>
      <c r="M16" s="25"/>
      <c r="N16" s="30"/>
      <c r="O16" s="25"/>
      <c r="P16" s="25"/>
      <c r="Q16" s="25"/>
      <c r="S16" s="23"/>
      <c r="T16" s="23"/>
    </row>
    <row r="17" spans="1:20" ht="12.75">
      <c r="A17" t="s">
        <v>18</v>
      </c>
      <c r="B17" t="s">
        <v>19</v>
      </c>
      <c r="D17" s="2">
        <v>0</v>
      </c>
      <c r="L17" s="29"/>
      <c r="M17" s="25"/>
      <c r="N17" s="30"/>
      <c r="O17" s="25"/>
      <c r="P17" s="25"/>
      <c r="Q17" s="25"/>
      <c r="S17" s="23"/>
      <c r="T17" s="23"/>
    </row>
    <row r="18" spans="1:20" ht="12.75">
      <c r="A18" t="s">
        <v>29</v>
      </c>
      <c r="B18" t="s">
        <v>19</v>
      </c>
      <c r="D18" s="2">
        <v>0</v>
      </c>
      <c r="L18" s="29"/>
      <c r="M18" s="25"/>
      <c r="N18" s="30"/>
      <c r="O18" s="25"/>
      <c r="P18" s="25"/>
      <c r="Q18" s="25"/>
      <c r="S18" s="23"/>
      <c r="T18" s="23"/>
    </row>
    <row r="19" spans="1:20" ht="12.75">
      <c r="A19" t="s">
        <v>30</v>
      </c>
      <c r="B19" t="s">
        <v>19</v>
      </c>
      <c r="D19" s="2">
        <v>0</v>
      </c>
      <c r="L19" s="29"/>
      <c r="M19" s="25"/>
      <c r="N19" s="30"/>
      <c r="O19" s="25"/>
      <c r="P19" s="25"/>
      <c r="Q19" s="25"/>
      <c r="S19" s="23"/>
      <c r="T19" s="23"/>
    </row>
    <row r="20" spans="1:20" ht="12.75">
      <c r="A20" t="s">
        <v>18</v>
      </c>
      <c r="B20" t="s">
        <v>19</v>
      </c>
      <c r="C20" s="2">
        <v>849437</v>
      </c>
      <c r="F20" s="2">
        <v>95324.66</v>
      </c>
      <c r="G20" s="2">
        <v>66727.27</v>
      </c>
      <c r="H20" s="3">
        <f>+G20/C20</f>
        <v>0.07855470152583417</v>
      </c>
      <c r="J20" s="2">
        <f>+C20/12</f>
        <v>70786.41666666667</v>
      </c>
      <c r="L20" s="25">
        <f>+F20-G20</f>
        <v>28597.39</v>
      </c>
      <c r="M20" s="25">
        <f>+L20/12</f>
        <v>2383.1158333333333</v>
      </c>
      <c r="N20" s="30"/>
      <c r="O20" s="25"/>
      <c r="P20" s="25"/>
      <c r="Q20" s="25"/>
      <c r="S20" s="23"/>
      <c r="T20" s="23"/>
    </row>
    <row r="21" spans="1:20" ht="12.75">
      <c r="A21" t="s">
        <v>29</v>
      </c>
      <c r="B21" t="s">
        <v>19</v>
      </c>
      <c r="C21" s="2">
        <v>0</v>
      </c>
      <c r="L21" s="29"/>
      <c r="M21" s="25"/>
      <c r="N21" s="30"/>
      <c r="O21" s="25"/>
      <c r="P21" s="25"/>
      <c r="Q21" s="25"/>
      <c r="S21" s="23"/>
      <c r="T21" s="23"/>
    </row>
    <row r="22" spans="1:20" ht="12.75">
      <c r="A22" t="s">
        <v>30</v>
      </c>
      <c r="B22" t="s">
        <v>19</v>
      </c>
      <c r="C22" s="2">
        <v>0</v>
      </c>
      <c r="L22" s="29"/>
      <c r="M22" s="25"/>
      <c r="N22" s="30"/>
      <c r="O22" s="25"/>
      <c r="P22" s="25"/>
      <c r="Q22" s="25"/>
      <c r="S22" s="23"/>
      <c r="T22" s="23"/>
    </row>
    <row r="23" spans="12:17" ht="12.75">
      <c r="L23" s="29"/>
      <c r="M23" s="25"/>
      <c r="N23" s="30"/>
      <c r="O23" s="25"/>
      <c r="P23" s="25"/>
      <c r="Q23" s="25"/>
    </row>
    <row r="24" spans="2:17" ht="12.75">
      <c r="B24" t="s">
        <v>20</v>
      </c>
      <c r="L24" s="29"/>
      <c r="M24" s="25"/>
      <c r="N24" s="30"/>
      <c r="O24" s="25"/>
      <c r="P24" s="25"/>
      <c r="Q24" s="25"/>
    </row>
    <row r="25" spans="12:17" ht="12.75">
      <c r="L25" s="29"/>
      <c r="M25" s="25"/>
      <c r="N25" s="30"/>
      <c r="O25" s="25"/>
      <c r="P25" s="25"/>
      <c r="Q25" s="25"/>
    </row>
    <row r="26" spans="1:17" ht="12.75">
      <c r="A26" t="s">
        <v>28</v>
      </c>
      <c r="B26" t="s">
        <v>33</v>
      </c>
      <c r="D26" s="2">
        <v>0</v>
      </c>
      <c r="L26" s="29"/>
      <c r="M26" s="25"/>
      <c r="N26" s="30"/>
      <c r="O26" s="25"/>
      <c r="P26" s="25"/>
      <c r="Q26" s="25"/>
    </row>
    <row r="27" spans="1:17" ht="12.75">
      <c r="A27" t="s">
        <v>36</v>
      </c>
      <c r="B27" t="s">
        <v>34</v>
      </c>
      <c r="D27" s="2">
        <v>0</v>
      </c>
      <c r="L27" s="29"/>
      <c r="M27" s="25"/>
      <c r="N27" s="30"/>
      <c r="O27" s="25"/>
      <c r="P27" s="25"/>
      <c r="Q27" s="25"/>
    </row>
    <row r="28" spans="1:17" ht="12.75">
      <c r="A28" t="s">
        <v>28</v>
      </c>
      <c r="B28" t="s">
        <v>26</v>
      </c>
      <c r="C28" s="2">
        <v>84764</v>
      </c>
      <c r="D28" s="2">
        <v>0</v>
      </c>
      <c r="F28" s="2">
        <v>8549.53</v>
      </c>
      <c r="G28" s="2">
        <v>2573.41</v>
      </c>
      <c r="H28" s="3">
        <f>+G28/C28</f>
        <v>0.030359704591571893</v>
      </c>
      <c r="J28" s="2">
        <f>+C28/12</f>
        <v>7063.666666666667</v>
      </c>
      <c r="L28" s="25">
        <f>+F28-G28</f>
        <v>5976.120000000001</v>
      </c>
      <c r="M28" s="25">
        <f>+L28/12</f>
        <v>498.01000000000005</v>
      </c>
      <c r="N28" s="30"/>
      <c r="O28" s="25"/>
      <c r="P28" s="25"/>
      <c r="Q28" s="25"/>
    </row>
    <row r="29" spans="12:17" ht="12.75">
      <c r="L29" s="29"/>
      <c r="M29" s="25"/>
      <c r="N29" s="30"/>
      <c r="O29" s="25"/>
      <c r="P29" s="25"/>
      <c r="Q29" s="25"/>
    </row>
    <row r="30" spans="1:17" ht="12.75">
      <c r="A30" t="s">
        <v>31</v>
      </c>
      <c r="B30" t="s">
        <v>33</v>
      </c>
      <c r="D30" s="2">
        <v>0</v>
      </c>
      <c r="L30" s="29"/>
      <c r="M30" s="25"/>
      <c r="N30" s="30"/>
      <c r="O30" s="25"/>
      <c r="P30" s="25"/>
      <c r="Q30" s="25"/>
    </row>
    <row r="31" spans="1:17" ht="12.75">
      <c r="A31" t="s">
        <v>37</v>
      </c>
      <c r="B31" t="s">
        <v>34</v>
      </c>
      <c r="D31" s="2">
        <v>0</v>
      </c>
      <c r="L31" s="29"/>
      <c r="M31" s="25"/>
      <c r="N31" s="30"/>
      <c r="O31" s="25"/>
      <c r="P31" s="25"/>
      <c r="Q31" s="25"/>
    </row>
    <row r="32" spans="1:17" ht="12.75">
      <c r="A32" t="s">
        <v>31</v>
      </c>
      <c r="B32" t="s">
        <v>26</v>
      </c>
      <c r="C32" s="2">
        <v>39294</v>
      </c>
      <c r="F32" s="2">
        <v>8379.15</v>
      </c>
      <c r="G32" s="2">
        <v>5865.41</v>
      </c>
      <c r="H32" s="3">
        <f>+G32/C32</f>
        <v>0.1492698630834224</v>
      </c>
      <c r="J32" s="2">
        <f>+C32/12</f>
        <v>3274.5</v>
      </c>
      <c r="L32" s="25">
        <f>+F32-G32</f>
        <v>2513.74</v>
      </c>
      <c r="M32" s="25">
        <f>+L32/12</f>
        <v>209.47833333333332</v>
      </c>
      <c r="N32" s="30"/>
      <c r="O32" s="25"/>
      <c r="P32" s="25"/>
      <c r="Q32" s="25"/>
    </row>
    <row r="33" spans="12:17" ht="12.75">
      <c r="L33" s="29"/>
      <c r="M33" s="25"/>
      <c r="N33" s="30"/>
      <c r="O33" s="25"/>
      <c r="P33" s="25"/>
      <c r="Q33" s="25"/>
    </row>
    <row r="34" spans="1:17" ht="12.75">
      <c r="A34" t="s">
        <v>32</v>
      </c>
      <c r="B34" t="s">
        <v>33</v>
      </c>
      <c r="D34" s="2">
        <v>0</v>
      </c>
      <c r="L34" s="29"/>
      <c r="M34" s="25"/>
      <c r="N34" s="30"/>
      <c r="O34" s="25"/>
      <c r="P34" s="25"/>
      <c r="Q34" s="25"/>
    </row>
    <row r="35" spans="1:17" ht="12.75">
      <c r="A35" t="s">
        <v>32</v>
      </c>
      <c r="B35" t="s">
        <v>26</v>
      </c>
      <c r="C35" s="2">
        <v>22870</v>
      </c>
      <c r="F35" s="2">
        <v>6945.7</v>
      </c>
      <c r="G35" s="2">
        <v>4861.99</v>
      </c>
      <c r="H35" s="3">
        <f>+G35/C35</f>
        <v>0.21259247923043287</v>
      </c>
      <c r="J35" s="2">
        <f>+C35/12</f>
        <v>1905.8333333333333</v>
      </c>
      <c r="L35" s="25">
        <f>+F35-G35</f>
        <v>2083.71</v>
      </c>
      <c r="M35" s="25">
        <f>+L35/12</f>
        <v>173.6425</v>
      </c>
      <c r="N35" s="30"/>
      <c r="O35" s="25"/>
      <c r="P35" s="25"/>
      <c r="Q35" s="25"/>
    </row>
    <row r="36" spans="12:17" ht="12.75">
      <c r="L36" s="29"/>
      <c r="M36" s="25"/>
      <c r="N36" s="30"/>
      <c r="O36" s="25"/>
      <c r="P36" s="25"/>
      <c r="Q36" s="25"/>
    </row>
    <row r="37" spans="2:17" ht="12.75">
      <c r="B37" t="s">
        <v>21</v>
      </c>
      <c r="L37" s="29"/>
      <c r="M37" s="25"/>
      <c r="N37" s="30"/>
      <c r="O37" s="25"/>
      <c r="P37" s="25"/>
      <c r="Q37" s="25"/>
    </row>
    <row r="38" spans="2:17" ht="12.75">
      <c r="B38" t="s">
        <v>22</v>
      </c>
      <c r="L38" s="29"/>
      <c r="M38" s="25"/>
      <c r="N38" s="30"/>
      <c r="O38" s="25"/>
      <c r="P38" s="25"/>
      <c r="Q38" s="25"/>
    </row>
    <row r="39" spans="1:17" ht="12.75">
      <c r="A39" t="s">
        <v>38</v>
      </c>
      <c r="B39" t="s">
        <v>35</v>
      </c>
      <c r="C39" s="2">
        <v>10600</v>
      </c>
      <c r="F39" s="2">
        <v>2058.5</v>
      </c>
      <c r="G39" s="2">
        <v>617.55</v>
      </c>
      <c r="H39" s="3">
        <f>+G39/C39</f>
        <v>0.05825943396226415</v>
      </c>
      <c r="J39" s="2">
        <f>+C39/12</f>
        <v>883.3333333333334</v>
      </c>
      <c r="L39" s="25">
        <f>+F39-G39</f>
        <v>1440.95</v>
      </c>
      <c r="M39" s="25">
        <f>+L39/12</f>
        <v>120.07916666666667</v>
      </c>
      <c r="N39" s="30"/>
      <c r="O39" s="25"/>
      <c r="P39" s="25"/>
      <c r="Q39" s="25"/>
    </row>
    <row r="40" spans="12:17" ht="12.75">
      <c r="L40" s="29"/>
      <c r="M40" s="25"/>
      <c r="N40" s="30"/>
      <c r="O40" s="25"/>
      <c r="P40" s="25"/>
      <c r="Q40" s="25"/>
    </row>
    <row r="41" spans="2:17" ht="12.75">
      <c r="B41" t="s">
        <v>23</v>
      </c>
      <c r="C41" s="2">
        <v>533</v>
      </c>
      <c r="F41" s="2">
        <v>259.02</v>
      </c>
      <c r="G41" s="2">
        <v>77.96</v>
      </c>
      <c r="H41" s="3">
        <f>+G41/C41</f>
        <v>0.14626641651031894</v>
      </c>
      <c r="J41" s="2">
        <f>+C41/12</f>
        <v>44.416666666666664</v>
      </c>
      <c r="L41" s="25">
        <f>+F41-G41</f>
        <v>181.06</v>
      </c>
      <c r="M41" s="25">
        <f>+L41/12</f>
        <v>15.088333333333333</v>
      </c>
      <c r="N41" s="30"/>
      <c r="O41" s="25"/>
      <c r="P41" s="25"/>
      <c r="Q41" s="25"/>
    </row>
    <row r="42" spans="12:17" ht="12.75">
      <c r="L42" s="29"/>
      <c r="M42" s="25"/>
      <c r="N42" s="30"/>
      <c r="O42" s="25"/>
      <c r="P42" s="25"/>
      <c r="Q42" s="25"/>
    </row>
    <row r="43" spans="1:17" ht="13.5" thickBot="1">
      <c r="A43" s="13"/>
      <c r="B43" s="13" t="s">
        <v>24</v>
      </c>
      <c r="C43" s="14">
        <f>SUM(C9:C41)</f>
        <v>1007498</v>
      </c>
      <c r="D43" s="14">
        <f>SUM(D9:D41)</f>
        <v>207886417</v>
      </c>
      <c r="E43" s="14"/>
      <c r="F43" s="14">
        <f>SUM(F9:F41)</f>
        <v>370961.00000000006</v>
      </c>
      <c r="G43" s="14">
        <f>SUM(G9:G41)</f>
        <v>207716.28</v>
      </c>
      <c r="H43" s="27"/>
      <c r="I43" s="21"/>
      <c r="J43" s="14"/>
      <c r="K43" s="14"/>
      <c r="L43" s="14">
        <f>SUM(L9:L41)</f>
        <v>163244.72</v>
      </c>
      <c r="M43" s="14">
        <f>SUM(M9:M41)</f>
        <v>13603.726666666667</v>
      </c>
      <c r="N43" s="30"/>
      <c r="O43" s="25"/>
      <c r="P43" s="25"/>
      <c r="Q43" s="25"/>
    </row>
    <row r="44" spans="12:17" ht="12.75">
      <c r="L44" s="29"/>
      <c r="M44" s="25"/>
      <c r="N44" s="30"/>
      <c r="O44" s="25"/>
      <c r="P44" s="25"/>
      <c r="Q44" s="25"/>
    </row>
    <row r="45" spans="2:17" ht="12.75">
      <c r="B45" t="s">
        <v>39</v>
      </c>
      <c r="C45" s="2">
        <f>849437+39294+22870+84764+533+10600</f>
        <v>1007498</v>
      </c>
      <c r="D45" s="2">
        <f>125399384+70701786+4099937+7685310</f>
        <v>207886417</v>
      </c>
      <c r="F45" s="2">
        <f>361829+1861+7271</f>
        <v>370961</v>
      </c>
      <c r="G45" s="2">
        <f>87844.45+32311.77+66727.27+5865.41+4861.99+2573.41+77.96+617.55+6762.03+74.44</f>
        <v>207716.27999999997</v>
      </c>
      <c r="J45" s="2">
        <f>SUM(J9:J42)</f>
        <v>83958.16666666667</v>
      </c>
      <c r="K45" s="2">
        <f>SUM(K9:K42)</f>
        <v>17323868.083333332</v>
      </c>
      <c r="L45" s="25">
        <f>87844.45+32311.77+28597.4+2513.75+2083.71+5976.12+181.05+1440.95+508.97+1786.56</f>
        <v>163244.72999999998</v>
      </c>
      <c r="M45" s="25">
        <f>+M43</f>
        <v>13603.726666666667</v>
      </c>
      <c r="N45" s="30"/>
      <c r="O45" s="25"/>
      <c r="P45" s="25"/>
      <c r="Q45" s="25"/>
    </row>
    <row r="46" spans="10:17" ht="12.75">
      <c r="J46" s="2" t="s">
        <v>53</v>
      </c>
      <c r="K46" s="2" t="s">
        <v>53</v>
      </c>
      <c r="L46" s="29"/>
      <c r="M46" s="2" t="s">
        <v>53</v>
      </c>
      <c r="N46" s="30"/>
      <c r="O46" s="25"/>
      <c r="P46" s="25"/>
      <c r="Q46" s="25"/>
    </row>
    <row r="47" spans="3:17" ht="13.5" thickBot="1">
      <c r="C47" s="2">
        <f>+C45-C43</f>
        <v>0</v>
      </c>
      <c r="D47" s="2">
        <f>+D45-D43</f>
        <v>0</v>
      </c>
      <c r="J47" s="26">
        <f>+J45*12</f>
        <v>1007498</v>
      </c>
      <c r="K47" s="26">
        <f>+K45*12</f>
        <v>207886417</v>
      </c>
      <c r="L47" s="29"/>
      <c r="M47" s="26">
        <f>+M45*12</f>
        <v>163244.72</v>
      </c>
      <c r="N47" s="30"/>
      <c r="O47" s="25"/>
      <c r="P47" s="25"/>
      <c r="Q47" s="25"/>
    </row>
    <row r="48" spans="12:17" ht="13.5" thickTop="1">
      <c r="L48" s="29"/>
      <c r="M48" s="25"/>
      <c r="N48" s="30"/>
      <c r="O48" s="25"/>
      <c r="P48" s="25"/>
      <c r="Q48" s="25"/>
    </row>
    <row r="49" spans="12:17" ht="12.75">
      <c r="L49" s="29"/>
      <c r="M49" s="25"/>
      <c r="N49" s="30"/>
      <c r="O49" s="25"/>
      <c r="P49" s="25"/>
      <c r="Q49" s="25"/>
    </row>
    <row r="50" spans="12:17" ht="12.75">
      <c r="L50" s="29"/>
      <c r="M50" s="25"/>
      <c r="N50" s="30"/>
      <c r="O50" s="25"/>
      <c r="P50" s="25"/>
      <c r="Q50" s="25"/>
    </row>
    <row r="51" spans="12:17" ht="12.75">
      <c r="L51" s="29"/>
      <c r="M51" s="25"/>
      <c r="N51" s="30"/>
      <c r="O51" s="25"/>
      <c r="P51" s="25"/>
      <c r="Q51" s="25"/>
    </row>
    <row r="52" spans="12:17" ht="12.75">
      <c r="L52" s="29"/>
      <c r="M52" s="25"/>
      <c r="N52" s="30"/>
      <c r="O52" s="25"/>
      <c r="P52" s="25"/>
      <c r="Q52" s="25"/>
    </row>
    <row r="53" spans="12:17" ht="12.75">
      <c r="L53" s="29"/>
      <c r="M53" s="25"/>
      <c r="N53" s="30"/>
      <c r="O53" s="25"/>
      <c r="P53" s="25"/>
      <c r="Q53" s="25"/>
    </row>
    <row r="54" spans="12:17" ht="12.75">
      <c r="L54" s="29"/>
      <c r="M54" s="25"/>
      <c r="N54" s="30"/>
      <c r="O54" s="25"/>
      <c r="P54" s="25"/>
      <c r="Q54" s="25"/>
    </row>
    <row r="55" spans="12:17" ht="12.75">
      <c r="L55" s="29"/>
      <c r="M55" s="25"/>
      <c r="N55" s="30"/>
      <c r="O55" s="25"/>
      <c r="P55" s="25"/>
      <c r="Q55" s="25"/>
    </row>
    <row r="56" spans="12:17" ht="12.75">
      <c r="L56" s="29"/>
      <c r="M56" s="25"/>
      <c r="N56" s="30"/>
      <c r="O56" s="25"/>
      <c r="P56" s="25"/>
      <c r="Q56" s="25"/>
    </row>
    <row r="57" spans="12:17" ht="12.75">
      <c r="L57" s="29"/>
      <c r="M57" s="25"/>
      <c r="N57" s="30"/>
      <c r="O57" s="25"/>
      <c r="P57" s="25"/>
      <c r="Q57" s="25"/>
    </row>
    <row r="58" spans="12:17" ht="12.75">
      <c r="L58" s="29"/>
      <c r="M58" s="25"/>
      <c r="N58" s="30"/>
      <c r="O58" s="25"/>
      <c r="P58" s="25"/>
      <c r="Q58" s="25"/>
    </row>
    <row r="59" spans="12:17" ht="12.75">
      <c r="L59" s="29"/>
      <c r="M59" s="25"/>
      <c r="N59" s="30"/>
      <c r="O59" s="25"/>
      <c r="P59" s="25"/>
      <c r="Q59" s="25"/>
    </row>
    <row r="60" spans="12:17" ht="12.75">
      <c r="L60" s="29"/>
      <c r="M60" s="25"/>
      <c r="N60" s="30"/>
      <c r="O60" s="25"/>
      <c r="P60" s="25"/>
      <c r="Q60" s="25"/>
    </row>
    <row r="61" spans="12:17" ht="12.75">
      <c r="L61" s="29"/>
      <c r="M61" s="25"/>
      <c r="N61" s="30"/>
      <c r="O61" s="25"/>
      <c r="P61" s="25"/>
      <c r="Q61" s="25"/>
    </row>
    <row r="62" spans="12:17" ht="12.75">
      <c r="L62" s="29"/>
      <c r="M62" s="25"/>
      <c r="N62" s="30"/>
      <c r="O62" s="25"/>
      <c r="P62" s="25"/>
      <c r="Q62" s="25"/>
    </row>
    <row r="63" spans="12:17" ht="12.75">
      <c r="L63" s="29"/>
      <c r="M63" s="25"/>
      <c r="N63" s="30"/>
      <c r="O63" s="25"/>
      <c r="P63" s="25"/>
      <c r="Q63" s="25"/>
    </row>
    <row r="64" spans="12:17" ht="12.75">
      <c r="L64" s="29"/>
      <c r="M64" s="25"/>
      <c r="N64" s="30"/>
      <c r="O64" s="25"/>
      <c r="P64" s="25"/>
      <c r="Q64" s="25"/>
    </row>
    <row r="65" spans="12:17" ht="12.75">
      <c r="L65" s="29"/>
      <c r="M65" s="25"/>
      <c r="N65" s="30"/>
      <c r="O65" s="25"/>
      <c r="P65" s="25"/>
      <c r="Q65" s="25"/>
    </row>
    <row r="66" spans="12:17" ht="12.75">
      <c r="L66" s="29"/>
      <c r="M66" s="25"/>
      <c r="N66" s="30"/>
      <c r="O66" s="25"/>
      <c r="P66" s="25"/>
      <c r="Q66" s="25"/>
    </row>
    <row r="67" spans="12:17" ht="12.75">
      <c r="L67" s="29"/>
      <c r="M67" s="25"/>
      <c r="N67" s="30"/>
      <c r="O67" s="25"/>
      <c r="P67" s="25"/>
      <c r="Q67" s="25"/>
    </row>
    <row r="68" spans="12:17" ht="12.75">
      <c r="L68" s="29"/>
      <c r="M68" s="25"/>
      <c r="N68" s="30"/>
      <c r="O68" s="25"/>
      <c r="P68" s="25"/>
      <c r="Q68" s="25"/>
    </row>
    <row r="69" spans="12:17" ht="12.75">
      <c r="L69" s="29"/>
      <c r="M69" s="25"/>
      <c r="N69" s="30"/>
      <c r="O69" s="25"/>
      <c r="P69" s="25"/>
      <c r="Q69" s="25"/>
    </row>
    <row r="70" spans="12:17" ht="12.75">
      <c r="L70" s="29"/>
      <c r="M70" s="25"/>
      <c r="N70" s="30"/>
      <c r="O70" s="25"/>
      <c r="P70" s="25"/>
      <c r="Q70" s="25"/>
    </row>
    <row r="71" spans="12:17" ht="12.75">
      <c r="L71" s="29"/>
      <c r="M71" s="25"/>
      <c r="N71" s="30"/>
      <c r="O71" s="25"/>
      <c r="P71" s="25"/>
      <c r="Q71" s="25"/>
    </row>
    <row r="72" spans="12:17" ht="12.75">
      <c r="L72" s="29"/>
      <c r="M72" s="25"/>
      <c r="N72" s="30"/>
      <c r="O72" s="25"/>
      <c r="P72" s="25"/>
      <c r="Q72" s="25"/>
    </row>
    <row r="73" spans="12:17" ht="12.75">
      <c r="L73" s="29"/>
      <c r="M73" s="25"/>
      <c r="N73" s="30"/>
      <c r="O73" s="25"/>
      <c r="P73" s="25"/>
      <c r="Q73" s="25"/>
    </row>
    <row r="74" spans="12:17" ht="12.75">
      <c r="L74" s="29"/>
      <c r="M74" s="25"/>
      <c r="N74" s="30"/>
      <c r="O74" s="25"/>
      <c r="P74" s="25"/>
      <c r="Q74" s="25"/>
    </row>
    <row r="75" spans="12:17" ht="12.75">
      <c r="L75" s="29"/>
      <c r="M75" s="25"/>
      <c r="N75" s="30"/>
      <c r="O75" s="25"/>
      <c r="P75" s="25"/>
      <c r="Q75" s="25"/>
    </row>
    <row r="76" spans="12:17" ht="12.75">
      <c r="L76" s="29"/>
      <c r="M76" s="25"/>
      <c r="N76" s="30"/>
      <c r="O76" s="25"/>
      <c r="P76" s="25"/>
      <c r="Q76" s="25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5">
      <selection activeCell="N45" sqref="N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35">
        <f>+(11586939)*1.75</f>
        <v>20277143.25</v>
      </c>
      <c r="G9" s="2">
        <f>+'2001PILRecoveryAmt'!K9</f>
        <v>10449948.666666666</v>
      </c>
      <c r="I9" s="2">
        <f>+D9-G9</f>
        <v>9827194.583333334</v>
      </c>
      <c r="J9" s="29"/>
      <c r="K9" s="3">
        <f>+'2001PILRecoveryAmt'!I9</f>
        <v>0.0007005173964809906</v>
      </c>
      <c r="L9" s="2">
        <f>+K9*D9</f>
        <v>14204.491597562093</v>
      </c>
      <c r="M9" s="25">
        <f>+'2001PILRecoveryAmt'!M9*1.75</f>
        <v>12810.647500000003</v>
      </c>
      <c r="N9" s="25">
        <f>+L9+M9</f>
        <v>27015.139097562096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f>877338*1.75</f>
        <v>1535341.5</v>
      </c>
      <c r="G10" s="2">
        <f>+'2001PILRecoveryAmt'!K10</f>
        <v>640442.5</v>
      </c>
      <c r="I10" s="2">
        <f>+D10-G10</f>
        <v>894899</v>
      </c>
      <c r="J10" s="29"/>
      <c r="K10" s="3">
        <f>+'2001PILRecoveryAmt'!I10</f>
        <v>0.0008798643125651405</v>
      </c>
      <c r="L10" s="2">
        <f>+K10*D10</f>
        <v>1350.8921934502316</v>
      </c>
      <c r="M10" s="25">
        <f>+'2001PILRecoveryAmt'!M10*1.75</f>
        <v>74.2247916666667</v>
      </c>
      <c r="N10" s="25">
        <f>+L10+M10</f>
        <v>1425.1169851168984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413889*1.75</f>
        <v>724305.75</v>
      </c>
      <c r="G11" s="2">
        <f>+'2001PILRecoveryAmt'!K11</f>
        <v>341661.4166666667</v>
      </c>
      <c r="I11" s="2">
        <f>+D11-G11</f>
        <v>382644.3333333333</v>
      </c>
      <c r="J11" s="29"/>
      <c r="K11" s="3">
        <f>+'2001PILRecoveryAmt'!I11</f>
        <v>1.8156376549200634E-05</v>
      </c>
      <c r="L11" s="2">
        <f>+K11*D11</f>
        <v>13.150767933751178</v>
      </c>
      <c r="M11" s="25">
        <f>+'2001PILRecoveryAmt'!M11*1.75</f>
        <v>260.53999999999996</v>
      </c>
      <c r="N11" s="25">
        <f>+L11+M11</f>
        <v>273.69076793375115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6194753*1.75</f>
        <v>10840817.75</v>
      </c>
      <c r="G15" s="2">
        <f>+'2001PILRecoveryAmt'!K13</f>
        <v>5891815.5</v>
      </c>
      <c r="I15" s="2">
        <f>+D15-G15</f>
        <v>4949002.25</v>
      </c>
      <c r="J15" s="29"/>
      <c r="K15" s="3">
        <f>+'2001PILRecoveryAmt'!I13</f>
        <v>0.0004570149048285711</v>
      </c>
      <c r="L15" s="2">
        <f>+K15*D15</f>
        <v>4954.415292280134</v>
      </c>
      <c r="M15" s="25">
        <f>+'2001PILRecoveryAmt'!M13*1.75</f>
        <v>4712.1345833333335</v>
      </c>
      <c r="N15" s="25">
        <f>+L15+M15</f>
        <v>9666.549875613468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76616*1.75</f>
        <v>134078</v>
      </c>
      <c r="G16" s="2">
        <f>+'2001PILRecoveryAmt'!K16</f>
        <v>0</v>
      </c>
      <c r="I16" s="2">
        <f>+D16-G16</f>
        <v>134078</v>
      </c>
      <c r="J16" s="29"/>
      <c r="K16" s="3">
        <f>+'2001PILRecoveryAmt'!I13</f>
        <v>0.0004570149048285711</v>
      </c>
      <c r="L16" s="2">
        <f>+K16*D16</f>
        <v>61.27564440960516</v>
      </c>
      <c r="M16" s="25">
        <f>+'2001PILRecoveryAmt'!M16</f>
        <v>0</v>
      </c>
      <c r="N16" s="25">
        <f>+L16+M16</f>
        <v>61.27564440960516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41520*1.75</f>
        <v>72660</v>
      </c>
      <c r="G17" s="2">
        <f>+'2001PILRecoveryAmt'!K17</f>
        <v>0</v>
      </c>
      <c r="I17" s="2">
        <f>+D17-G17</f>
        <v>72660</v>
      </c>
      <c r="J17" s="29"/>
      <c r="K17" s="3">
        <v>0.00046</v>
      </c>
      <c r="L17" s="2">
        <f>+K17*D17</f>
        <v>33.4236</v>
      </c>
      <c r="M17" s="25">
        <f>+'2001PILRecoveryAmt'!M17</f>
        <v>0</v>
      </c>
      <c r="N17" s="25">
        <f>+L17+M17</f>
        <v>33.4236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13490.35*1.75</f>
        <v>23608.1125</v>
      </c>
      <c r="F22" s="2">
        <f>+'2001PILRecoveryAmt'!J20</f>
        <v>70786.41666666667</v>
      </c>
      <c r="H22" s="2">
        <f>+C22-F22</f>
        <v>-47178.30416666667</v>
      </c>
      <c r="J22" s="29"/>
      <c r="K22" s="3">
        <f>+'2001PILRecoveryAmt'!H20</f>
        <v>0.07855470152583417</v>
      </c>
      <c r="L22" s="2">
        <f>+K22*C22</f>
        <v>1854.5282310258146</v>
      </c>
      <c r="M22" s="25">
        <f>+'2001PILRecoveryAmt'!M20*1.75</f>
        <v>4170.452708333333</v>
      </c>
      <c r="N22" s="25">
        <f>+L22+M22</f>
        <v>6024.980939359148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15684.04*1.75</f>
        <v>27447.07</v>
      </c>
      <c r="H23" s="2">
        <f>+C23-F23</f>
        <v>27447.07</v>
      </c>
      <c r="J23" s="29"/>
      <c r="K23" s="3">
        <f>+'2001PILRecoveryAmt'!H20</f>
        <v>0.07855470152583417</v>
      </c>
      <c r="L23" s="2">
        <f>+K23*C23</f>
        <v>2156.096391608677</v>
      </c>
      <c r="M23" s="25"/>
      <c r="N23" s="25">
        <f>+L23+M23</f>
        <v>2156.096391608677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39145.42*1.75</f>
        <v>68504.485</v>
      </c>
      <c r="H24" s="2">
        <f>+C24-F24</f>
        <v>68504.485</v>
      </c>
      <c r="J24" s="29"/>
      <c r="K24" s="3">
        <f>+'2001PILRecoveryAmt'!H20</f>
        <v>0.07855470152583417</v>
      </c>
      <c r="L24" s="2">
        <f>+K24*C24</f>
        <v>5381.349372355984</v>
      </c>
      <c r="M24" s="25"/>
      <c r="N24" s="25">
        <f>+L24+M24</f>
        <v>5381.349372355984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(282.74+1757.92)*1.75</f>
        <v>3571.155</v>
      </c>
      <c r="H25" s="2">
        <f>+C25-F25</f>
        <v>3571.155</v>
      </c>
      <c r="J25" s="29"/>
      <c r="K25" s="3">
        <f>+'2001PILRecoveryAmt'!H20</f>
        <v>0.07855470152583417</v>
      </c>
      <c r="L25" s="2">
        <f>+K25*C25</f>
        <v>280.5310151274904</v>
      </c>
      <c r="M25" s="25"/>
      <c r="N25" s="25">
        <f>+L25+M25</f>
        <v>280.5310151274904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6653.91*1.75</f>
        <v>11644.342499999999</v>
      </c>
      <c r="F30" s="2">
        <f>+'2001PILRecoveryAmt'!J28</f>
        <v>7063.666666666667</v>
      </c>
      <c r="H30" s="2">
        <f>+C30-F30</f>
        <v>4580.675833333332</v>
      </c>
      <c r="J30" s="29"/>
      <c r="K30" s="3">
        <f>+'2001PILRecoveryAmt'!H28</f>
        <v>0.030359704591571893</v>
      </c>
      <c r="L30" s="2">
        <f>+K30*C30</f>
        <v>353.5187984630857</v>
      </c>
      <c r="M30" s="25">
        <f>+'2001PILRecoveryAmt'!M28*1.75</f>
        <v>871.5175</v>
      </c>
      <c r="N30" s="25">
        <f>+L30+M30</f>
        <v>1225.0362984630858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2962.35*1.75</f>
        <v>5184.1125</v>
      </c>
      <c r="F34" s="2">
        <f>+'2001PILRecoveryAmt'!J32</f>
        <v>3274.5</v>
      </c>
      <c r="H34" s="2">
        <f>+C34-F34</f>
        <v>1909.6125000000002</v>
      </c>
      <c r="J34" s="29"/>
      <c r="K34" s="3">
        <f>+'2001PILRecoveryAmt'!H32</f>
        <v>0.1492698630834224</v>
      </c>
      <c r="L34" s="2">
        <f>+K34*C34</f>
        <v>773.8317630840587</v>
      </c>
      <c r="M34" s="25">
        <f>+'2001PILRecoveryAmt'!M32*1.75</f>
        <v>366.58708333333334</v>
      </c>
      <c r="N34" s="25">
        <f>+L34+M34</f>
        <v>1140.4188464173922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339.6*1.75</f>
        <v>594.3000000000001</v>
      </c>
      <c r="F37" s="2">
        <f>+'2001PILRecoveryAmt'!J35</f>
        <v>1905.8333333333333</v>
      </c>
      <c r="H37" s="2">
        <f>+C37-F37</f>
        <v>-1311.5333333333333</v>
      </c>
      <c r="J37" s="29"/>
      <c r="K37" s="3">
        <f>+'2001PILRecoveryAmt'!H35</f>
        <v>0.21259247923043287</v>
      </c>
      <c r="L37" s="2">
        <f>+K37*C37</f>
        <v>126.34371040664627</v>
      </c>
      <c r="M37" s="25">
        <f>+'2001PILRecoveryAmt'!M35*1.75</f>
        <v>303.87437500000004</v>
      </c>
      <c r="N37" s="25">
        <f>+L37+M37</f>
        <v>430.2180854066463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876.96*1.75</f>
        <v>1534.68</v>
      </c>
      <c r="F41" s="2">
        <f>+'2001PILRecoveryAmt'!J39</f>
        <v>883.3333333333334</v>
      </c>
      <c r="H41" s="2">
        <f>+C41-F41</f>
        <v>651.3466666666667</v>
      </c>
      <c r="J41" s="29"/>
      <c r="K41" s="3">
        <f>+'2001PILRecoveryAmt'!H39</f>
        <v>0.05825943396226415</v>
      </c>
      <c r="L41" s="2">
        <f>+K41*C41</f>
        <v>89.40958811320755</v>
      </c>
      <c r="M41" s="25">
        <f>+'2001PILRecoveryAmt'!M39*1.75</f>
        <v>210.13854166666667</v>
      </c>
      <c r="N41" s="25">
        <f>+L41+M41</f>
        <v>299.5481297798742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13996.55*1.75</f>
        <v>24493.962499999998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+'2001PILRecoveryAmt'!M41*1.75</f>
        <v>26.40458333333333</v>
      </c>
      <c r="N43" s="25">
        <f>+L43+M43</f>
        <v>26.40458333333333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142088.25749999995</v>
      </c>
      <c r="D45" s="14">
        <f>SUM(D9:D44)</f>
        <v>33608840.2125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58130.090833333335</v>
      </c>
      <c r="I45" s="14">
        <f>SUM(I9:I43)</f>
        <v>16260478.166666668</v>
      </c>
      <c r="J45" s="29"/>
      <c r="K45" s="15"/>
      <c r="L45" s="14">
        <f>SUM(L9:L43)</f>
        <v>31633.25796582078</v>
      </c>
      <c r="M45" s="14">
        <f>SUM(M9:M43)</f>
        <v>23806.52166666667</v>
      </c>
      <c r="N45" s="14">
        <f>SUM(N9:N43)</f>
        <v>55439.77963248746</v>
      </c>
      <c r="O45" s="25"/>
    </row>
    <row r="46" spans="7:15" ht="12.75">
      <c r="G46" s="19" t="s">
        <v>102</v>
      </c>
      <c r="H46" s="2">
        <f>+C45-F45</f>
        <v>58130.09083333328</v>
      </c>
      <c r="I46" s="2">
        <f>+D45-G45</f>
        <v>16284972.129166666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-24493.96249999851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0">
      <selection activeCell="A4" sqref="A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11081213</v>
      </c>
      <c r="G9" s="2">
        <f>+'2001PILRecoveryAmt'!K9</f>
        <v>10449948.666666666</v>
      </c>
      <c r="I9" s="2">
        <f>+D9-G9</f>
        <v>631264.333333334</v>
      </c>
      <c r="J9" s="29"/>
      <c r="K9" s="3">
        <f>+'2001PILRecoveryAmt'!I9</f>
        <v>0.0007005173964809906</v>
      </c>
      <c r="L9" s="2">
        <f>+K9*D9</f>
        <v>7762.582480611308</v>
      </c>
      <c r="M9" s="25">
        <f>+'2001PILRecoveryAmt'!M9</f>
        <v>7320.370000000002</v>
      </c>
      <c r="N9" s="25">
        <f>+L9+M9</f>
        <v>15082.95248061131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618942</v>
      </c>
      <c r="G10" s="2">
        <f>+'2001PILRecoveryAmt'!K10</f>
        <v>640442.5</v>
      </c>
      <c r="I10" s="2">
        <f>+D10-G10</f>
        <v>-21500.5</v>
      </c>
      <c r="J10" s="29"/>
      <c r="K10" s="3">
        <f>+'2001PILRecoveryAmt'!I10</f>
        <v>0.0008798643125651405</v>
      </c>
      <c r="L10" s="2">
        <f>+K10*D10</f>
        <v>544.5849773476932</v>
      </c>
      <c r="M10" s="25">
        <f>+'2001PILRecoveryAmt'!M10</f>
        <v>42.41416666666669</v>
      </c>
      <c r="N10" s="25">
        <f>+L10+M10</f>
        <v>586.9991440143599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334577</v>
      </c>
      <c r="G11" s="2">
        <f>+'2001PILRecoveryAmt'!K11</f>
        <v>341661.4166666667</v>
      </c>
      <c r="I11" s="2">
        <f>+D11-G11</f>
        <v>-7084.416666666686</v>
      </c>
      <c r="J11" s="29"/>
      <c r="K11" s="3">
        <f>+'2001PILRecoveryAmt'!I11</f>
        <v>1.8156376549200634E-05</v>
      </c>
      <c r="L11" s="2">
        <f>+K11*D11</f>
        <v>6.0747059967019</v>
      </c>
      <c r="M11" s="25">
        <f>+'2001PILRecoveryAmt'!M11</f>
        <v>148.88</v>
      </c>
      <c r="N11" s="25">
        <f>+L11+M11</f>
        <v>154.9547059967019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5952481</v>
      </c>
      <c r="G15" s="2">
        <f>+'2001PILRecoveryAmt'!K13</f>
        <v>5891815.5</v>
      </c>
      <c r="I15" s="2">
        <f>+D15-G15</f>
        <v>60665.5</v>
      </c>
      <c r="J15" s="29"/>
      <c r="K15" s="3">
        <f>+'2001PILRecoveryAmt'!I13</f>
        <v>0.0004570149048285711</v>
      </c>
      <c r="L15" s="2">
        <f>+K15*D15</f>
        <v>2720.3725377088776</v>
      </c>
      <c r="M15" s="25">
        <f>+'2001PILRecoveryAmt'!M13</f>
        <v>2692.6483333333335</v>
      </c>
      <c r="N15" s="25">
        <f>+L15+M15</f>
        <v>5413.020871042211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13655.37</v>
      </c>
      <c r="F22" s="2">
        <f>+'2001PILRecoveryAmt'!J20</f>
        <v>70786.41666666667</v>
      </c>
      <c r="H22" s="2">
        <f>+C22-F22</f>
        <v>-57131.04666666667</v>
      </c>
      <c r="J22" s="29"/>
      <c r="K22" s="3">
        <f>+'2001PILRecoveryAmt'!H20</f>
        <v>0.07855470152583417</v>
      </c>
      <c r="L22" s="2">
        <f>+K22*C22</f>
        <v>1072.6935145748303</v>
      </c>
      <c r="M22" s="25">
        <f>+'2001PILRecoveryAmt'!M20</f>
        <v>2383.1158333333333</v>
      </c>
      <c r="N22" s="25">
        <f>+L22+M22</f>
        <v>3455.8093479081635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18731.85</v>
      </c>
      <c r="H23" s="2">
        <f>+C23-F23</f>
        <v>18731.85</v>
      </c>
      <c r="J23" s="29"/>
      <c r="K23" s="3">
        <f>+'2001PILRecoveryAmt'!H20</f>
        <v>0.07855470152583417</v>
      </c>
      <c r="L23" s="2">
        <f>+K23*C23</f>
        <v>1471.4748857766967</v>
      </c>
      <c r="M23" s="25"/>
      <c r="N23" s="25">
        <f>+L23+M23</f>
        <v>1471.4748857766967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35801.58</v>
      </c>
      <c r="H24" s="2">
        <f>+C24-F24</f>
        <v>35801.58</v>
      </c>
      <c r="J24" s="29"/>
      <c r="K24" s="3">
        <f>+'2001PILRecoveryAmt'!H20</f>
        <v>0.07855470152583417</v>
      </c>
      <c r="L24" s="2">
        <f>+K24*C24</f>
        <v>2812.382431053274</v>
      </c>
      <c r="M24" s="25"/>
      <c r="N24" s="25">
        <f>+L24+M24</f>
        <v>2812.382431053274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268.06+1160.96</f>
        <v>1429.02</v>
      </c>
      <c r="H25" s="2">
        <f>+C25-F25</f>
        <v>1429.02</v>
      </c>
      <c r="J25" s="29"/>
      <c r="K25" s="3">
        <f>+'2001PILRecoveryAmt'!H20</f>
        <v>0.07855470152583417</v>
      </c>
      <c r="L25" s="2">
        <f>+K25*C25</f>
        <v>112.25623957444755</v>
      </c>
      <c r="M25" s="25"/>
      <c r="N25" s="25">
        <f>+L25+M25</f>
        <v>112.25623957444755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6850.16</v>
      </c>
      <c r="F30" s="2">
        <f>+'2001PILRecoveryAmt'!J28</f>
        <v>7063.666666666667</v>
      </c>
      <c r="H30" s="2">
        <f>+C30-F30</f>
        <v>-213.50666666666712</v>
      </c>
      <c r="J30" s="29"/>
      <c r="K30" s="3">
        <f>+'2001PILRecoveryAmt'!H28</f>
        <v>0.030359704591571893</v>
      </c>
      <c r="L30" s="2">
        <f>+K30*C30</f>
        <v>207.96883400500212</v>
      </c>
      <c r="M30" s="25">
        <f>+'2001PILRecoveryAmt'!M28</f>
        <v>498.01000000000005</v>
      </c>
      <c r="N30" s="25">
        <f>+L30+M30</f>
        <v>705.9788340050022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3404.86</v>
      </c>
      <c r="F34" s="2">
        <f>+'2001PILRecoveryAmt'!J32</f>
        <v>3274.5</v>
      </c>
      <c r="H34" s="2">
        <f>+C34-F34</f>
        <v>130.36000000000013</v>
      </c>
      <c r="J34" s="29"/>
      <c r="K34" s="3">
        <f>+'2001PILRecoveryAmt'!H32</f>
        <v>0.1492698630834224</v>
      </c>
      <c r="L34" s="2">
        <f>+K34*C34</f>
        <v>508.24298601822164</v>
      </c>
      <c r="M34" s="25">
        <f>+'2001PILRecoveryAmt'!M32</f>
        <v>209.47833333333332</v>
      </c>
      <c r="N34" s="25">
        <f>+L34+M34</f>
        <v>717.7213193515549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1786.5</v>
      </c>
      <c r="F37" s="2">
        <f>+'2001PILRecoveryAmt'!J35</f>
        <v>1905.8333333333333</v>
      </c>
      <c r="H37" s="2">
        <f>+C37-F37</f>
        <v>-119.33333333333326</v>
      </c>
      <c r="J37" s="29"/>
      <c r="K37" s="3">
        <f>+'2001PILRecoveryAmt'!H35</f>
        <v>0.21259247923043287</v>
      </c>
      <c r="L37" s="2">
        <f>+K37*C37</f>
        <v>379.79646414516833</v>
      </c>
      <c r="M37" s="25">
        <f>+'2001PILRecoveryAmt'!M35</f>
        <v>173.6425</v>
      </c>
      <c r="N37" s="25">
        <f>+L37+M37</f>
        <v>553.4389641451684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879.07+2602.11</f>
        <v>3481.1800000000003</v>
      </c>
      <c r="D41" s="2" t="s">
        <v>157</v>
      </c>
      <c r="F41" s="2">
        <f>+'2001PILRecoveryAmt'!J39</f>
        <v>883.3333333333334</v>
      </c>
      <c r="H41" s="2">
        <f>+C41-F41</f>
        <v>2597.846666666667</v>
      </c>
      <c r="J41" s="29"/>
      <c r="K41" s="3">
        <f>+'2001PILRecoveryAmt'!H39</f>
        <v>0.05825943396226415</v>
      </c>
      <c r="L41" s="2">
        <f>+K41*C41</f>
        <v>202.81157632075474</v>
      </c>
      <c r="M41" s="25">
        <f>+'2001PILRecoveryAmt'!M39</f>
        <v>120.07916666666667</v>
      </c>
      <c r="N41" s="25">
        <f>+L41+M41</f>
        <v>322.8907429874214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42.66</v>
      </c>
      <c r="D43" s="2">
        <v>152</v>
      </c>
      <c r="F43" s="2">
        <f>+'2001PILRecoveryAmt'!J41</f>
        <v>44.416666666666664</v>
      </c>
      <c r="H43" s="2">
        <f>+C43-F43</f>
        <v>-1.7566666666666677</v>
      </c>
      <c r="J43" s="29"/>
      <c r="K43" s="3">
        <f>+'2001PILRecoveryAmt'!H41</f>
        <v>0.14626641651031894</v>
      </c>
      <c r="L43" s="2">
        <f>+K43*C43</f>
        <v>6.239725328330206</v>
      </c>
      <c r="M43" s="25">
        <f>+'2001PILRecoveryAmt'!M41</f>
        <v>15.088333333333333</v>
      </c>
      <c r="N43" s="25">
        <f>+L43+M43</f>
        <v>21.32805866166354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85183.18000000002</v>
      </c>
      <c r="D45" s="14">
        <f>SUM(D9:D44)</f>
        <v>18105865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1225.0133333333313</v>
      </c>
      <c r="I45" s="14">
        <f>SUM(I9:I43)</f>
        <v>781844.9166666672</v>
      </c>
      <c r="J45" s="29"/>
      <c r="K45" s="15"/>
      <c r="L45" s="14">
        <f>SUM(L9:L43)</f>
        <v>17861.637624683488</v>
      </c>
      <c r="M45" s="14">
        <f>SUM(M9:M43)</f>
        <v>13603.726666666667</v>
      </c>
      <c r="N45" s="14">
        <f>SUM(N9:N43)</f>
        <v>31465.36429135016</v>
      </c>
      <c r="O45" s="25"/>
    </row>
    <row r="46" spans="7:15" ht="12.75">
      <c r="G46" s="19" t="s">
        <v>102</v>
      </c>
      <c r="H46" s="2">
        <f>+C45-F45</f>
        <v>1225.0133333333506</v>
      </c>
      <c r="I46" s="2">
        <f>+D45-G45</f>
        <v>781996.9166666679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163</v>
      </c>
      <c r="H51" s="25"/>
      <c r="I51" s="25"/>
      <c r="J51" s="29"/>
      <c r="K51" s="25"/>
      <c r="L51" s="30"/>
      <c r="M51" s="25"/>
      <c r="N51" s="25"/>
      <c r="O51" s="25"/>
    </row>
    <row r="52" spans="2:15" ht="12.75">
      <c r="B52" t="s">
        <v>158</v>
      </c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159</v>
      </c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2:15" ht="12.75">
      <c r="B55" t="s">
        <v>169</v>
      </c>
      <c r="H55" s="25"/>
      <c r="I55" s="25"/>
      <c r="J55" s="29"/>
      <c r="K55" s="25"/>
      <c r="L55" s="30"/>
      <c r="M55" s="25"/>
      <c r="N55" s="25"/>
      <c r="O55" s="25"/>
    </row>
    <row r="56" ht="12.75">
      <c r="B56" t="s">
        <v>170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D16">
      <selection activeCell="F20" sqref="F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138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9985133</v>
      </c>
      <c r="G9" s="2">
        <f>+'2001PILRecoveryAmt'!K9</f>
        <v>10449948.666666666</v>
      </c>
      <c r="I9" s="2">
        <f>+D9-G9</f>
        <v>-464815.66666666605</v>
      </c>
      <c r="J9" s="29"/>
      <c r="K9" s="3">
        <f>+'2001PILRecoveryAmt'!I9</f>
        <v>0.0007005173964809906</v>
      </c>
      <c r="L9" s="2">
        <f>+K9*D9</f>
        <v>6994.7593726764235</v>
      </c>
      <c r="M9" s="25">
        <f>+'2001PILRecoveryAmt'!M9</f>
        <v>7320.370000000002</v>
      </c>
      <c r="N9" s="25">
        <f>+L9+M9</f>
        <v>14315.129372676425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527829</v>
      </c>
      <c r="G10" s="2">
        <f>+'2001PILRecoveryAmt'!K10</f>
        <v>640442.5</v>
      </c>
      <c r="I10" s="2">
        <f>+D10-G10</f>
        <v>-112613.5</v>
      </c>
      <c r="J10" s="29"/>
      <c r="K10" s="3">
        <f>+'2001PILRecoveryAmt'!I10</f>
        <v>0.0008798643125651405</v>
      </c>
      <c r="L10" s="2">
        <f>+K10*D10</f>
        <v>464.41790023694557</v>
      </c>
      <c r="M10" s="25">
        <f>+'2001PILRecoveryAmt'!M10</f>
        <v>42.41416666666669</v>
      </c>
      <c r="N10" s="25">
        <f>+L10+M10</f>
        <v>506.83206690361226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278443</v>
      </c>
      <c r="G11" s="2">
        <f>+'2001PILRecoveryAmt'!K11</f>
        <v>341661.4166666667</v>
      </c>
      <c r="I11" s="2">
        <f>+D11-G11</f>
        <v>-63218.416666666686</v>
      </c>
      <c r="J11" s="29"/>
      <c r="K11" s="3">
        <f>+'2001PILRecoveryAmt'!I11</f>
        <v>1.8156376549200634E-05</v>
      </c>
      <c r="L11" s="2">
        <f>+K11*D11</f>
        <v>5.0555159554890725</v>
      </c>
      <c r="M11" s="25">
        <f>+'2001PILRecoveryAmt'!M11</f>
        <v>148.88</v>
      </c>
      <c r="N11" s="25">
        <f>+L11+M11</f>
        <v>153.93551595548908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5585928</v>
      </c>
      <c r="G15" s="2">
        <f>+'2001PILRecoveryAmt'!K13</f>
        <v>5891815.5</v>
      </c>
      <c r="I15" s="2">
        <f>+D15-G15</f>
        <v>-305887.5</v>
      </c>
      <c r="J15" s="29"/>
      <c r="K15" s="3">
        <f>+'2001PILRecoveryAmt'!I13</f>
        <v>0.0004570149048285711</v>
      </c>
      <c r="L15" s="2">
        <f>+K15*D15</f>
        <v>2552.852353299251</v>
      </c>
      <c r="M15" s="25">
        <f>+'2001PILRecoveryAmt'!M13</f>
        <v>2692.6483333333335</v>
      </c>
      <c r="N15" s="25">
        <f>+L15+M15</f>
        <v>5245.500686632584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13677.3</v>
      </c>
      <c r="F22" s="2">
        <f>+'2001PILRecoveryAmt'!J20</f>
        <v>70786.41666666667</v>
      </c>
      <c r="H22" s="2">
        <f>+C22-F22</f>
        <v>-57109.11666666667</v>
      </c>
      <c r="J22" s="29"/>
      <c r="K22" s="3">
        <f>+'2001PILRecoveryAmt'!H20</f>
        <v>0.07855470152583417</v>
      </c>
      <c r="L22" s="2">
        <f>+K22*C22</f>
        <v>1074.4162191792916</v>
      </c>
      <c r="M22" s="25">
        <f>+'2001PILRecoveryAmt'!M20</f>
        <v>2383.1158333333333</v>
      </c>
      <c r="N22" s="25">
        <f>+L22+M22</f>
        <v>3457.532052512625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20292.78</v>
      </c>
      <c r="H23" s="2">
        <f>+C23-F23</f>
        <v>20292.78</v>
      </c>
      <c r="J23" s="29"/>
      <c r="K23" s="3">
        <f>+'2001PILRecoveryAmt'!H20</f>
        <v>0.07855470152583417</v>
      </c>
      <c r="L23" s="2">
        <f>+K23*C23</f>
        <v>1594.093276029417</v>
      </c>
      <c r="M23" s="25"/>
      <c r="N23" s="25">
        <f>+L23+M23</f>
        <v>1594.093276029417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35748.48</v>
      </c>
      <c r="H24" s="2">
        <f>+C24-F24</f>
        <v>35748.48</v>
      </c>
      <c r="J24" s="29"/>
      <c r="K24" s="3">
        <f>+'2001PILRecoveryAmt'!H20</f>
        <v>0.07855470152583417</v>
      </c>
      <c r="L24" s="2">
        <f>+K24*C24</f>
        <v>2808.2111764022525</v>
      </c>
      <c r="M24" s="25"/>
      <c r="N24" s="25">
        <f>+L24+M24</f>
        <v>2808.2111764022525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277.22+1342.64</f>
        <v>1619.8600000000001</v>
      </c>
      <c r="H25" s="2">
        <f>+C25-F25</f>
        <v>1619.8600000000001</v>
      </c>
      <c r="J25" s="29"/>
      <c r="K25" s="3">
        <f>+'2001PILRecoveryAmt'!H20</f>
        <v>0.07855470152583417</v>
      </c>
      <c r="L25" s="2">
        <f>+K25*C25</f>
        <v>127.24761881363776</v>
      </c>
      <c r="M25" s="25"/>
      <c r="N25" s="25">
        <f>+L25+M25</f>
        <v>127.24761881363776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7506.93</v>
      </c>
      <c r="F30" s="2">
        <f>+'2001PILRecoveryAmt'!J28</f>
        <v>7063.666666666667</v>
      </c>
      <c r="H30" s="2">
        <f>+C30-F30</f>
        <v>443.2633333333333</v>
      </c>
      <c r="J30" s="29"/>
      <c r="K30" s="3">
        <f>+'2001PILRecoveryAmt'!H28</f>
        <v>0.030359704591571893</v>
      </c>
      <c r="L30" s="2">
        <f>+K30*C30</f>
        <v>227.9081771896088</v>
      </c>
      <c r="M30" s="25">
        <f>+'2001PILRecoveryAmt'!M28</f>
        <v>498.01000000000005</v>
      </c>
      <c r="N30" s="25">
        <f>+L30+M30</f>
        <v>725.9181771896089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+'2001PILRecoveryAmt'!J32</f>
        <v>3274.5</v>
      </c>
      <c r="H34" s="2">
        <f>+C34-F34</f>
        <v>267.57000000000016</v>
      </c>
      <c r="J34" s="29"/>
      <c r="K34" s="3">
        <f>+'2001PILRecoveryAmt'!H32</f>
        <v>0.1492698630834224</v>
      </c>
      <c r="L34" s="2">
        <f>+K34*C34</f>
        <v>528.724303931898</v>
      </c>
      <c r="M34" s="25">
        <f>+'2001PILRecoveryAmt'!M32</f>
        <v>209.47833333333332</v>
      </c>
      <c r="N34" s="25">
        <f>+L34+M34</f>
        <v>738.2026372652314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1676.43</v>
      </c>
      <c r="F37" s="2">
        <f>+'2001PILRecoveryAmt'!J35</f>
        <v>1905.8333333333333</v>
      </c>
      <c r="H37" s="2">
        <f>+C37-F37</f>
        <v>-229.4033333333332</v>
      </c>
      <c r="J37" s="29"/>
      <c r="K37" s="3">
        <f>+'2001PILRecoveryAmt'!H35</f>
        <v>0.21259247923043287</v>
      </c>
      <c r="L37" s="2">
        <f>+K37*C37</f>
        <v>356.39640995627457</v>
      </c>
      <c r="M37" s="25">
        <f>+'2001PILRecoveryAmt'!M35</f>
        <v>173.6425</v>
      </c>
      <c r="N37" s="25">
        <f>+L37+M37</f>
        <v>530.0389099562746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</v>
      </c>
      <c r="D41" s="2" t="s">
        <v>96</v>
      </c>
      <c r="F41" s="2">
        <f>+'2001PILRecoveryAmt'!J39</f>
        <v>883.3333333333334</v>
      </c>
      <c r="H41" s="2">
        <f>+C41-F41</f>
        <v>-9.333333333333371</v>
      </c>
      <c r="J41" s="29"/>
      <c r="K41" s="3">
        <f>+'2001PILRecoveryAmt'!H39</f>
        <v>0.05825943396226415</v>
      </c>
      <c r="L41" s="2">
        <f>+K41*C41</f>
        <v>50.918745283018865</v>
      </c>
      <c r="M41" s="25">
        <f>+'2001PILRecoveryAmt'!M39</f>
        <v>120.07916666666667</v>
      </c>
      <c r="N41" s="25">
        <f>+L41+M41</f>
        <v>170.99791194968554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84937.85</v>
      </c>
      <c r="D45" s="14">
        <f>SUM(D9:D44)</f>
        <v>16495985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979.6833333333337</v>
      </c>
      <c r="I45" s="14">
        <f>SUM(I9:I43)</f>
        <v>-828035.0833333328</v>
      </c>
      <c r="J45" s="29"/>
      <c r="K45" s="15"/>
      <c r="L45" s="14">
        <f>SUM(L9:L43)</f>
        <v>16839.157335175692</v>
      </c>
      <c r="M45" s="14">
        <f>SUM(M9:M43)</f>
        <v>13603.726666666667</v>
      </c>
      <c r="N45" s="14">
        <f>SUM(N9:N43)</f>
        <v>30442.88400184236</v>
      </c>
      <c r="O45" s="25"/>
    </row>
    <row r="46" spans="7:15" ht="12.75">
      <c r="G46" s="19" t="s">
        <v>102</v>
      </c>
      <c r="H46" s="2">
        <f>+C45-F45</f>
        <v>979.6833333333343</v>
      </c>
      <c r="I46" s="2">
        <f>+D45-G45</f>
        <v>-827883.0833333321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1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129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9378142</v>
      </c>
      <c r="G9" s="2">
        <f>+'2001PILRecoveryAmt'!K9</f>
        <v>10449948.666666666</v>
      </c>
      <c r="I9" s="2">
        <f>+D9-G9</f>
        <v>-1071806.666666666</v>
      </c>
      <c r="J9" s="29"/>
      <c r="K9" s="3">
        <f>+'2001PILRecoveryAmt'!I9</f>
        <v>0.0007005173964809906</v>
      </c>
      <c r="L9" s="2">
        <f>+K9*D9</f>
        <v>6569.551617669031</v>
      </c>
      <c r="M9" s="25">
        <f>+'2001PILRecoveryAmt'!M9</f>
        <v>7320.370000000002</v>
      </c>
      <c r="N9" s="25">
        <f>+L9+M9</f>
        <v>13889.921617669032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657130</v>
      </c>
      <c r="G10" s="2">
        <f>+'2001PILRecoveryAmt'!K10</f>
        <v>640442.5</v>
      </c>
      <c r="I10" s="2">
        <f>+D10-G10</f>
        <v>16687.5</v>
      </c>
      <c r="J10" s="29"/>
      <c r="K10" s="3">
        <f>+'2001PILRecoveryAmt'!I10</f>
        <v>0.0008798643125651405</v>
      </c>
      <c r="L10" s="2">
        <f>+K10*D10</f>
        <v>578.1852357159307</v>
      </c>
      <c r="M10" s="25">
        <f>+'2001PILRecoveryAmt'!M10</f>
        <v>42.41416666666669</v>
      </c>
      <c r="N10" s="25">
        <f>+L10+M10</f>
        <v>620.5994023825974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347234</v>
      </c>
      <c r="G11" s="2">
        <f>+'2001PILRecoveryAmt'!K11</f>
        <v>341661.4166666667</v>
      </c>
      <c r="I11" s="2">
        <f>+D11-G11</f>
        <v>5572.583333333314</v>
      </c>
      <c r="J11" s="29"/>
      <c r="K11" s="3">
        <f>+'2001PILRecoveryAmt'!I11</f>
        <v>1.8156376549200634E-05</v>
      </c>
      <c r="L11" s="2">
        <f>+K11*D11</f>
        <v>6.304511254685133</v>
      </c>
      <c r="M11" s="25">
        <f>+'2001PILRecoveryAmt'!M11</f>
        <v>148.88</v>
      </c>
      <c r="N11" s="25">
        <f>+L11+M11</f>
        <v>155.18451125468513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5871490</v>
      </c>
      <c r="G15" s="2">
        <f>+'2001PILRecoveryAmt'!K13</f>
        <v>5891815.5</v>
      </c>
      <c r="I15" s="2">
        <f>+D15-G15</f>
        <v>-20325.5</v>
      </c>
      <c r="J15" s="29"/>
      <c r="K15" s="3">
        <f>+'2001PILRecoveryAmt'!I13</f>
        <v>0.0004570149048285711</v>
      </c>
      <c r="L15" s="2">
        <f>+K15*D15</f>
        <v>2683.358443551907</v>
      </c>
      <c r="M15" s="25">
        <f>+'2001PILRecoveryAmt'!M13</f>
        <v>2692.6483333333335</v>
      </c>
      <c r="N15" s="25">
        <f>+L15+M15</f>
        <v>5376.0067768852405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13901.52</v>
      </c>
      <c r="F22" s="2">
        <f>+'2001PILRecoveryAmt'!J20</f>
        <v>70786.41666666667</v>
      </c>
      <c r="H22" s="2">
        <f>+C22-F22</f>
        <v>-56884.89666666667</v>
      </c>
      <c r="J22" s="29"/>
      <c r="K22" s="3">
        <f>+'2001PILRecoveryAmt'!H20</f>
        <v>0.07855470152583417</v>
      </c>
      <c r="L22" s="2">
        <f>+K22*C22</f>
        <v>1092.0297543554143</v>
      </c>
      <c r="M22" s="25">
        <f>+'2001PILRecoveryAmt'!M20</f>
        <v>2383.1158333333333</v>
      </c>
      <c r="N22" s="25">
        <f>+L22+M22</f>
        <v>3475.1455876887476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19329.41</v>
      </c>
      <c r="H23" s="2">
        <f>+C23-F23</f>
        <v>19329.41</v>
      </c>
      <c r="J23" s="29"/>
      <c r="K23" s="3">
        <f>+'2001PILRecoveryAmt'!H20</f>
        <v>0.07855470152583417</v>
      </c>
      <c r="L23" s="2">
        <f>+K23*C23</f>
        <v>1518.4160332204742</v>
      </c>
      <c r="M23" s="25"/>
      <c r="N23" s="25">
        <f>+L23+M23</f>
        <v>1518.4160332204742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35713.55</v>
      </c>
      <c r="H24" s="2">
        <f>+C24-F24</f>
        <v>35713.55</v>
      </c>
      <c r="J24" s="29"/>
      <c r="K24" s="3">
        <f>+'2001PILRecoveryAmt'!H20</f>
        <v>0.07855470152583417</v>
      </c>
      <c r="L24" s="2">
        <f>+K24*C24</f>
        <v>2805.4672606779554</v>
      </c>
      <c r="M24" s="25"/>
      <c r="N24" s="25">
        <f>+L24+M24</f>
        <v>2805.4672606779554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366.98+1386.24</f>
        <v>1753.22</v>
      </c>
      <c r="H25" s="2">
        <f>+C25-F25</f>
        <v>1753.22</v>
      </c>
      <c r="J25" s="29"/>
      <c r="K25" s="3">
        <f>+'2001PILRecoveryAmt'!H20</f>
        <v>0.07855470152583417</v>
      </c>
      <c r="L25" s="2">
        <f>+K25*C25</f>
        <v>137.723673809123</v>
      </c>
      <c r="M25" s="25"/>
      <c r="N25" s="25">
        <f>+L25+M25</f>
        <v>137.723673809123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7663.05</v>
      </c>
      <c r="F30" s="2">
        <f>+'2001PILRecoveryAmt'!J28</f>
        <v>7063.666666666667</v>
      </c>
      <c r="H30" s="2">
        <f>+C30-F30</f>
        <v>599.3833333333332</v>
      </c>
      <c r="J30" s="29"/>
      <c r="K30" s="3">
        <f>+'2001PILRecoveryAmt'!H28</f>
        <v>0.030359704591571893</v>
      </c>
      <c r="L30" s="2">
        <f>+K30*C30</f>
        <v>232.647934270445</v>
      </c>
      <c r="M30" s="25">
        <f>+'2001PILRecoveryAmt'!M28</f>
        <v>498.01000000000005</v>
      </c>
      <c r="N30" s="25">
        <f>+L30+M30</f>
        <v>730.657934270445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3474.66</v>
      </c>
      <c r="F34" s="2">
        <f>+'2001PILRecoveryAmt'!J32</f>
        <v>3274.5</v>
      </c>
      <c r="H34" s="2">
        <f>+C34-F34</f>
        <v>200.15999999999985</v>
      </c>
      <c r="J34" s="29"/>
      <c r="K34" s="3">
        <f>+'2001PILRecoveryAmt'!H32</f>
        <v>0.1492698630834224</v>
      </c>
      <c r="L34" s="2">
        <f>+K34*C34</f>
        <v>518.6620224614445</v>
      </c>
      <c r="M34" s="25">
        <f>+'2001PILRecoveryAmt'!M32</f>
        <v>209.47833333333332</v>
      </c>
      <c r="N34" s="25">
        <f>+L34+M34</f>
        <v>728.1403557947779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1284.83</v>
      </c>
      <c r="F37" s="2">
        <f>+'2001PILRecoveryAmt'!J35</f>
        <v>1905.8333333333333</v>
      </c>
      <c r="H37" s="2">
        <f>+C37-F37</f>
        <v>-621.0033333333333</v>
      </c>
      <c r="J37" s="29"/>
      <c r="K37" s="3">
        <f>+'2001PILRecoveryAmt'!H35</f>
        <v>0.21259247923043287</v>
      </c>
      <c r="L37" s="2">
        <f>+K37*C37</f>
        <v>273.14519508963707</v>
      </c>
      <c r="M37" s="25">
        <f>+'2001PILRecoveryAmt'!M35</f>
        <v>173.6425</v>
      </c>
      <c r="N37" s="25">
        <f>+L37+M37</f>
        <v>446.78769508963705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83990.88000000002</v>
      </c>
      <c r="D45" s="14">
        <f>SUM(D9:D44)</f>
        <v>16372320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32.713333333338674</v>
      </c>
      <c r="I45" s="14">
        <f>SUM(I9:I43)</f>
        <v>-951700.0833333328</v>
      </c>
      <c r="J45" s="29"/>
      <c r="K45" s="15"/>
      <c r="L45" s="14">
        <f>SUM(L9:L43)</f>
        <v>16520.22104099435</v>
      </c>
      <c r="M45" s="14">
        <f>SUM(M9:M43)</f>
        <v>13603.726666666667</v>
      </c>
      <c r="N45" s="14">
        <f>SUM(N9:N43)</f>
        <v>30123.947707661027</v>
      </c>
      <c r="O45" s="25"/>
    </row>
    <row r="46" spans="7:15" ht="12.75">
      <c r="G46" s="19" t="s">
        <v>102</v>
      </c>
      <c r="H46" s="2">
        <f>+C45-F45</f>
        <v>32.71333333334769</v>
      </c>
      <c r="I46" s="2">
        <f>+D45-G45</f>
        <v>-951548.0833333321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A15" sqref="A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123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11726041-135</f>
        <v>11725906</v>
      </c>
      <c r="G9" s="2">
        <f>+'2001PILRecoveryAmt'!K9</f>
        <v>10449948.666666666</v>
      </c>
      <c r="I9" s="2">
        <f>+D9-G9</f>
        <v>1275957.333333334</v>
      </c>
      <c r="J9" s="29"/>
      <c r="K9" s="3">
        <f>+'2001PILRecoveryAmt'!I9</f>
        <v>0.0007005173964809906</v>
      </c>
      <c r="L9" s="2">
        <f>+K9*D9</f>
        <v>8214.201142500826</v>
      </c>
      <c r="M9" s="25">
        <f>+'2001PILRecoveryAmt'!M9</f>
        <v>7320.370000000002</v>
      </c>
      <c r="N9" s="25">
        <f>+L9+M9</f>
        <v>15534.571142500827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703259</v>
      </c>
      <c r="G10" s="2">
        <f>+'2001PILRecoveryAmt'!K10</f>
        <v>640442.5</v>
      </c>
      <c r="I10" s="2">
        <f>+D10-G10</f>
        <v>62816.5</v>
      </c>
      <c r="J10" s="29"/>
      <c r="K10" s="3">
        <f>+'2001PILRecoveryAmt'!I10</f>
        <v>0.0008798643125651405</v>
      </c>
      <c r="L10" s="2">
        <f>+K10*D10</f>
        <v>618.7724965902481</v>
      </c>
      <c r="M10" s="25">
        <f>+'2001PILRecoveryAmt'!M10</f>
        <v>42.41416666666669</v>
      </c>
      <c r="N10" s="25">
        <f>+L10+M10</f>
        <v>661.1866632569148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356668</v>
      </c>
      <c r="G11" s="2">
        <f>+'2001PILRecoveryAmt'!K11</f>
        <v>341661.4166666667</v>
      </c>
      <c r="I11" s="2">
        <f>+D11-G11</f>
        <v>15006.583333333314</v>
      </c>
      <c r="J11" s="29"/>
      <c r="K11" s="3">
        <f>+'2001PILRecoveryAmt'!I11</f>
        <v>1.8156376549200634E-05</v>
      </c>
      <c r="L11" s="2">
        <f>+K11*D11</f>
        <v>6.475798511050292</v>
      </c>
      <c r="M11" s="25">
        <f>+'2001PILRecoveryAmt'!M11</f>
        <v>148.88</v>
      </c>
      <c r="N11" s="25">
        <f>+L11+M11</f>
        <v>155.3557985110503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6430074</v>
      </c>
      <c r="G15" s="2">
        <f>+'2001PILRecoveryAmt'!K13</f>
        <v>5891815.5</v>
      </c>
      <c r="I15" s="2">
        <f>+D15-G15</f>
        <v>538258.5</v>
      </c>
      <c r="J15" s="29"/>
      <c r="K15" s="3">
        <f>+'2001PILRecoveryAmt'!I13</f>
        <v>0.0004570149048285711</v>
      </c>
      <c r="L15" s="2">
        <f>+K15*D15</f>
        <v>2938.63965715067</v>
      </c>
      <c r="M15" s="25">
        <f>+'2001PILRecoveryAmt'!M13</f>
        <v>2692.6483333333335</v>
      </c>
      <c r="N15" s="25">
        <f>+L15+M15</f>
        <v>5631.287990484003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13783.46</v>
      </c>
      <c r="F22" s="2">
        <f>+'2001PILRecoveryAmt'!J20</f>
        <v>70786.41666666667</v>
      </c>
      <c r="H22" s="2">
        <f>+C22-F22</f>
        <v>-57002.95666666667</v>
      </c>
      <c r="J22" s="29"/>
      <c r="K22" s="3">
        <f>+'2001PILRecoveryAmt'!H20</f>
        <v>0.07855470152583417</v>
      </c>
      <c r="L22" s="2">
        <f>+K22*C22</f>
        <v>1082.7555862932743</v>
      </c>
      <c r="M22" s="25">
        <f>+'2001PILRecoveryAmt'!M20</f>
        <v>2383.1158333333333</v>
      </c>
      <c r="N22" s="25">
        <f>+L22+M22</f>
        <v>3465.8714196266073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19352.77</v>
      </c>
      <c r="H23" s="2">
        <f>+C23-F23</f>
        <v>19352.77</v>
      </c>
      <c r="J23" s="29"/>
      <c r="K23" s="3">
        <f>+'2001PILRecoveryAmt'!H20</f>
        <v>0.07855470152583417</v>
      </c>
      <c r="L23" s="2">
        <f>+K23*C23</f>
        <v>1520.2510710481179</v>
      </c>
      <c r="M23" s="25"/>
      <c r="N23" s="25">
        <f>+L23+M23</f>
        <v>1520.2510710481179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35935.44</v>
      </c>
      <c r="H24" s="2">
        <f>+C24-F24</f>
        <v>35935.44</v>
      </c>
      <c r="J24" s="29"/>
      <c r="K24" s="3">
        <f>+'2001PILRecoveryAmt'!H20</f>
        <v>0.07855470152583417</v>
      </c>
      <c r="L24" s="2">
        <f>+K24*C24</f>
        <v>2822.8977633995223</v>
      </c>
      <c r="M24" s="25"/>
      <c r="N24" s="25">
        <f>+L24+M24</f>
        <v>2822.8977633995223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468.3+1403.32</f>
        <v>1871.62</v>
      </c>
      <c r="H25" s="2">
        <f>+C25-F25</f>
        <v>1871.62</v>
      </c>
      <c r="J25" s="29"/>
      <c r="K25" s="3">
        <f>+'2001PILRecoveryAmt'!H20</f>
        <v>0.07855470152583417</v>
      </c>
      <c r="L25" s="2">
        <f>+K25*C25</f>
        <v>147.02455046978176</v>
      </c>
      <c r="M25" s="25"/>
      <c r="N25" s="25">
        <f>+L25+M25</f>
        <v>147.02455046978176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7709.2</v>
      </c>
      <c r="F30" s="2">
        <f>+'2001PILRecoveryAmt'!J28</f>
        <v>7063.666666666667</v>
      </c>
      <c r="H30" s="2">
        <f>+C30-F30</f>
        <v>645.5333333333328</v>
      </c>
      <c r="J30" s="29"/>
      <c r="K30" s="3">
        <f>+'2001PILRecoveryAmt'!H28</f>
        <v>0.030359704591571893</v>
      </c>
      <c r="L30" s="2">
        <f>+K30*C30</f>
        <v>234.04903463734604</v>
      </c>
      <c r="M30" s="25">
        <f>+'2001PILRecoveryAmt'!M28</f>
        <v>498.01000000000005</v>
      </c>
      <c r="N30" s="25">
        <f>+L30+M30</f>
        <v>732.059034637346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+'2001PILRecoveryAmt'!J32</f>
        <v>3274.5</v>
      </c>
      <c r="H34" s="2">
        <f>+C34-F34</f>
        <v>267.57000000000016</v>
      </c>
      <c r="J34" s="29"/>
      <c r="K34" s="3">
        <f>+'2001PILRecoveryAmt'!H32</f>
        <v>0.1492698630834224</v>
      </c>
      <c r="L34" s="2">
        <f>+K34*C34</f>
        <v>528.724303931898</v>
      </c>
      <c r="M34" s="25">
        <f>+'2001PILRecoveryAmt'!M32</f>
        <v>209.47833333333332</v>
      </c>
      <c r="N34" s="25">
        <f>+L34+M34</f>
        <v>738.2026372652314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1152.62</v>
      </c>
      <c r="F37" s="2">
        <f>+'2001PILRecoveryAmt'!J35</f>
        <v>1905.8333333333333</v>
      </c>
      <c r="H37" s="2">
        <f>+C37-F37</f>
        <v>-753.2133333333334</v>
      </c>
      <c r="J37" s="29"/>
      <c r="K37" s="3">
        <f>+'2001PILRecoveryAmt'!H35</f>
        <v>0.21259247923043287</v>
      </c>
      <c r="L37" s="2">
        <f>+K37*C37</f>
        <v>245.03834341058152</v>
      </c>
      <c r="M37" s="25">
        <f>+'2001PILRecoveryAmt'!M35</f>
        <v>173.6425</v>
      </c>
      <c r="N37" s="25">
        <f>+L37+M37</f>
        <v>418.68084341058153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:15" ht="12.75">
      <c r="A44" t="s">
        <v>85</v>
      </c>
      <c r="B44" t="s">
        <v>86</v>
      </c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84217.81999999999</v>
      </c>
      <c r="D45" s="14">
        <f>SUM(D9:D44)</f>
        <v>19334231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259.6533333333262</v>
      </c>
      <c r="I45" s="14">
        <f>SUM(I9:I43)</f>
        <v>2010210.9166666672</v>
      </c>
      <c r="J45" s="29"/>
      <c r="K45" s="15"/>
      <c r="L45" s="14">
        <f>SUM(L9:L43)</f>
        <v>18463.559106861623</v>
      </c>
      <c r="M45" s="14">
        <f>SUM(M9:M43)</f>
        <v>13603.726666666667</v>
      </c>
      <c r="N45" s="14">
        <f>SUM(N9:N43)</f>
        <v>32067.285773528296</v>
      </c>
      <c r="O45" s="25"/>
    </row>
    <row r="46" spans="7:15" ht="12.75">
      <c r="G46" s="19" t="s">
        <v>102</v>
      </c>
      <c r="H46" s="2">
        <f>+C45-F45</f>
        <v>259.6533333333209</v>
      </c>
      <c r="I46" s="2">
        <f>+D45-G45</f>
        <v>2010362.916666668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4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103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12280323-2700</f>
        <v>12277623</v>
      </c>
      <c r="G9" s="2">
        <f>+'2001PILRecoveryAmt'!K9</f>
        <v>10449948.666666666</v>
      </c>
      <c r="I9" s="2">
        <f>+D9-G9</f>
        <v>1827674.333333334</v>
      </c>
      <c r="J9" s="29"/>
      <c r="K9" s="3">
        <f>+'2001PILRecoveryAmt'!I9</f>
        <v>0.0007005173964809906</v>
      </c>
      <c r="L9" s="2">
        <f>+K9*D9</f>
        <v>8600.68849893513</v>
      </c>
      <c r="M9" s="25">
        <f>+'2001PILRecoveryAmt'!M9</f>
        <v>7320.370000000002</v>
      </c>
      <c r="N9" s="25">
        <f>+L9+M9</f>
        <v>15921.05849893513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652754</v>
      </c>
      <c r="G10" s="2">
        <f>+'2001PILRecoveryAmt'!K10</f>
        <v>640442.5</v>
      </c>
      <c r="I10" s="2">
        <f>+D10-G10</f>
        <v>12311.5</v>
      </c>
      <c r="J10" s="29"/>
      <c r="K10" s="3">
        <f>+'2001PILRecoveryAmt'!I10</f>
        <v>0.0008798643125651405</v>
      </c>
      <c r="L10" s="2">
        <f>+K10*D10</f>
        <v>574.3349494841457</v>
      </c>
      <c r="M10" s="25">
        <f>+'2001PILRecoveryAmt'!M10</f>
        <v>42.41416666666669</v>
      </c>
      <c r="N10" s="25">
        <f>+L10+M10</f>
        <v>616.7491161508124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377279</v>
      </c>
      <c r="G11" s="2">
        <f>+'2001PILRecoveryAmt'!K11</f>
        <v>341661.4166666667</v>
      </c>
      <c r="I11" s="2">
        <f>+D11-G11</f>
        <v>35617.583333333314</v>
      </c>
      <c r="J11" s="29"/>
      <c r="K11" s="3">
        <f>+'2001PILRecoveryAmt'!I11</f>
        <v>1.8156376549200634E-05</v>
      </c>
      <c r="L11" s="2">
        <f>+K11*D11</f>
        <v>6.850019588105866</v>
      </c>
      <c r="M11" s="25">
        <f>+'2001PILRecoveryAmt'!M11</f>
        <v>148.88</v>
      </c>
      <c r="N11" s="25">
        <f>+L11+M11</f>
        <v>155.73001958810585</v>
      </c>
      <c r="O11" s="25"/>
      <c r="Q11" s="23"/>
      <c r="R11" s="23"/>
    </row>
    <row r="12" spans="1:18" ht="12.75">
      <c r="A12" t="s">
        <v>13</v>
      </c>
      <c r="B12" t="s">
        <v>10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6369058</v>
      </c>
      <c r="G15" s="2">
        <f>+'2001PILRecoveryAmt'!K13</f>
        <v>5891815.5</v>
      </c>
      <c r="I15" s="2">
        <f>+D15-G15</f>
        <v>477242.5</v>
      </c>
      <c r="J15" s="29"/>
      <c r="K15" s="3">
        <f>+'2001PILRecoveryAmt'!I13</f>
        <v>0.0004570149048285711</v>
      </c>
      <c r="L15" s="2">
        <f>+K15*D15</f>
        <v>2910.7544357176494</v>
      </c>
      <c r="M15" s="25">
        <f>+'2001PILRecoveryAmt'!M13</f>
        <v>2692.6483333333335</v>
      </c>
      <c r="N15" s="25">
        <f>+L15+M15</f>
        <v>5603.402769050983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12941.35</v>
      </c>
      <c r="F22" s="2">
        <f>+'2001PILRecoveryAmt'!J20</f>
        <v>70786.41666666667</v>
      </c>
      <c r="H22" s="2">
        <f>+C22-F22</f>
        <v>-57845.06666666667</v>
      </c>
      <c r="J22" s="29"/>
      <c r="K22" s="3">
        <f>+'2001PILRecoveryAmt'!H20</f>
        <v>0.07855470152583417</v>
      </c>
      <c r="L22" s="2">
        <f>+K22*C22</f>
        <v>1016.6038865913541</v>
      </c>
      <c r="M22" s="25">
        <f>+'2001PILRecoveryAmt'!M20</f>
        <v>2383.1158333333333</v>
      </c>
      <c r="N22" s="25">
        <f>+L22+M22</f>
        <v>3399.7197199246875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19384.02</v>
      </c>
      <c r="H23" s="2">
        <f>+C23-F23</f>
        <v>19384.02</v>
      </c>
      <c r="J23" s="29"/>
      <c r="K23" s="3">
        <f>+'2001PILRecoveryAmt'!H20</f>
        <v>0.07855470152583417</v>
      </c>
      <c r="L23" s="2">
        <f>+K23*C23</f>
        <v>1522.7059054708002</v>
      </c>
      <c r="M23" s="25"/>
      <c r="N23" s="25">
        <f>+L23+M23</f>
        <v>1522.7059054708002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35334.2</v>
      </c>
      <c r="H24" s="2">
        <f>+C24-F24</f>
        <v>35334.2</v>
      </c>
      <c r="J24" s="29"/>
      <c r="K24" s="3">
        <f>+'2001PILRecoveryAmt'!H20</f>
        <v>0.07855470152583417</v>
      </c>
      <c r="L24" s="2">
        <f>+K24*C24</f>
        <v>2775.6675346541297</v>
      </c>
      <c r="M24" s="25"/>
      <c r="N24" s="25">
        <f>+L24+M24</f>
        <v>2775.6675346541297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444.66+1367.68</f>
        <v>1812.3400000000001</v>
      </c>
      <c r="H25" s="2">
        <f>+C25-F25</f>
        <v>1812.3400000000001</v>
      </c>
      <c r="J25" s="29"/>
      <c r="K25" s="3">
        <f>+'2001PILRecoveryAmt'!H20</f>
        <v>0.07855470152583417</v>
      </c>
      <c r="L25" s="2">
        <f>+K25*C25</f>
        <v>142.36782776333033</v>
      </c>
      <c r="M25" s="25"/>
      <c r="N25" s="25">
        <f>+L25+M25</f>
        <v>142.36782776333033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7679.35</v>
      </c>
      <c r="F30" s="2">
        <f>+'2001PILRecoveryAmt'!J28</f>
        <v>7063.666666666667</v>
      </c>
      <c r="H30" s="2">
        <f>+C30-F30</f>
        <v>615.6833333333334</v>
      </c>
      <c r="J30" s="29"/>
      <c r="K30" s="3">
        <f>+'2001PILRecoveryAmt'!H28</f>
        <v>0.030359704591571893</v>
      </c>
      <c r="L30" s="2">
        <f>+K30*C30</f>
        <v>233.14279745528762</v>
      </c>
      <c r="M30" s="25">
        <f>+'2001PILRecoveryAmt'!M28</f>
        <v>498.01000000000005</v>
      </c>
      <c r="N30" s="25">
        <f>+L30+M30</f>
        <v>731.1527974552877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3626.74</v>
      </c>
      <c r="F34" s="2">
        <f>+'2001PILRecoveryAmt'!J32</f>
        <v>3274.5</v>
      </c>
      <c r="H34" s="2">
        <f>+C34-F34</f>
        <v>352.2399999999998</v>
      </c>
      <c r="J34" s="29"/>
      <c r="K34" s="3">
        <f>+'2001PILRecoveryAmt'!H32</f>
        <v>0.1492698630834224</v>
      </c>
      <c r="L34" s="2">
        <f>+K34*C34</f>
        <v>541.3629832391714</v>
      </c>
      <c r="M34" s="25">
        <f>+'2001PILRecoveryAmt'!M32</f>
        <v>209.47833333333332</v>
      </c>
      <c r="N34" s="25">
        <f>+L34+M34</f>
        <v>750.8413165725048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1180.93</v>
      </c>
      <c r="F37" s="2">
        <f>+'2001PILRecoveryAmt'!J35</f>
        <v>1905.8333333333333</v>
      </c>
      <c r="H37" s="2">
        <f>+C37-F37</f>
        <v>-724.9033333333332</v>
      </c>
      <c r="J37" s="29"/>
      <c r="K37" s="3">
        <f>+'2001PILRecoveryAmt'!H35</f>
        <v>0.21259247923043287</v>
      </c>
      <c r="L37" s="2">
        <f>+K37*C37</f>
        <v>251.0568364975951</v>
      </c>
      <c r="M37" s="25">
        <f>+'2001PILRecoveryAmt'!M35</f>
        <v>173.6425</v>
      </c>
      <c r="N37" s="25">
        <f>+L37+M37</f>
        <v>424.69933649759514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:15" ht="12.75">
      <c r="A44" t="s">
        <v>85</v>
      </c>
      <c r="B44" t="s">
        <v>86</v>
      </c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82829.57</v>
      </c>
      <c r="D45" s="14">
        <f>SUM(D9:D44)</f>
        <v>19795038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-1128.596666666679</v>
      </c>
      <c r="I45" s="14">
        <f>SUM(I9:I43)</f>
        <v>2471017.916666667</v>
      </c>
      <c r="J45" s="29"/>
      <c r="K45" s="15"/>
      <c r="L45" s="14">
        <f>SUM(L9:L43)</f>
        <v>18680.265034315005</v>
      </c>
      <c r="M45" s="14">
        <f>SUM(M9:M43)</f>
        <v>13603.726666666667</v>
      </c>
      <c r="N45" s="14">
        <f>SUM(N9:N43)</f>
        <v>32283.991700981678</v>
      </c>
      <c r="O45" s="25"/>
    </row>
    <row r="46" spans="7:15" ht="12.75">
      <c r="G46" s="19" t="s">
        <v>102</v>
      </c>
      <c r="H46" s="2">
        <f>+C45-F45</f>
        <v>-1128.5966666666645</v>
      </c>
      <c r="I46" s="2">
        <f>+D45-G45</f>
        <v>2471169.916666668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7" sqref="F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95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9688830</v>
      </c>
      <c r="G9" s="2">
        <f>+'2001PILRecoveryAmt'!K9</f>
        <v>10449948.666666666</v>
      </c>
      <c r="I9" s="2">
        <f>+D9-G9</f>
        <v>-761118.666666666</v>
      </c>
      <c r="J9" s="29"/>
      <c r="K9" s="3">
        <f>+'2001PILRecoveryAmt'!I9</f>
        <v>0.0007005173964809906</v>
      </c>
      <c r="L9" s="2">
        <f>+K9*D9</f>
        <v>6787.193966546916</v>
      </c>
      <c r="M9" s="25">
        <f>+'2001PILRecoveryAmt'!M9</f>
        <v>7320.370000000002</v>
      </c>
      <c r="N9" s="25">
        <f>+L9+M9</f>
        <v>14107.563966546917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570158</v>
      </c>
      <c r="G10" s="2">
        <f>+'2001PILRecoveryAmt'!K10</f>
        <v>640442.5</v>
      </c>
      <c r="I10" s="2">
        <f>+D10-G10</f>
        <v>-70284.5</v>
      </c>
      <c r="J10" s="29"/>
      <c r="K10" s="3">
        <f>+'2001PILRecoveryAmt'!I10</f>
        <v>0.0008798643125651405</v>
      </c>
      <c r="L10" s="2">
        <f>+K10*D10</f>
        <v>501.66167672351537</v>
      </c>
      <c r="M10" s="25">
        <f>+'2001PILRecoveryAmt'!M10</f>
        <v>42.41416666666669</v>
      </c>
      <c r="N10" s="25">
        <f>+L10+M10</f>
        <v>544.0758433901821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308394</v>
      </c>
      <c r="G11" s="2">
        <f>+'2001PILRecoveryAmt'!K11</f>
        <v>341661.4166666667</v>
      </c>
      <c r="I11" s="2">
        <f>+D11-G11</f>
        <v>-33267.416666666686</v>
      </c>
      <c r="J11" s="29"/>
      <c r="K11" s="3">
        <f>+'2001PILRecoveryAmt'!I11</f>
        <v>1.8156376549200634E-05</v>
      </c>
      <c r="L11" s="2">
        <f>+K11*D11</f>
        <v>5.599317589514181</v>
      </c>
      <c r="M11" s="25">
        <f>+'2001PILRecoveryAmt'!M11</f>
        <v>148.88</v>
      </c>
      <c r="N11" s="25">
        <f>+L11+M11</f>
        <v>154.47931758951418</v>
      </c>
      <c r="O11" s="25"/>
      <c r="Q11" s="23"/>
      <c r="R11" s="23"/>
    </row>
    <row r="12" spans="1:18" ht="12.75">
      <c r="A12" t="s">
        <v>13</v>
      </c>
      <c r="B12" t="s">
        <v>10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5414260</v>
      </c>
      <c r="G15" s="2">
        <f>+'2001PILRecoveryAmt'!K13</f>
        <v>5891815.5</v>
      </c>
      <c r="I15" s="2">
        <f>+D15-G15</f>
        <v>-477555.5</v>
      </c>
      <c r="J15" s="29"/>
      <c r="K15" s="3">
        <f>+'2001PILRecoveryAmt'!I13</f>
        <v>0.0004570149048285711</v>
      </c>
      <c r="L15" s="2">
        <f>+K15*D15</f>
        <v>2474.3975186171397</v>
      </c>
      <c r="M15" s="25">
        <f>+'2001PILRecoveryAmt'!M13</f>
        <v>2692.6483333333335</v>
      </c>
      <c r="N15" s="25">
        <f>+L15+M15</f>
        <v>5167.045851950474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0</v>
      </c>
      <c r="J17" s="29"/>
      <c r="K17" s="3"/>
      <c r="L17" s="2"/>
      <c r="M17" s="25"/>
      <c r="N17" s="25"/>
      <c r="O17" s="25"/>
      <c r="Q17" s="23"/>
      <c r="R17" s="23"/>
    </row>
    <row r="18" spans="3:18" ht="12.75">
      <c r="C18" s="2">
        <f>+'[1]Festival July 31'!C17</f>
        <v>0</v>
      </c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12944.49</v>
      </c>
      <c r="D22" s="2">
        <v>0</v>
      </c>
      <c r="F22" s="2">
        <f>+'2001PILRecoveryAmt'!J20</f>
        <v>70786.41666666667</v>
      </c>
      <c r="H22" s="2">
        <f>+C22-F22</f>
        <v>-57841.92666666667</v>
      </c>
      <c r="J22" s="29"/>
      <c r="K22" s="3">
        <f>+'2001PILRecoveryAmt'!H20</f>
        <v>0.07855470152583417</v>
      </c>
      <c r="L22" s="2">
        <f>+K22*C21</f>
        <v>0</v>
      </c>
      <c r="M22" s="25">
        <f>+'2001PILRecoveryAmt'!M20</f>
        <v>2383.1158333333333</v>
      </c>
      <c r="N22" s="25">
        <f>+L22+M22</f>
        <v>2383.1158333333333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19378.26</v>
      </c>
      <c r="H23" s="2">
        <f>+C23-F23</f>
        <v>19378.26</v>
      </c>
      <c r="J23" s="29"/>
      <c r="K23" s="3">
        <f>+'2001PILRecoveryAmt'!H20</f>
        <v>0.07855470152583417</v>
      </c>
      <c r="L23" s="2">
        <f>+K23*C22</f>
        <v>1016.8505483541452</v>
      </c>
      <c r="M23" s="25"/>
      <c r="N23" s="25">
        <f>+L23+M23</f>
        <v>1016.8505483541452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35727.53</v>
      </c>
      <c r="H24" s="2">
        <f>+C24-F24</f>
        <v>35727.53</v>
      </c>
      <c r="J24" s="29"/>
      <c r="K24" s="3">
        <f>+'2001PILRecoveryAmt'!H20</f>
        <v>0.07855470152583417</v>
      </c>
      <c r="L24" s="2">
        <f>+K24*C23</f>
        <v>1522.253430390011</v>
      </c>
      <c r="M24" s="25"/>
      <c r="N24" s="25">
        <f>+L24+M24</f>
        <v>1522.253430390011</v>
      </c>
      <c r="O24" s="25"/>
      <c r="Q24" s="23"/>
      <c r="R24" s="23"/>
    </row>
    <row r="25" spans="1:15" ht="12.75">
      <c r="A25" t="s">
        <v>85</v>
      </c>
      <c r="B25" t="s">
        <v>86</v>
      </c>
      <c r="C25" s="2">
        <f>465.72+1076</f>
        <v>1541.72</v>
      </c>
      <c r="H25" s="2">
        <f>+C25-F25</f>
        <v>1541.72</v>
      </c>
      <c r="J25" s="29"/>
      <c r="K25" s="3">
        <f>+'2001PILRecoveryAmt'!H20</f>
        <v>0.07855470152583417</v>
      </c>
      <c r="L25" s="2">
        <f>+K25*C24</f>
        <v>2806.5654554052862</v>
      </c>
      <c r="M25" s="25"/>
      <c r="N25" s="25">
        <f>+L25+M25</f>
        <v>2806.5654554052862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7617.11</v>
      </c>
      <c r="F30" s="2">
        <f>+'2001PILRecoveryAmt'!J28</f>
        <v>7063.666666666667</v>
      </c>
      <c r="H30" s="2">
        <f>+C30-F30</f>
        <v>553.4433333333327</v>
      </c>
      <c r="J30" s="29"/>
      <c r="K30" s="3">
        <f>+'2001PILRecoveryAmt'!H28</f>
        <v>0.030359704591571893</v>
      </c>
      <c r="L30" s="2">
        <f>+K30*C30</f>
        <v>231.25320944150818</v>
      </c>
      <c r="M30" s="25">
        <f>+'2001PILRecoveryAmt'!M28</f>
        <v>498.01000000000005</v>
      </c>
      <c r="N30" s="25">
        <f>+L30+M30</f>
        <v>729.2632094415083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3686.8</v>
      </c>
      <c r="F34" s="2">
        <f>+'2001PILRecoveryAmt'!J32</f>
        <v>3274.5</v>
      </c>
      <c r="H34" s="2">
        <f>+C34-F34</f>
        <v>412.3000000000002</v>
      </c>
      <c r="J34" s="29"/>
      <c r="K34" s="3">
        <f>+'2001PILRecoveryAmt'!H32</f>
        <v>0.1492698630834224</v>
      </c>
      <c r="L34" s="2">
        <f>+K34*C34</f>
        <v>550.3281312159618</v>
      </c>
      <c r="M34" s="25">
        <f>+'2001PILRecoveryAmt'!M32</f>
        <v>209.47833333333332</v>
      </c>
      <c r="N34" s="25">
        <f>+L34+M34</f>
        <v>759.8064645492951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1090.72</v>
      </c>
      <c r="D37" s="2">
        <v>0</v>
      </c>
      <c r="F37" s="2">
        <f>+'2001PILRecoveryAmt'!J35</f>
        <v>1905.8333333333333</v>
      </c>
      <c r="H37" s="2">
        <f>+C37-F37</f>
        <v>-815.1133333333332</v>
      </c>
      <c r="J37" s="29"/>
      <c r="K37" s="3">
        <f>+'2001PILRecoveryAmt'!H35</f>
        <v>0.21259247923043287</v>
      </c>
      <c r="L37" s="2">
        <f>+K37*C37</f>
        <v>231.87886894621775</v>
      </c>
      <c r="M37" s="25">
        <f>+'2001PILRecoveryAmt'!M35</f>
        <v>173.6425</v>
      </c>
      <c r="N37" s="25">
        <f>+L37+M37</f>
        <v>405.52136894621776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4:15" ht="12.75">
      <c r="D42" s="2">
        <v>0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82857.27</v>
      </c>
      <c r="D45" s="14">
        <f>SUM(D9:D44)</f>
        <v>16099966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-1100.8966666666731</v>
      </c>
      <c r="I45" s="14">
        <f>SUM(I9:I43)</f>
        <v>-1224054.0833333328</v>
      </c>
      <c r="J45" s="29"/>
      <c r="K45" s="15"/>
      <c r="L45" s="14">
        <f>SUM(L9:L44)</f>
        <v>16232.711482148523</v>
      </c>
      <c r="M45" s="14">
        <f>SUM(M9:M43)</f>
        <v>13603.726666666667</v>
      </c>
      <c r="N45" s="14">
        <f>SUM(N9:N43)</f>
        <v>29836.438148815192</v>
      </c>
      <c r="O45" s="25"/>
    </row>
    <row r="46" spans="7:15" ht="12.75">
      <c r="G46" s="19" t="s">
        <v>102</v>
      </c>
      <c r="H46" s="2">
        <f>+C45-F45</f>
        <v>-1100.8966666666674</v>
      </c>
      <c r="I46" s="2">
        <f>+D45-G45</f>
        <v>-1223902.083333332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6">
      <selection activeCell="F1" sqref="F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84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6294716</v>
      </c>
      <c r="G9" s="2">
        <f>+'2001PILRecoveryAmt'!K9</f>
        <v>10449948.666666666</v>
      </c>
      <c r="I9" s="2">
        <f>+D9-G9</f>
        <v>-4155232.666666666</v>
      </c>
      <c r="J9" s="29"/>
      <c r="K9" s="3">
        <f>+'2001PILRecoveryAmt'!I9</f>
        <v>0.0007005173964809906</v>
      </c>
      <c r="L9" s="2">
        <f>+K9*D9</f>
        <v>4409.558063907235</v>
      </c>
      <c r="M9" s="25">
        <f>+'2001PILRecoveryAmt'!M9</f>
        <v>7320.370000000002</v>
      </c>
      <c r="N9" s="25">
        <f>+L9+M9</f>
        <v>11729.928063907237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1237+1237</f>
        <v>2474</v>
      </c>
      <c r="G10" s="2">
        <f>+'2001PILRecoveryAmt'!K10</f>
        <v>640442.5</v>
      </c>
      <c r="I10" s="2">
        <f>+D10-G10</f>
        <v>-637968.5</v>
      </c>
      <c r="J10" s="29"/>
      <c r="K10" s="3">
        <f>+'2001PILRecoveryAmt'!I10</f>
        <v>0.0008798643125651405</v>
      </c>
      <c r="L10" s="2">
        <f>+K10*D10</f>
        <v>2.1767843092861576</v>
      </c>
      <c r="M10" s="25">
        <f>+'2001PILRecoveryAmt'!M10</f>
        <v>42.41416666666669</v>
      </c>
      <c r="N10" s="25">
        <f>+L10+M10</f>
        <v>44.59095097595284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1104</v>
      </c>
      <c r="G11" s="2">
        <f>+'2001PILRecoveryAmt'!K11</f>
        <v>341661.4166666667</v>
      </c>
      <c r="I11" s="2">
        <f>+D11-G11</f>
        <v>-340557.4166666667</v>
      </c>
      <c r="J11" s="29"/>
      <c r="K11" s="3">
        <f>+'2001PILRecoveryAmt'!I11</f>
        <v>1.8156376549200634E-05</v>
      </c>
      <c r="L11" s="2">
        <f>+K11*D11</f>
        <v>0.0200446397103175</v>
      </c>
      <c r="M11" s="25">
        <f>+'2001PILRecoveryAmt'!M11</f>
        <v>148.88</v>
      </c>
      <c r="N11" s="25">
        <f>+L11+M11</f>
        <v>148.9000446397103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2021508</v>
      </c>
      <c r="G15" s="2">
        <f>+'2001PILRecoveryAmt'!K13</f>
        <v>5891815.5</v>
      </c>
      <c r="I15" s="2">
        <f>+D15-G15</f>
        <v>-3870307.5</v>
      </c>
      <c r="J15" s="29"/>
      <c r="K15" s="3">
        <f>+'2001PILRecoveryAmt'!I13</f>
        <v>0.0004570149048285711</v>
      </c>
      <c r="L15" s="2">
        <f>+K15*D15</f>
        <v>923.8592862301952</v>
      </c>
      <c r="M15" s="25">
        <f>+'2001PILRecoveryAmt'!M13</f>
        <v>2692.6483333333335</v>
      </c>
      <c r="N15" s="25">
        <f>+L15+M15</f>
        <v>3616.507619563529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11932</v>
      </c>
      <c r="G16" s="2">
        <f>+'2001PILRecoveryAmt'!K16</f>
        <v>0</v>
      </c>
      <c r="I16" s="2">
        <f>+D16-G16</f>
        <v>11932</v>
      </c>
      <c r="J16" s="29"/>
      <c r="K16" s="3">
        <f>+'2001PILRecoveryAmt'!I13</f>
        <v>0.0004570149048285711</v>
      </c>
      <c r="L16" s="2">
        <f>+K16*D16</f>
        <v>5.453101844414511</v>
      </c>
      <c r="M16" s="25">
        <f>+'2001PILRecoveryAmt'!M16</f>
        <v>0</v>
      </c>
      <c r="N16" s="25">
        <f>+L16+M16</f>
        <v>5.453101844414511</v>
      </c>
      <c r="O16" s="25"/>
      <c r="Q16" s="23"/>
      <c r="R16" s="23"/>
    </row>
    <row r="17" spans="1:18" ht="12.75">
      <c r="A17" t="s">
        <v>16</v>
      </c>
      <c r="B17" t="s">
        <v>17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5294.93</v>
      </c>
      <c r="F22" s="2">
        <f>+'2001PILRecoveryAmt'!J20</f>
        <v>70786.41666666667</v>
      </c>
      <c r="H22" s="2">
        <f>+C22-F22</f>
        <v>-65491.48666666667</v>
      </c>
      <c r="J22" s="29"/>
      <c r="K22" s="3">
        <f>+'2001PILRecoveryAmt'!H20</f>
        <v>0.07855470152583417</v>
      </c>
      <c r="L22" s="2">
        <f>+K22*C22</f>
        <v>415.94164575018516</v>
      </c>
      <c r="M22" s="25">
        <f>+'2001PILRecoveryAmt'!M20</f>
        <v>2383.1158333333333</v>
      </c>
      <c r="N22" s="25">
        <f>+L22+M22</f>
        <v>2799.0574790835185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18033.09</v>
      </c>
      <c r="H23" s="2">
        <f>+C23-F23</f>
        <v>18033.09</v>
      </c>
      <c r="J23" s="29"/>
      <c r="K23" s="3">
        <f>+'2001PILRecoveryAmt'!H20</f>
        <v>0.07855470152583417</v>
      </c>
      <c r="L23" s="2">
        <f>+K23*C23</f>
        <v>1416.584002538505</v>
      </c>
      <c r="M23" s="25"/>
      <c r="N23" s="25">
        <f>+L23+M23</f>
        <v>1416.584002538505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34874.51</v>
      </c>
      <c r="H24" s="2">
        <f>+C24-F24</f>
        <v>34874.51</v>
      </c>
      <c r="J24" s="29"/>
      <c r="K24" s="3">
        <f>+'2001PILRecoveryAmt'!H20</f>
        <v>0.07855470152583417</v>
      </c>
      <c r="L24" s="2">
        <f>+K24*C24</f>
        <v>2739.556723909719</v>
      </c>
      <c r="M24" s="25"/>
      <c r="N24" s="25">
        <f>+L24+M24</f>
        <v>2739.556723909719</v>
      </c>
      <c r="O24" s="25"/>
      <c r="Q24" s="23"/>
      <c r="R24" s="23"/>
    </row>
    <row r="25" spans="1:15" ht="12.75">
      <c r="A25" t="s">
        <v>137</v>
      </c>
      <c r="B25" t="s">
        <v>86</v>
      </c>
      <c r="C25" s="2">
        <v>297.9</v>
      </c>
      <c r="H25" s="2">
        <f>+C25-F25</f>
        <v>297.9</v>
      </c>
      <c r="J25" s="29"/>
      <c r="K25" s="3">
        <v>0.07855</v>
      </c>
      <c r="L25" s="2">
        <f>+K25*C25</f>
        <v>23.400044999999995</v>
      </c>
      <c r="M25" s="25"/>
      <c r="N25" s="25">
        <f>+L25+M25</f>
        <v>23.400044999999995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7529.99</v>
      </c>
      <c r="F30" s="2">
        <f>+'2001PILRecoveryAmt'!J28</f>
        <v>7063.666666666667</v>
      </c>
      <c r="H30" s="2">
        <f>+C30-F30</f>
        <v>466.3233333333328</v>
      </c>
      <c r="J30" s="29"/>
      <c r="K30" s="3">
        <f>+'2001PILRecoveryAmt'!H28</f>
        <v>0.030359704591571893</v>
      </c>
      <c r="L30" s="2">
        <f>+K30*C30</f>
        <v>228.60827197749043</v>
      </c>
      <c r="M30" s="25">
        <f>+'2001PILRecoveryAmt'!M28</f>
        <v>498.01000000000005</v>
      </c>
      <c r="N30" s="25">
        <f>+L30+M30</f>
        <v>726.6182719774905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3754.58</v>
      </c>
      <c r="F34" s="2">
        <f>+'2001PILRecoveryAmt'!J32</f>
        <v>3274.5</v>
      </c>
      <c r="H34" s="2">
        <f>+C34-F34</f>
        <v>480.0799999999999</v>
      </c>
      <c r="J34" s="29"/>
      <c r="K34" s="3">
        <f>+'2001PILRecoveryAmt'!H32</f>
        <v>0.1492698630834224</v>
      </c>
      <c r="L34" s="2">
        <f>+K34*C34</f>
        <v>560.4456425357561</v>
      </c>
      <c r="M34" s="25">
        <f>+'2001PILRecoveryAmt'!M32</f>
        <v>209.47833333333332</v>
      </c>
      <c r="N34" s="25">
        <f>+L34+M34</f>
        <v>769.9239758690894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1334.03</v>
      </c>
      <c r="F37" s="2">
        <f>+'2001PILRecoveryAmt'!J35</f>
        <v>1905.8333333333333</v>
      </c>
      <c r="H37" s="2">
        <f>+C37-F37</f>
        <v>-571.8033333333333</v>
      </c>
      <c r="J37" s="29"/>
      <c r="K37" s="3">
        <f>+'2001PILRecoveryAmt'!H35</f>
        <v>0.21259247923043287</v>
      </c>
      <c r="L37" s="2">
        <f>+K37*C37</f>
        <v>283.60474506777433</v>
      </c>
      <c r="M37" s="25">
        <f>+'2001PILRecoveryAmt'!M35</f>
        <v>173.6425</v>
      </c>
      <c r="N37" s="25">
        <f>+L37+M37</f>
        <v>457.2472450677743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0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D43" s="2">
        <v>0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71119.03</v>
      </c>
      <c r="D45" s="14">
        <f>SUM(D9:D44)</f>
        <v>8331734</v>
      </c>
      <c r="E45" s="14"/>
      <c r="F45" s="14">
        <f>SUM(F9:F44)</f>
        <v>83958.16666666667</v>
      </c>
      <c r="G45" s="14">
        <f>SUM(G9:G44)</f>
        <v>17323868.083333332</v>
      </c>
      <c r="H45" s="14">
        <f>SUM(H9:H44)</f>
        <v>-12839.136666666667</v>
      </c>
      <c r="I45" s="14">
        <f>SUM(I9:I43)</f>
        <v>-8992134.083333332</v>
      </c>
      <c r="J45" s="29"/>
      <c r="K45" s="15"/>
      <c r="L45" s="14">
        <f>SUM(L9:L43)</f>
        <v>11009.208357710273</v>
      </c>
      <c r="M45" s="14">
        <f>SUM(M9:M43)</f>
        <v>13603.726666666667</v>
      </c>
      <c r="N45" s="14">
        <f>SUM(N9:N43)</f>
        <v>24612.935024376937</v>
      </c>
      <c r="O45" s="25"/>
    </row>
    <row r="46" spans="7:15" ht="12.75">
      <c r="G46" s="19" t="s">
        <v>102</v>
      </c>
      <c r="H46" s="2">
        <f>+C45-F45</f>
        <v>-12839.136666666673</v>
      </c>
      <c r="I46" s="2">
        <f>+D45-G45</f>
        <v>-8992134.083333332</v>
      </c>
      <c r="J46" s="29"/>
      <c r="K46" s="3"/>
      <c r="L46" s="2"/>
      <c r="M46" s="25"/>
      <c r="N46" s="25"/>
      <c r="O46" s="25"/>
    </row>
    <row r="47" spans="10:15" ht="12.75">
      <c r="J47" s="29"/>
      <c r="K47" s="25"/>
      <c r="L47" s="30"/>
      <c r="M47" s="25"/>
      <c r="N47" s="25"/>
      <c r="O47" s="25"/>
    </row>
    <row r="48" spans="3:15" ht="12.75">
      <c r="C48" s="37"/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19">
      <selection activeCell="F21" sqref="F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9419276-1022-469+9</f>
        <v>9417794</v>
      </c>
      <c r="G9" s="2">
        <f>+'2001PILRecoveryAmt'!K9</f>
        <v>10449948.666666666</v>
      </c>
      <c r="I9" s="2">
        <f>+D9-G9</f>
        <v>-1032154.666666666</v>
      </c>
      <c r="J9" s="29"/>
      <c r="K9" s="3">
        <f>+'2001PILRecoveryAmt'!I9</f>
        <v>0.0007005173964809906</v>
      </c>
      <c r="L9" s="2">
        <f>+K9*D9</f>
        <v>6597.328533474295</v>
      </c>
      <c r="M9" s="25">
        <f>+'2001PILRecoveryAmt'!M9</f>
        <v>7320.370000000002</v>
      </c>
      <c r="N9" s="25">
        <f>+L9+M9</f>
        <v>13917.698533474297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553760</v>
      </c>
      <c r="G10" s="2">
        <f>+'2001PILRecoveryAmt'!K10</f>
        <v>640442.5</v>
      </c>
      <c r="I10" s="2">
        <f aca="true" t="shared" si="0" ref="I10:I16">+D10-G10</f>
        <v>-86682.5</v>
      </c>
      <c r="J10" s="29"/>
      <c r="K10" s="3">
        <f>+'2001PILRecoveryAmt'!I10</f>
        <v>0.0008798643125651405</v>
      </c>
      <c r="L10" s="2">
        <f aca="true" t="shared" si="1" ref="L10:L16">+K10*D10</f>
        <v>487.2336617260722</v>
      </c>
      <c r="M10" s="25">
        <f>+'2001PILRecoveryAmt'!M10</f>
        <v>42.41416666666669</v>
      </c>
      <c r="N10" s="25">
        <f>+L10+M10</f>
        <v>529.6478283927389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300032</v>
      </c>
      <c r="G11" s="2">
        <f>+'2001PILRecoveryAmt'!K11</f>
        <v>341661.4166666667</v>
      </c>
      <c r="I11" s="2">
        <f t="shared" si="0"/>
        <v>-41629.416666666686</v>
      </c>
      <c r="J11" s="29"/>
      <c r="K11" s="3">
        <f>+'2001PILRecoveryAmt'!I11</f>
        <v>1.8156376549200634E-05</v>
      </c>
      <c r="L11" s="2">
        <f t="shared" si="1"/>
        <v>5.4474939688097646</v>
      </c>
      <c r="M11" s="25">
        <f>+'2001PILRecoveryAmt'!M11</f>
        <v>148.88</v>
      </c>
      <c r="N11" s="25">
        <f>+L11+M11</f>
        <v>154.32749396880976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6296511-1334</f>
        <v>6295177</v>
      </c>
      <c r="G15" s="2">
        <f>+'2001PILRecoveryAmt'!K13</f>
        <v>5891815.5</v>
      </c>
      <c r="I15" s="2">
        <f t="shared" si="0"/>
        <v>403361.5</v>
      </c>
      <c r="J15" s="29"/>
      <c r="K15" s="3">
        <f>+'2001PILRecoveryAmt'!I13</f>
        <v>0.0004570149048285711</v>
      </c>
      <c r="L15" s="2">
        <f t="shared" si="1"/>
        <v>2876.9897175340097</v>
      </c>
      <c r="M15" s="25">
        <f>+'2001PILRecoveryAmt'!M13</f>
        <v>2692.6483333333335</v>
      </c>
      <c r="N15" s="25">
        <f>+L15+M15</f>
        <v>5569.638050867343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115294</v>
      </c>
      <c r="G16" s="2">
        <f>+'2001PILRecoveryAmt'!K16</f>
        <v>0</v>
      </c>
      <c r="I16" s="2">
        <f t="shared" si="0"/>
        <v>115294</v>
      </c>
      <c r="J16" s="29"/>
      <c r="K16" s="3">
        <f>+'2001PILRecoveryAmt'!I13</f>
        <v>0.0004570149048285711</v>
      </c>
      <c r="L16" s="2">
        <f t="shared" si="1"/>
        <v>52.69107643730528</v>
      </c>
      <c r="M16" s="25">
        <f>+'2001PILRecoveryAmt'!M16</f>
        <v>0</v>
      </c>
      <c r="N16" s="25">
        <f>+L16+M16</f>
        <v>52.69107643730528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15131.51</v>
      </c>
      <c r="F22" s="2">
        <f>+'2001PILRecoveryAmt'!J20</f>
        <v>70786.41666666667</v>
      </c>
      <c r="H22" s="2">
        <f>+C22-F22</f>
        <v>-55654.90666666667</v>
      </c>
      <c r="J22" s="29"/>
      <c r="K22" s="3">
        <f>+'2001PILRecoveryAmt'!H20</f>
        <v>0.07855470152583417</v>
      </c>
      <c r="L22" s="2">
        <f>+K22*C22</f>
        <v>1188.651251685175</v>
      </c>
      <c r="M22" s="25">
        <f>+'2001PILRecoveryAmt'!M20</f>
        <v>2383.1158333333333</v>
      </c>
      <c r="N22" s="25">
        <f>+L22+M22</f>
        <v>3571.7670850185086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217.92</v>
      </c>
      <c r="H23" s="2">
        <f>+C23-F23</f>
        <v>217.92</v>
      </c>
      <c r="J23" s="29"/>
      <c r="K23" s="3">
        <f>+'2001PILRecoveryAmt'!H20</f>
        <v>0.07855470152583417</v>
      </c>
      <c r="L23" s="2">
        <f>+K23*C23</f>
        <v>17.11864055650978</v>
      </c>
      <c r="M23" s="25"/>
      <c r="N23" s="25">
        <f>+L23+M23</f>
        <v>17.11864055650978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236.78</v>
      </c>
      <c r="H24" s="2">
        <f>+C24-F24</f>
        <v>236.78</v>
      </c>
      <c r="J24" s="29"/>
      <c r="K24" s="3">
        <f>+'2001PILRecoveryAmt'!H20</f>
        <v>0.07855470152583417</v>
      </c>
      <c r="L24" s="2">
        <f>+K24*C24</f>
        <v>18.600182227287014</v>
      </c>
      <c r="M24" s="25"/>
      <c r="N24" s="25">
        <f>+L24+M24</f>
        <v>18.600182227287014</v>
      </c>
      <c r="O24" s="25"/>
      <c r="Q24" s="23"/>
      <c r="R24" s="23"/>
    </row>
    <row r="25" spans="10:15" ht="12.75">
      <c r="J25" s="29"/>
      <c r="K25" s="3"/>
      <c r="L25" s="2"/>
      <c r="M25" s="25"/>
      <c r="N25" s="25">
        <f>+L25+M25</f>
        <v>0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0</v>
      </c>
      <c r="F30" s="2">
        <f>+'2001PILRecoveryAmt'!J28</f>
        <v>7063.666666666667</v>
      </c>
      <c r="H30" s="2">
        <f>+C30-F30</f>
        <v>-7063.666666666667</v>
      </c>
      <c r="J30" s="29"/>
      <c r="K30" s="3">
        <f>+'2001PILRecoveryAmt'!H28</f>
        <v>0.030359704591571893</v>
      </c>
      <c r="L30" s="2">
        <f>+K30*C30</f>
        <v>0</v>
      </c>
      <c r="M30" s="25">
        <f>+'2001PILRecoveryAmt'!M28</f>
        <v>498.01000000000005</v>
      </c>
      <c r="N30" s="25">
        <f>+L30+M30</f>
        <v>498.01000000000005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0</v>
      </c>
      <c r="F34" s="2">
        <f>+'2001PILRecoveryAmt'!J32</f>
        <v>3274.5</v>
      </c>
      <c r="H34" s="2">
        <f>+C34-F34</f>
        <v>-3274.5</v>
      </c>
      <c r="J34" s="29"/>
      <c r="K34" s="3">
        <f>+'2001PILRecoveryAmt'!H32</f>
        <v>0.1492698630834224</v>
      </c>
      <c r="L34" s="2">
        <f>+K34*C34</f>
        <v>0</v>
      </c>
      <c r="M34" s="25">
        <f>+'2001PILRecoveryAmt'!M32</f>
        <v>209.47833333333332</v>
      </c>
      <c r="N34" s="25">
        <f>+L34+M34</f>
        <v>209.47833333333332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0</v>
      </c>
      <c r="F37" s="2">
        <f>+'2001PILRecoveryAmt'!J35</f>
        <v>1905.8333333333333</v>
      </c>
      <c r="H37" s="2">
        <f>+C37-F37</f>
        <v>-1905.8333333333333</v>
      </c>
      <c r="J37" s="29"/>
      <c r="K37" s="3">
        <f>+'2001PILRecoveryAmt'!H35</f>
        <v>0.21259247923043287</v>
      </c>
      <c r="L37" s="2">
        <f>+K37*C37</f>
        <v>0</v>
      </c>
      <c r="M37" s="25">
        <f>+'2001PILRecoveryAmt'!M35</f>
        <v>173.6425</v>
      </c>
      <c r="N37" s="25">
        <f>+L37+M37</f>
        <v>173.6425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313435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15586.210000000001</v>
      </c>
      <c r="D45" s="14">
        <f>SUM(D9:D43)</f>
        <v>16995492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-68371.95666666667</v>
      </c>
      <c r="I45" s="14">
        <f>SUM(I9:I43)</f>
        <v>-641811.0833333328</v>
      </c>
      <c r="J45" s="29"/>
      <c r="K45" s="15"/>
      <c r="L45" s="14">
        <f>SUM(L9:L43)</f>
        <v>11244.060557609464</v>
      </c>
      <c r="M45" s="14">
        <f>SUM(M9:M43)</f>
        <v>13603.726666666667</v>
      </c>
      <c r="N45" s="14">
        <f>SUM(N9:N43)</f>
        <v>24847.787224276133</v>
      </c>
      <c r="O45" s="25"/>
    </row>
    <row r="46" spans="7:15" ht="12.75">
      <c r="G46" s="19" t="s">
        <v>102</v>
      </c>
      <c r="H46" s="2">
        <f>+C45-F45</f>
        <v>-68371.95666666667</v>
      </c>
      <c r="I46" s="2">
        <f>+D45-G45</f>
        <v>-328376.0833333321</v>
      </c>
      <c r="J46" s="29"/>
      <c r="K46" s="3"/>
      <c r="L46" s="2"/>
      <c r="M46" s="25"/>
      <c r="N46" s="25"/>
      <c r="O46" s="25"/>
    </row>
    <row r="47" spans="8:15" ht="12.75">
      <c r="H47" s="2" t="s">
        <v>150</v>
      </c>
      <c r="I47" s="2">
        <f>+I46-I45</f>
        <v>313435.0000000007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A9" sqref="A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3.421875" style="2" customWidth="1"/>
    <col min="6" max="6" width="13.28125" style="2" hidden="1" customWidth="1"/>
    <col min="7" max="7" width="13.7109375" style="19" hidden="1" customWidth="1"/>
    <col min="8" max="8" width="12.28125" style="2" hidden="1" customWidth="1"/>
    <col min="9" max="9" width="14.28125" style="2" hidden="1" customWidth="1"/>
    <col min="10" max="10" width="4.281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25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10426434-2973-2779</f>
        <v>10420682</v>
      </c>
      <c r="G9" s="2">
        <f>+'2001PILRecoveryAmt'!K9</f>
        <v>10449948.666666666</v>
      </c>
      <c r="I9" s="2">
        <f>+D9-G9</f>
        <v>-29266.666666666046</v>
      </c>
      <c r="J9" s="29"/>
      <c r="K9" s="3">
        <f>+'2001PILRecoveryAmt'!I9</f>
        <v>0.0007005173964809906</v>
      </c>
      <c r="L9" s="2">
        <f>+K9*D9</f>
        <v>7299.869024196322</v>
      </c>
      <c r="M9" s="25">
        <f>+'2001PILRecoveryAmt'!M9</f>
        <v>7320.370000000002</v>
      </c>
      <c r="N9" s="25">
        <f>+L9+M9</f>
        <v>14620.239024196324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705354-272+70</f>
        <v>705152</v>
      </c>
      <c r="G10" s="2">
        <f>+'2001PILRecoveryAmt'!K10</f>
        <v>640442.5</v>
      </c>
      <c r="I10" s="2">
        <f aca="true" t="shared" si="0" ref="I10:I16">+D10-G10</f>
        <v>64709.5</v>
      </c>
      <c r="J10" s="29"/>
      <c r="K10" s="3">
        <f>+'2001PILRecoveryAmt'!I10</f>
        <v>0.0008798643125651405</v>
      </c>
      <c r="L10" s="2">
        <f aca="true" t="shared" si="1" ref="L10:L16">+K10*D10</f>
        <v>620.4380797339339</v>
      </c>
      <c r="M10" s="25">
        <f>+'2001PILRecoveryAmt'!M10</f>
        <v>42.41416666666669</v>
      </c>
      <c r="N10" s="25">
        <f>+L10+M10</f>
        <v>662.8522464006006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366057-104</f>
        <v>365953</v>
      </c>
      <c r="G11" s="2">
        <f>+'2001PILRecoveryAmt'!K11</f>
        <v>341661.4166666667</v>
      </c>
      <c r="I11" s="2">
        <f t="shared" si="0"/>
        <v>24291.583333333314</v>
      </c>
      <c r="J11" s="29"/>
      <c r="K11" s="3">
        <f>+'2001PILRecoveryAmt'!I11</f>
        <v>1.8156376549200634E-05</v>
      </c>
      <c r="L11" s="2">
        <f t="shared" si="1"/>
        <v>6.644380467309619</v>
      </c>
      <c r="M11" s="25">
        <f>+'2001PILRecoveryAmt'!M11</f>
        <v>148.88</v>
      </c>
      <c r="N11" s="25">
        <f>+L11+M11</f>
        <v>155.5243804673096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6041081-2985-12126</f>
        <v>6025970</v>
      </c>
      <c r="G15" s="2">
        <f>+'2001PILRecoveryAmt'!K13</f>
        <v>5891815.5</v>
      </c>
      <c r="I15" s="2">
        <f t="shared" si="0"/>
        <v>134154.5</v>
      </c>
      <c r="J15" s="29"/>
      <c r="K15" s="3">
        <f>+'2001PILRecoveryAmt'!I13</f>
        <v>0.0004570149048285711</v>
      </c>
      <c r="L15" s="2">
        <f t="shared" si="1"/>
        <v>2753.958106049825</v>
      </c>
      <c r="M15" s="25">
        <f>+'2001PILRecoveryAmt'!M13</f>
        <v>2692.6483333333335</v>
      </c>
      <c r="N15" s="25">
        <f>+L15+M15</f>
        <v>5446.606439383158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 t="shared" si="0"/>
        <v>118172</v>
      </c>
      <c r="J16" s="29"/>
      <c r="K16" s="3">
        <f>+'2001PILRecoveryAmt'!I13</f>
        <v>0.0004570149048285711</v>
      </c>
      <c r="L16" s="2">
        <f t="shared" si="1"/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20154.49</v>
      </c>
      <c r="F22" s="2">
        <f>+'2001PILRecoveryAmt'!J20</f>
        <v>70786.41666666667</v>
      </c>
      <c r="H22" s="2">
        <f>+C22-F22</f>
        <v>-50631.926666666666</v>
      </c>
      <c r="J22" s="29"/>
      <c r="K22" s="3">
        <f>+'2001PILRecoveryAmt'!H20</f>
        <v>0.07855470152583417</v>
      </c>
      <c r="L22" s="2">
        <f>+K22*C22</f>
        <v>1583.2299463554098</v>
      </c>
      <c r="M22" s="25">
        <f>+'2001PILRecoveryAmt'!M20</f>
        <v>2383.1158333333333</v>
      </c>
      <c r="N22" s="25">
        <f>+L22+M22</f>
        <v>3966.3457796887433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16456.76</v>
      </c>
      <c r="H23" s="2">
        <f>+C23-F23</f>
        <v>16456.76</v>
      </c>
      <c r="J23" s="29"/>
      <c r="K23" s="3">
        <f>+'2001PILRecoveryAmt'!H20</f>
        <v>0.07855470152583417</v>
      </c>
      <c r="L23" s="2">
        <f>+K23*C23</f>
        <v>1292.7558698822866</v>
      </c>
      <c r="M23" s="25"/>
      <c r="N23" s="25">
        <f>+L23+M23</f>
        <v>1292.7558698822866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33937.02</v>
      </c>
      <c r="H24" s="2">
        <f>+C24-F24</f>
        <v>33937.02</v>
      </c>
      <c r="J24" s="29"/>
      <c r="K24" s="3">
        <f>+'2001PILRecoveryAmt'!H20</f>
        <v>0.07855470152583417</v>
      </c>
      <c r="L24" s="2">
        <f>+K24*C24</f>
        <v>2665.9124767762646</v>
      </c>
      <c r="M24" s="25"/>
      <c r="N24" s="25">
        <f>+L24+M24</f>
        <v>2665.9124767762646</v>
      </c>
      <c r="O24" s="25"/>
      <c r="Q24" s="23"/>
      <c r="R24" s="23"/>
    </row>
    <row r="25" spans="10:15" ht="12.75">
      <c r="J25" s="29"/>
      <c r="K25" s="3"/>
      <c r="L25" s="2"/>
      <c r="M25" s="25"/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7415.15</v>
      </c>
      <c r="F30" s="2">
        <f>+'2001PILRecoveryAmt'!J28</f>
        <v>7063.666666666667</v>
      </c>
      <c r="H30" s="2">
        <f>+C30-F30</f>
        <v>351.48333333333267</v>
      </c>
      <c r="J30" s="29"/>
      <c r="K30" s="3">
        <f>+'2001PILRecoveryAmt'!H28</f>
        <v>0.030359704591571893</v>
      </c>
      <c r="L30" s="2">
        <f>+K30*C30</f>
        <v>225.1217635021943</v>
      </c>
      <c r="M30" s="25">
        <f>+'2001PILRecoveryAmt'!M28</f>
        <v>498.01000000000005</v>
      </c>
      <c r="N30" s="25">
        <f>+L30+M30</f>
        <v>723.1317635021944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3737.31</v>
      </c>
      <c r="F34" s="2">
        <f>+'2001PILRecoveryAmt'!J32</f>
        <v>3274.5</v>
      </c>
      <c r="H34" s="2">
        <f>+C34-F34</f>
        <v>462.80999999999995</v>
      </c>
      <c r="J34" s="29"/>
      <c r="K34" s="3">
        <f>+'2001PILRecoveryAmt'!H32</f>
        <v>0.1492698630834224</v>
      </c>
      <c r="L34" s="2">
        <f>+K34*C34</f>
        <v>557.8677520003054</v>
      </c>
      <c r="M34" s="25">
        <f>+'2001PILRecoveryAmt'!M32</f>
        <v>209.47833333333332</v>
      </c>
      <c r="N34" s="25">
        <f>+L34+M34</f>
        <v>767.3460853336387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1292.94</v>
      </c>
      <c r="F37" s="2">
        <f>+'2001PILRecoveryAmt'!J35</f>
        <v>1905.8333333333333</v>
      </c>
      <c r="H37" s="2">
        <f>+C37-F37</f>
        <v>-612.8933333333332</v>
      </c>
      <c r="J37" s="29"/>
      <c r="K37" s="3">
        <f>+'2001PILRecoveryAmt'!H35</f>
        <v>0.21259247923043287</v>
      </c>
      <c r="L37" s="2">
        <f>+K37*C37</f>
        <v>274.8693200961959</v>
      </c>
      <c r="M37" s="25">
        <f>+'2001PILRecoveryAmt'!M35</f>
        <v>173.6425</v>
      </c>
      <c r="N37" s="25">
        <f>+L37+M37</f>
        <v>448.51182009619595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D40" s="2">
        <v>0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f>246412+65251</f>
        <v>311663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82993.66999999998</v>
      </c>
      <c r="D45" s="14">
        <f>SUM(D9:D43)</f>
        <v>17947592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-964.4966666666753</v>
      </c>
      <c r="I45" s="14">
        <f>SUM(I9:I43)</f>
        <v>312060.91666666727</v>
      </c>
      <c r="J45" s="29"/>
      <c r="K45" s="15"/>
      <c r="L45" s="14">
        <f>SUM(L9:L43)</f>
        <v>17334.67308439345</v>
      </c>
      <c r="M45" s="14">
        <f>SUM(M9:M43)</f>
        <v>13603.726666666667</v>
      </c>
      <c r="N45" s="14">
        <f>SUM(N9:N43)</f>
        <v>30938.399751060122</v>
      </c>
      <c r="O45" s="25"/>
    </row>
    <row r="46" spans="7:15" ht="12.75">
      <c r="G46" s="19" t="s">
        <v>102</v>
      </c>
      <c r="H46" s="2">
        <f>+C45-F45</f>
        <v>-964.4966666666878</v>
      </c>
      <c r="I46" s="2">
        <f>+D45-G45</f>
        <v>623723.9166666679</v>
      </c>
      <c r="J46" s="29"/>
      <c r="K46" s="3"/>
      <c r="L46" s="2"/>
      <c r="M46" s="25"/>
      <c r="N46" s="25"/>
      <c r="O46" s="25"/>
    </row>
    <row r="47" spans="8:15" ht="12.75">
      <c r="H47" s="2" t="s">
        <v>150</v>
      </c>
      <c r="I47" s="2">
        <f>+I46-I45</f>
        <v>311663.00000000064</v>
      </c>
      <c r="J47" s="29"/>
      <c r="K47" s="25"/>
      <c r="L47" s="30"/>
      <c r="M47" s="25"/>
      <c r="N47" s="25"/>
      <c r="O47" s="25"/>
    </row>
    <row r="48" spans="10:15" ht="12.75">
      <c r="J48" s="29"/>
      <c r="K48" s="25"/>
      <c r="L48" s="30"/>
      <c r="M48" s="25"/>
      <c r="N48" s="25"/>
      <c r="O48" s="25"/>
    </row>
    <row r="49" spans="10:15" ht="12.75">
      <c r="J49" s="29"/>
      <c r="K49" s="25"/>
      <c r="L49" s="30"/>
      <c r="M49" s="25"/>
      <c r="N49" s="25"/>
      <c r="O49" s="25"/>
    </row>
    <row r="50" spans="10:15" ht="12.75">
      <c r="J50" s="29"/>
      <c r="K50" s="25"/>
      <c r="L50" s="30"/>
      <c r="M50" s="25"/>
      <c r="N50" s="25"/>
      <c r="O50" s="25"/>
    </row>
    <row r="51" spans="10:15" ht="12.75">
      <c r="J51" s="29"/>
      <c r="K51" s="25"/>
      <c r="L51" s="30"/>
      <c r="M51" s="25"/>
      <c r="N51" s="25"/>
      <c r="O51" s="25"/>
    </row>
    <row r="52" spans="10:15" ht="12.75">
      <c r="J52" s="29"/>
      <c r="K52" s="25"/>
      <c r="L52" s="30"/>
      <c r="M52" s="25"/>
      <c r="N52" s="25"/>
      <c r="O52" s="25"/>
    </row>
    <row r="53" spans="10:15" ht="12.75">
      <c r="J53" s="29"/>
      <c r="K53" s="25"/>
      <c r="L53" s="30"/>
      <c r="M53" s="25"/>
      <c r="N53" s="25"/>
      <c r="O53" s="25"/>
    </row>
    <row r="54" spans="10:15" ht="12.75">
      <c r="J54" s="29"/>
      <c r="K54" s="25"/>
      <c r="L54" s="30"/>
      <c r="M54" s="25"/>
      <c r="N54" s="25"/>
      <c r="O54" s="25"/>
    </row>
    <row r="55" spans="10:15" ht="12.75"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5">
      <selection activeCell="A45" sqref="A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customWidth="1"/>
    <col min="5" max="5" width="1.1484375" style="2" customWidth="1"/>
    <col min="6" max="6" width="15.00390625" style="2" hidden="1" customWidth="1"/>
    <col min="7" max="7" width="15.28125" style="19" hidden="1" customWidth="1"/>
    <col min="8" max="8" width="12.28125" style="2" hidden="1" customWidth="1"/>
    <col min="9" max="9" width="14.28125" style="2" hidden="1" customWidth="1"/>
    <col min="10" max="10" width="4.421875" style="2" hidden="1" customWidth="1"/>
    <col min="11" max="11" width="10.7109375" style="3" customWidth="1"/>
    <col min="12" max="12" width="13.57421875" style="2" bestFit="1" customWidth="1"/>
    <col min="13" max="13" width="12.281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40</v>
      </c>
    </row>
    <row r="5" spans="2:12" ht="12.75">
      <c r="B5" s="1" t="s">
        <v>1</v>
      </c>
      <c r="C5" s="16" t="s">
        <v>54</v>
      </c>
      <c r="F5" s="16" t="s">
        <v>55</v>
      </c>
      <c r="H5" s="16" t="s">
        <v>57</v>
      </c>
      <c r="L5" s="17" t="s">
        <v>27</v>
      </c>
    </row>
    <row r="6" spans="2:18" ht="12.75">
      <c r="B6" s="5"/>
      <c r="C6" s="6"/>
      <c r="D6" s="6"/>
      <c r="E6" s="7"/>
      <c r="F6" s="7"/>
      <c r="G6" s="20"/>
      <c r="H6" s="6"/>
      <c r="I6" s="6"/>
      <c r="J6" s="6"/>
      <c r="K6" s="8" t="s">
        <v>62</v>
      </c>
      <c r="L6" s="6" t="s">
        <v>61</v>
      </c>
      <c r="M6" s="31" t="s">
        <v>118</v>
      </c>
      <c r="N6" s="6" t="s">
        <v>121</v>
      </c>
      <c r="O6" s="6"/>
      <c r="P6" s="6"/>
      <c r="R6" s="22"/>
    </row>
    <row r="7" spans="1:19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11"/>
      <c r="K7" s="12" t="s">
        <v>6</v>
      </c>
      <c r="L7" s="11" t="s">
        <v>120</v>
      </c>
      <c r="M7" s="11" t="s">
        <v>119</v>
      </c>
      <c r="N7" s="11" t="s">
        <v>119</v>
      </c>
      <c r="O7" s="11"/>
      <c r="P7" s="11"/>
      <c r="R7" s="22"/>
      <c r="S7" s="22"/>
    </row>
    <row r="8" spans="13:14" ht="12.75">
      <c r="M8" s="25"/>
      <c r="N8" s="25"/>
    </row>
    <row r="9" spans="1:19" ht="12.75">
      <c r="A9" t="s">
        <v>7</v>
      </c>
      <c r="B9" t="s">
        <v>8</v>
      </c>
      <c r="D9" s="2">
        <f>(5537422-1520+5242808-1000)*0.25</f>
        <v>2694427.5</v>
      </c>
      <c r="G9" s="2">
        <f>+'2001PILRecoveryAmt'!K9</f>
        <v>10449948.666666666</v>
      </c>
      <c r="I9" s="2">
        <f>+D9-G9</f>
        <v>-7755521.166666666</v>
      </c>
      <c r="K9" s="3">
        <f>+'2001PILRecoveryAmt'!I9</f>
        <v>0.0007005173964809906</v>
      </c>
      <c r="L9" s="2">
        <f>+K9*D9</f>
        <v>1887.4933373067843</v>
      </c>
      <c r="M9" s="25">
        <f>+'2001PILRecoveryAmt'!M9*0.25</f>
        <v>1830.0925000000004</v>
      </c>
      <c r="N9" s="25">
        <f>+L9+M9</f>
        <v>3717.585837306785</v>
      </c>
      <c r="R9" s="23"/>
      <c r="S9" s="23"/>
    </row>
    <row r="10" spans="1:19" ht="12.75">
      <c r="A10" t="s">
        <v>9</v>
      </c>
      <c r="B10" t="s">
        <v>10</v>
      </c>
      <c r="D10" s="2">
        <f>(355853+338568)*0.25</f>
        <v>173605.25</v>
      </c>
      <c r="G10" s="2">
        <f>+'2001PILRecoveryAmt'!K10</f>
        <v>640442.5</v>
      </c>
      <c r="I10" s="2">
        <f aca="true" t="shared" si="0" ref="I10:I16">+D10-G10</f>
        <v>-466837.25</v>
      </c>
      <c r="K10" s="3">
        <f>+'2001PILRecoveryAmt'!I10</f>
        <v>0.0008798643125651405</v>
      </c>
      <c r="L10" s="2">
        <f aca="true" t="shared" si="1" ref="L10:L16">+K10*D10</f>
        <v>152.74906394894936</v>
      </c>
      <c r="M10" s="25">
        <f>+'2001PILRecoveryAmt'!M10*0.25</f>
        <v>10.603541666666672</v>
      </c>
      <c r="N10" s="25">
        <f>+L10+M10</f>
        <v>163.35260561561603</v>
      </c>
      <c r="R10" s="23"/>
      <c r="S10" s="23"/>
    </row>
    <row r="11" spans="1:19" ht="12.75">
      <c r="A11" t="s">
        <v>11</v>
      </c>
      <c r="B11" t="s">
        <v>12</v>
      </c>
      <c r="D11" s="2">
        <f>+(384214)*0.25</f>
        <v>96053.5</v>
      </c>
      <c r="G11" s="2">
        <f>+'2001PILRecoveryAmt'!K11</f>
        <v>341661.4166666667</v>
      </c>
      <c r="I11" s="2">
        <f t="shared" si="0"/>
        <v>-245607.9166666667</v>
      </c>
      <c r="K11" s="3">
        <f>+'2001PILRecoveryAmt'!I11</f>
        <v>1.8156376549200634E-05</v>
      </c>
      <c r="L11" s="2">
        <f t="shared" si="1"/>
        <v>1.7439835148686431</v>
      </c>
      <c r="M11" s="25">
        <f>+'2001PILRecoveryAmt'!M11*0.25</f>
        <v>37.22</v>
      </c>
      <c r="N11" s="25">
        <f>+L11+M11</f>
        <v>38.963983514868644</v>
      </c>
      <c r="R11" s="23"/>
      <c r="S11" s="23"/>
    </row>
    <row r="12" spans="1:19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R12" s="23"/>
      <c r="S12" s="23"/>
    </row>
    <row r="13" spans="1:19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R13" s="23"/>
      <c r="S13" s="23"/>
    </row>
    <row r="14" spans="13:19" ht="12.75">
      <c r="M14" s="25"/>
      <c r="N14" s="25"/>
      <c r="R14" s="23"/>
      <c r="S14" s="23"/>
    </row>
    <row r="15" spans="1:19" ht="12.75">
      <c r="A15" t="s">
        <v>16</v>
      </c>
      <c r="B15" t="s">
        <v>17</v>
      </c>
      <c r="D15" s="2">
        <f>(2991232+2999996)*0.25</f>
        <v>1497807</v>
      </c>
      <c r="G15" s="2">
        <f>+'2001PILRecoveryAmt'!K13</f>
        <v>5891815.5</v>
      </c>
      <c r="I15" s="2">
        <f t="shared" si="0"/>
        <v>-4394008.5</v>
      </c>
      <c r="K15" s="3">
        <f>+'2001PILRecoveryAmt'!I13</f>
        <v>0.0004570149048285711</v>
      </c>
      <c r="L15" s="2">
        <f t="shared" si="1"/>
        <v>684.5201235565676</v>
      </c>
      <c r="M15" s="25">
        <f>+'2001PILRecoveryAmt'!M13*0.25</f>
        <v>673.1620833333334</v>
      </c>
      <c r="N15" s="25">
        <f>+L15+M15</f>
        <v>1357.682206889901</v>
      </c>
      <c r="R15" s="23"/>
      <c r="S15" s="23"/>
    </row>
    <row r="16" spans="1:19" ht="12.75">
      <c r="A16" t="s">
        <v>25</v>
      </c>
      <c r="B16" t="s">
        <v>17</v>
      </c>
      <c r="D16" s="2">
        <f>+(121338)*0.25</f>
        <v>30334.5</v>
      </c>
      <c r="G16" s="2">
        <f>+'2001PILRecoveryAmt'!K16</f>
        <v>0</v>
      </c>
      <c r="I16" s="2">
        <f t="shared" si="0"/>
        <v>30334.5</v>
      </c>
      <c r="K16" s="3">
        <f>+'2001PILRecoveryAmt'!I13</f>
        <v>0.0004570149048285711</v>
      </c>
      <c r="L16" s="2">
        <f t="shared" si="1"/>
        <v>13.86331863052229</v>
      </c>
      <c r="M16" s="25">
        <f>+'2001PILRecoveryAmt'!M16</f>
        <v>0</v>
      </c>
      <c r="N16" s="25">
        <f>+L16+M16</f>
        <v>13.86331863052229</v>
      </c>
      <c r="R16" s="23"/>
      <c r="S16" s="23"/>
    </row>
    <row r="17" spans="1:19" ht="12.75">
      <c r="A17" t="s">
        <v>16</v>
      </c>
      <c r="B17" t="s">
        <v>17</v>
      </c>
      <c r="C17" s="2">
        <v>0</v>
      </c>
      <c r="M17" s="25"/>
      <c r="N17" s="25"/>
      <c r="R17" s="23"/>
      <c r="S17" s="23"/>
    </row>
    <row r="18" spans="13:19" ht="12.75">
      <c r="M18" s="25"/>
      <c r="N18" s="25"/>
      <c r="R18" s="23"/>
      <c r="S18" s="23"/>
    </row>
    <row r="19" spans="1:19" ht="12.75">
      <c r="A19" t="s">
        <v>18</v>
      </c>
      <c r="B19" t="s">
        <v>19</v>
      </c>
      <c r="M19" s="25"/>
      <c r="N19" s="25"/>
      <c r="R19" s="23"/>
      <c r="S19" s="23"/>
    </row>
    <row r="20" spans="1:19" ht="12.75">
      <c r="A20" t="s">
        <v>29</v>
      </c>
      <c r="B20" t="s">
        <v>19</v>
      </c>
      <c r="M20" s="25"/>
      <c r="N20" s="25"/>
      <c r="R20" s="23"/>
      <c r="S20" s="23"/>
    </row>
    <row r="21" spans="1:19" ht="12.75">
      <c r="A21" t="s">
        <v>30</v>
      </c>
      <c r="B21" t="s">
        <v>19</v>
      </c>
      <c r="M21" s="25"/>
      <c r="N21" s="25"/>
      <c r="R21" s="23"/>
      <c r="S21" s="23"/>
    </row>
    <row r="22" spans="1:19" ht="12.75">
      <c r="A22" t="s">
        <v>18</v>
      </c>
      <c r="B22" t="s">
        <v>19</v>
      </c>
      <c r="C22" s="2">
        <f>+(16704.7)*0.25</f>
        <v>4176.175</v>
      </c>
      <c r="F22" s="2">
        <f>+'2001PILRecoveryAmt'!J20</f>
        <v>70786.41666666667</v>
      </c>
      <c r="H22" s="2">
        <f>+C22-F22</f>
        <v>-66610.24166666667</v>
      </c>
      <c r="K22" s="3">
        <f>+'2001PILRecoveryAmt'!H20</f>
        <v>0.07855470152583417</v>
      </c>
      <c r="L22" s="2">
        <f>+K22*C22</f>
        <v>328.0581806446505</v>
      </c>
      <c r="M22" s="25">
        <f>+'2001PILRecoveryAmt'!M20*0.25</f>
        <v>595.7789583333333</v>
      </c>
      <c r="N22" s="25">
        <f>+L22+M22</f>
        <v>923.8371389779838</v>
      </c>
      <c r="R22" s="23"/>
      <c r="S22" s="23"/>
    </row>
    <row r="23" spans="1:19" ht="12.75">
      <c r="A23" t="s">
        <v>29</v>
      </c>
      <c r="B23" t="s">
        <v>19</v>
      </c>
      <c r="C23" s="2">
        <f>(15360.81+6920)*0.25</f>
        <v>5570.202499999999</v>
      </c>
      <c r="H23" s="2">
        <f>+C23-F23</f>
        <v>5570.202499999999</v>
      </c>
      <c r="K23" s="3">
        <f>+'2001PILRecoveryAmt'!H20</f>
        <v>0.07855470152583417</v>
      </c>
      <c r="L23" s="2">
        <f>+K23*C23</f>
        <v>437.56559482595526</v>
      </c>
      <c r="M23" s="25"/>
      <c r="N23" s="25">
        <f>+L23+M23</f>
        <v>437.56559482595526</v>
      </c>
      <c r="R23" s="23"/>
      <c r="S23" s="23"/>
    </row>
    <row r="24" spans="1:19" ht="12.75">
      <c r="A24" t="s">
        <v>30</v>
      </c>
      <c r="B24" t="s">
        <v>19</v>
      </c>
      <c r="C24" s="2">
        <f>+(33466.81)*0.25</f>
        <v>8366.7025</v>
      </c>
      <c r="H24" s="2">
        <f>+C24-F24</f>
        <v>8366.7025</v>
      </c>
      <c r="K24" s="3">
        <f>+'2001PILRecoveryAmt'!H20</f>
        <v>0.07855470152583417</v>
      </c>
      <c r="L24" s="2">
        <f>+K24*C24</f>
        <v>657.2438176429505</v>
      </c>
      <c r="M24" s="25"/>
      <c r="N24" s="25">
        <f>+L24+M24</f>
        <v>657.2438176429505</v>
      </c>
      <c r="R24" s="23"/>
      <c r="S24" s="23"/>
    </row>
    <row r="25" spans="13:14" ht="12.75">
      <c r="M25" s="25"/>
      <c r="N25" s="25">
        <f>+L25+M25</f>
        <v>0</v>
      </c>
    </row>
    <row r="26" spans="2:14" ht="12.75">
      <c r="B26" t="s">
        <v>20</v>
      </c>
      <c r="M26" s="25"/>
      <c r="N26" s="25"/>
    </row>
    <row r="27" spans="13:14" ht="12.75">
      <c r="M27" s="25"/>
      <c r="N27" s="25"/>
    </row>
    <row r="28" spans="1:14" ht="12.75">
      <c r="A28" t="s">
        <v>28</v>
      </c>
      <c r="B28" t="s">
        <v>33</v>
      </c>
      <c r="D28" s="2" t="s">
        <v>56</v>
      </c>
      <c r="M28" s="25"/>
      <c r="N28" s="25"/>
    </row>
    <row r="29" spans="1:14" ht="12.75">
      <c r="A29" t="s">
        <v>36</v>
      </c>
      <c r="B29" t="s">
        <v>34</v>
      </c>
      <c r="D29" s="2" t="s">
        <v>56</v>
      </c>
      <c r="M29" s="25"/>
      <c r="N29" s="25"/>
    </row>
    <row r="30" spans="1:14" ht="12.75">
      <c r="A30" t="s">
        <v>28</v>
      </c>
      <c r="B30" t="s">
        <v>26</v>
      </c>
      <c r="C30" s="2">
        <f>6703.47*0.25</f>
        <v>1675.8675</v>
      </c>
      <c r="F30" s="2">
        <f>+'2001PILRecoveryAmt'!J28</f>
        <v>7063.666666666667</v>
      </c>
      <c r="H30" s="2">
        <f>+C30-F30</f>
        <v>-5387.799166666667</v>
      </c>
      <c r="K30" s="3">
        <f>+'2001PILRecoveryAmt'!H28</f>
        <v>0.030359704591571893</v>
      </c>
      <c r="L30" s="2">
        <f>+K30*C30</f>
        <v>50.878842234616116</v>
      </c>
      <c r="M30" s="25">
        <f>+'2001PILRecoveryAmt'!M28*0.25</f>
        <v>124.50250000000001</v>
      </c>
      <c r="N30" s="25">
        <f>+L30+M30</f>
        <v>175.3813422346161</v>
      </c>
    </row>
    <row r="31" spans="13:14" ht="12.75">
      <c r="M31" s="25"/>
      <c r="N31" s="25"/>
    </row>
    <row r="32" spans="1:14" ht="12.75">
      <c r="A32" t="s">
        <v>31</v>
      </c>
      <c r="B32" t="s">
        <v>33</v>
      </c>
      <c r="M32" s="25"/>
      <c r="N32" s="25"/>
    </row>
    <row r="33" spans="1:14" ht="12.75">
      <c r="A33" t="s">
        <v>37</v>
      </c>
      <c r="B33" t="s">
        <v>34</v>
      </c>
      <c r="M33" s="25"/>
      <c r="N33" s="25"/>
    </row>
    <row r="34" spans="1:14" ht="12.75">
      <c r="A34" t="s">
        <v>31</v>
      </c>
      <c r="B34" t="s">
        <v>26</v>
      </c>
      <c r="C34" s="2">
        <f>3582.01*0.25</f>
        <v>895.5025</v>
      </c>
      <c r="F34" s="2">
        <f>+'2001PILRecoveryAmt'!J32</f>
        <v>3274.5</v>
      </c>
      <c r="H34" s="2">
        <f>+C34-F34</f>
        <v>-2378.9975</v>
      </c>
      <c r="K34" s="3">
        <f>+'2001PILRecoveryAmt'!H32</f>
        <v>0.1492698630834224</v>
      </c>
      <c r="L34" s="2">
        <f>+K34*C34</f>
        <v>133.67153556586248</v>
      </c>
      <c r="M34" s="25">
        <f>+'2001PILRecoveryAmt'!M32*0.25</f>
        <v>52.36958333333333</v>
      </c>
      <c r="N34" s="25">
        <f>+L34+M34</f>
        <v>186.04111889919582</v>
      </c>
    </row>
    <row r="35" spans="13:14" ht="12.75">
      <c r="M35" s="25"/>
      <c r="N35" s="25"/>
    </row>
    <row r="36" spans="1:14" ht="12.75">
      <c r="A36" t="s">
        <v>32</v>
      </c>
      <c r="B36" t="s">
        <v>33</v>
      </c>
      <c r="M36" s="25"/>
      <c r="N36" s="25"/>
    </row>
    <row r="37" spans="1:14" ht="12.75">
      <c r="A37" t="s">
        <v>32</v>
      </c>
      <c r="B37" t="s">
        <v>26</v>
      </c>
      <c r="C37" s="2">
        <f>1779.61*0.25</f>
        <v>444.9025</v>
      </c>
      <c r="F37" s="2">
        <f>+'2001PILRecoveryAmt'!J35</f>
        <v>1905.8333333333333</v>
      </c>
      <c r="H37" s="2">
        <f>+C37-F37</f>
        <v>-1460.9308333333333</v>
      </c>
      <c r="K37" s="3">
        <f>+'2001PILRecoveryAmt'!H35</f>
        <v>0.21259247923043287</v>
      </c>
      <c r="L37" s="2">
        <f>+K37*C37</f>
        <v>94.58292549081766</v>
      </c>
      <c r="M37" s="25">
        <f>+'2001PILRecoveryAmt'!M35*0.25</f>
        <v>43.410625</v>
      </c>
      <c r="N37" s="25">
        <f>+L37+M37</f>
        <v>137.99355049081765</v>
      </c>
    </row>
    <row r="38" spans="13:14" ht="12.75">
      <c r="M38" s="25"/>
      <c r="N38" s="25"/>
    </row>
    <row r="39" spans="2:14" ht="12.75">
      <c r="B39" t="s">
        <v>21</v>
      </c>
      <c r="M39" s="25"/>
      <c r="N39" s="25"/>
    </row>
    <row r="40" spans="2:14" ht="12.75">
      <c r="B40" t="s">
        <v>22</v>
      </c>
      <c r="M40" s="25"/>
      <c r="N40" s="25"/>
    </row>
    <row r="41" spans="1:14" ht="12.75">
      <c r="A41" t="s">
        <v>38</v>
      </c>
      <c r="B41" t="s">
        <v>35</v>
      </c>
      <c r="D41" s="2">
        <f>311663*0.25</f>
        <v>77915.75</v>
      </c>
      <c r="F41" s="2">
        <f>+'2001PILRecoveryAmt'!J39</f>
        <v>883.3333333333334</v>
      </c>
      <c r="H41" s="2">
        <f>+C41-F41</f>
        <v>-883.3333333333334</v>
      </c>
      <c r="K41" s="3">
        <f>+'2001PILRecoveryAmt'!H39</f>
        <v>0.05825943396226415</v>
      </c>
      <c r="L41" s="2">
        <f>+K41*C41</f>
        <v>0</v>
      </c>
      <c r="M41" s="25">
        <f>+'2001PILRecoveryAmt'!M39*0.25</f>
        <v>30.019791666666666</v>
      </c>
      <c r="N41" s="25">
        <f>+L41+M41</f>
        <v>30.019791666666666</v>
      </c>
    </row>
    <row r="42" spans="13:14" ht="12.75">
      <c r="M42" s="25"/>
      <c r="N42" s="25"/>
    </row>
    <row r="43" spans="2:14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K43" s="3">
        <f>+'2001PILRecoveryAmt'!H41</f>
        <v>0.14626641651031894</v>
      </c>
      <c r="L43" s="2">
        <f>+K43*C43</f>
        <v>0</v>
      </c>
      <c r="M43" s="25">
        <f>+'2001PILRecoveryAmt'!M41*0.25</f>
        <v>3.7720833333333332</v>
      </c>
      <c r="N43" s="25">
        <f>+L43+M43</f>
        <v>3.7720833333333332</v>
      </c>
    </row>
    <row r="44" spans="13:14" ht="12.75">
      <c r="M44" s="25"/>
      <c r="N44" s="25"/>
    </row>
    <row r="45" spans="1:16" ht="13.5" thickBot="1">
      <c r="A45" s="13"/>
      <c r="B45" s="13" t="s">
        <v>24</v>
      </c>
      <c r="C45" s="14">
        <f>SUM(C9:C43)</f>
        <v>21129.352499999997</v>
      </c>
      <c r="D45" s="14">
        <f>SUM(D9:D43)</f>
        <v>4570143.5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-62828.81416666666</v>
      </c>
      <c r="I45" s="14">
        <f>SUM(I9:I43)</f>
        <v>-12831640.333333332</v>
      </c>
      <c r="J45" s="14"/>
      <c r="K45" s="15"/>
      <c r="L45" s="14">
        <f>SUM(L9:L43)</f>
        <v>4442.370723362545</v>
      </c>
      <c r="M45" s="14">
        <f>SUM(M9:M43)</f>
        <v>3400.931666666667</v>
      </c>
      <c r="N45" s="14">
        <f>SUM(N9:N43)</f>
        <v>7843.302390029213</v>
      </c>
      <c r="O45" s="14"/>
      <c r="P45" s="14"/>
    </row>
    <row r="46" spans="7:9" ht="12.75">
      <c r="G46" s="19" t="s">
        <v>102</v>
      </c>
      <c r="H46" s="2">
        <f>+C45-F45</f>
        <v>-62828.81416666668</v>
      </c>
      <c r="I46" s="2">
        <f>+D45-G45</f>
        <v>-12753724.583333332</v>
      </c>
    </row>
    <row r="47" spans="8:9" ht="12.75">
      <c r="H47" s="2" t="s">
        <v>150</v>
      </c>
      <c r="I47" s="2">
        <f>+I46-I45</f>
        <v>77915.75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13784001</v>
      </c>
      <c r="G9" s="2">
        <f>+'2001PILRecoveryAmt'!K9</f>
        <v>10449948.666666666</v>
      </c>
      <c r="I9" s="2">
        <f>+D9-G9</f>
        <v>3334052.333333334</v>
      </c>
      <c r="J9" s="29"/>
      <c r="K9" s="3">
        <f>+'2001PILRecoveryAmt'!I9</f>
        <v>0.0007005173964809906</v>
      </c>
      <c r="L9" s="2">
        <f>+K9*D9</f>
        <v>9655.932493611372</v>
      </c>
      <c r="M9" s="25">
        <f>+'2001PILRecoveryAmt'!M9</f>
        <v>7320.370000000002</v>
      </c>
      <c r="N9" s="25">
        <f>+L9+M9</f>
        <v>16976.302493611372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871642</v>
      </c>
      <c r="G10" s="2">
        <f>+'2001PILRecoveryAmt'!K10</f>
        <v>640442.5</v>
      </c>
      <c r="I10" s="2">
        <f>+D10-G10</f>
        <v>231199.5</v>
      </c>
      <c r="J10" s="29"/>
      <c r="K10" s="3">
        <f>+'2001PILRecoveryAmt'!I10</f>
        <v>0.0008798643125651405</v>
      </c>
      <c r="L10" s="2">
        <f>+K10*D10</f>
        <v>766.9266891329042</v>
      </c>
      <c r="M10" s="25">
        <f>+'2001PILRecoveryAmt'!M10</f>
        <v>42.41416666666669</v>
      </c>
      <c r="N10" s="25">
        <f>+L10+M10</f>
        <v>809.3408557995709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492880</v>
      </c>
      <c r="G11" s="2">
        <f>+'2001PILRecoveryAmt'!K11</f>
        <v>341661.4166666667</v>
      </c>
      <c r="I11" s="2">
        <f>+D11-G11</f>
        <v>151218.5833333333</v>
      </c>
      <c r="J11" s="29"/>
      <c r="K11" s="3">
        <f>+'2001PILRecoveryAmt'!I11</f>
        <v>1.8156376549200634E-05</v>
      </c>
      <c r="L11" s="2">
        <f>+K11*D11</f>
        <v>8.948914873570008</v>
      </c>
      <c r="M11" s="25">
        <f>+'2001PILRecoveryAmt'!M11</f>
        <v>148.88</v>
      </c>
      <c r="N11" s="25">
        <f>+L11+M11</f>
        <v>157.82891487357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6939038</v>
      </c>
      <c r="G15" s="2">
        <f>+'2001PILRecoveryAmt'!K13</f>
        <v>5891815.5</v>
      </c>
      <c r="I15" s="2">
        <f>+D15-G15</f>
        <v>1047222.5</v>
      </c>
      <c r="J15" s="29"/>
      <c r="K15" s="3">
        <f>+'2001PILRecoveryAmt'!I13</f>
        <v>0.0004570149048285711</v>
      </c>
      <c r="L15" s="2">
        <f>+K15*D15</f>
        <v>3171.2437911718384</v>
      </c>
      <c r="M15" s="25">
        <f>+'2001PILRecoveryAmt'!M13</f>
        <v>2692.6483333333335</v>
      </c>
      <c r="N15" s="25">
        <f>+L15+M15</f>
        <v>5863.8921245051715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+'2001PILRecoveryAmt'!K16</f>
        <v>0</v>
      </c>
      <c r="I16" s="2">
        <f>+D16-G16</f>
        <v>76616</v>
      </c>
      <c r="J16" s="29"/>
      <c r="K16" s="3">
        <f>+'2001PILRecoveryAmt'!I13</f>
        <v>0.0004570149048285711</v>
      </c>
      <c r="L16" s="2">
        <f>+K16*D16</f>
        <v>35.0146539483458</v>
      </c>
      <c r="M16" s="25">
        <f>+'2001PILRecoveryAmt'!M16</f>
        <v>0</v>
      </c>
      <c r="N16" s="25">
        <f>+L16+M16</f>
        <v>35.0146539483458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56802</v>
      </c>
      <c r="G17" s="2">
        <f>+'2001PILRecoveryAmt'!K17</f>
        <v>0</v>
      </c>
      <c r="I17" s="2">
        <f>+D17-G17</f>
        <v>56802</v>
      </c>
      <c r="J17" s="29"/>
      <c r="K17" s="3">
        <v>0.00046</v>
      </c>
      <c r="L17" s="2">
        <f>+K17*D17</f>
        <v>26.12892</v>
      </c>
      <c r="M17" s="25">
        <f>+'2001PILRecoveryAmt'!M17</f>
        <v>0</v>
      </c>
      <c r="N17" s="25">
        <f>+L17+M17</f>
        <v>26.12892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13780.68</v>
      </c>
      <c r="F22" s="2">
        <f>+'2001PILRecoveryAmt'!J20</f>
        <v>70786.41666666667</v>
      </c>
      <c r="H22" s="2">
        <f>+C22-F22</f>
        <v>-57005.73666666667</v>
      </c>
      <c r="J22" s="29"/>
      <c r="K22" s="3">
        <f>+'2001PILRecoveryAmt'!H20</f>
        <v>0.07855470152583417</v>
      </c>
      <c r="L22" s="2">
        <f>+K22*C22</f>
        <v>1082.5372042230324</v>
      </c>
      <c r="M22" s="25">
        <f>+'2001PILRecoveryAmt'!M20</f>
        <v>2383.1158333333333</v>
      </c>
      <c r="N22" s="25">
        <f>+L22+M22</f>
        <v>3465.6530375563657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16237.86</v>
      </c>
      <c r="H23" s="2">
        <f>+C23-F23</f>
        <v>16237.86</v>
      </c>
      <c r="J23" s="29"/>
      <c r="K23" s="3">
        <f>+'2001PILRecoveryAmt'!H20</f>
        <v>0.07855470152583417</v>
      </c>
      <c r="L23" s="2">
        <f>+K23*C23</f>
        <v>1275.5602457182817</v>
      </c>
      <c r="M23" s="25"/>
      <c r="N23" s="25">
        <f>+L23+M23</f>
        <v>1275.5602457182817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38684.42</v>
      </c>
      <c r="H24" s="2">
        <f>+C24-F24</f>
        <v>38684.42</v>
      </c>
      <c r="J24" s="29"/>
      <c r="K24" s="3">
        <f>+'2001PILRecoveryAmt'!H20</f>
        <v>0.07855470152583417</v>
      </c>
      <c r="L24" s="2">
        <f>+K24*C24</f>
        <v>3038.8430668000096</v>
      </c>
      <c r="M24" s="25"/>
      <c r="N24" s="25">
        <f>+L24+M24</f>
        <v>3038.8430668000096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304.02+1832.9</f>
        <v>2136.92</v>
      </c>
      <c r="H25" s="2">
        <f>+C25-F25</f>
        <v>2136.92</v>
      </c>
      <c r="J25" s="29"/>
      <c r="K25" s="3">
        <f>+'2001PILRecoveryAmt'!H20</f>
        <v>0.07855470152583417</v>
      </c>
      <c r="L25" s="2">
        <f>+K25*C25</f>
        <v>167.86511278458556</v>
      </c>
      <c r="M25" s="25"/>
      <c r="N25" s="25">
        <f>+L25+M25</f>
        <v>167.86511278458556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6715.69</v>
      </c>
      <c r="F30" s="2">
        <f>+'2001PILRecoveryAmt'!J28</f>
        <v>7063.666666666667</v>
      </c>
      <c r="H30" s="2">
        <f>+C30-F30</f>
        <v>-347.97666666666737</v>
      </c>
      <c r="J30" s="29"/>
      <c r="K30" s="3">
        <f>+'2001PILRecoveryAmt'!H28</f>
        <v>0.030359704591571893</v>
      </c>
      <c r="L30" s="2">
        <f>+K30*C30</f>
        <v>203.88636452857344</v>
      </c>
      <c r="M30" s="25">
        <f>+'2001PILRecoveryAmt'!M28</f>
        <v>498.01000000000005</v>
      </c>
      <c r="N30" s="25">
        <f>+L30+M30</f>
        <v>701.8963645285735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2848.47</v>
      </c>
      <c r="F34" s="2">
        <f>+'2001PILRecoveryAmt'!J32</f>
        <v>3274.5</v>
      </c>
      <c r="H34" s="2">
        <f>+C34-F34</f>
        <v>-426.0300000000002</v>
      </c>
      <c r="J34" s="29"/>
      <c r="K34" s="3">
        <f>+'2001PILRecoveryAmt'!H32</f>
        <v>0.1492698630834224</v>
      </c>
      <c r="L34" s="2">
        <f>+K34*C34</f>
        <v>425.19072689723623</v>
      </c>
      <c r="M34" s="25">
        <f>+'2001PILRecoveryAmt'!M32</f>
        <v>209.47833333333332</v>
      </c>
      <c r="N34" s="25">
        <f>+L34+M34</f>
        <v>634.6690602305696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422.4</v>
      </c>
      <c r="F37" s="2">
        <f>+'2001PILRecoveryAmt'!J35</f>
        <v>1905.8333333333333</v>
      </c>
      <c r="H37" s="2">
        <f>+C37-F37</f>
        <v>-1483.4333333333334</v>
      </c>
      <c r="J37" s="29"/>
      <c r="K37" s="3">
        <f>+'2001PILRecoveryAmt'!H35</f>
        <v>0.21259247923043287</v>
      </c>
      <c r="L37" s="2">
        <f>+K37*C37</f>
        <v>89.79906322693483</v>
      </c>
      <c r="M37" s="25">
        <f>+'2001PILRecoveryAmt'!M35</f>
        <v>173.6425</v>
      </c>
      <c r="N37" s="25">
        <f>+L37+M37</f>
        <v>263.4415632269348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876.7</v>
      </c>
      <c r="F41" s="2">
        <f>+'2001PILRecoveryAmt'!J39</f>
        <v>883.3333333333334</v>
      </c>
      <c r="H41" s="2">
        <f>+C41-F41</f>
        <v>-6.633333333333326</v>
      </c>
      <c r="J41" s="29"/>
      <c r="K41" s="3">
        <f>+'2001PILRecoveryAmt'!H39</f>
        <v>0.05825943396226415</v>
      </c>
      <c r="L41" s="2">
        <f>+K41*C41</f>
        <v>51.07604575471698</v>
      </c>
      <c r="M41" s="25">
        <f>+'2001PILRecoveryAmt'!M39</f>
        <v>120.07916666666667</v>
      </c>
      <c r="N41" s="25">
        <f>+L41+M41</f>
        <v>171.15521242138365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13996.55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81703.13999999998</v>
      </c>
      <c r="D45" s="14">
        <f>SUM(D9:D44)</f>
        <v>22234975.55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-2255.026666666673</v>
      </c>
      <c r="I45" s="14">
        <f>SUM(I9:I43)</f>
        <v>4897110.916666668</v>
      </c>
      <c r="J45" s="29"/>
      <c r="K45" s="15"/>
      <c r="L45" s="14">
        <f>SUM(L9:L43)</f>
        <v>19998.953292671402</v>
      </c>
      <c r="M45" s="14">
        <f>SUM(M9:M43)</f>
        <v>13603.726666666667</v>
      </c>
      <c r="N45" s="14">
        <f>SUM(N9:N43)</f>
        <v>33602.67995933808</v>
      </c>
      <c r="O45" s="25"/>
    </row>
    <row r="46" spans="7:15" ht="12.75">
      <c r="G46" s="19" t="s">
        <v>102</v>
      </c>
      <c r="H46" s="2">
        <f>+C45-F45</f>
        <v>-2255.0266666666867</v>
      </c>
      <c r="I46" s="2">
        <f>+D45-G45</f>
        <v>4911107.466666669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-13996.550000000745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13312917</v>
      </c>
      <c r="G9" s="2">
        <f>+'2001PILRecoveryAmt'!K9</f>
        <v>10449948.666666666</v>
      </c>
      <c r="I9" s="2">
        <f>+D9-G9</f>
        <v>2862968.333333334</v>
      </c>
      <c r="J9" s="29"/>
      <c r="K9" s="3">
        <f>+'2001PILRecoveryAmt'!I9</f>
        <v>0.0007005173964809906</v>
      </c>
      <c r="L9" s="2">
        <f>+K9*D9</f>
        <v>9325.92995640752</v>
      </c>
      <c r="M9" s="25">
        <f>+'2001PILRecoveryAmt'!M9</f>
        <v>7320.370000000002</v>
      </c>
      <c r="N9" s="25">
        <f>+L9+M9</f>
        <v>16646.29995640752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692713</v>
      </c>
      <c r="G10" s="2">
        <f>+'2001PILRecoveryAmt'!K10</f>
        <v>640442.5</v>
      </c>
      <c r="I10" s="2">
        <f>+D10-G10</f>
        <v>52270.5</v>
      </c>
      <c r="J10" s="29"/>
      <c r="K10" s="3">
        <f>+'2001PILRecoveryAmt'!I10</f>
        <v>0.0008798643125651405</v>
      </c>
      <c r="L10" s="2">
        <f>+K10*D10</f>
        <v>609.4934475499361</v>
      </c>
      <c r="M10" s="25">
        <f>+'2001PILRecoveryAmt'!M10</f>
        <v>42.41416666666669</v>
      </c>
      <c r="N10" s="25">
        <f>+L10+M10</f>
        <v>651.9076142166028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374334</v>
      </c>
      <c r="G11" s="2">
        <f>+'2001PILRecoveryAmt'!K11</f>
        <v>341661.4166666667</v>
      </c>
      <c r="I11" s="2">
        <f>+D11-G11</f>
        <v>32672.583333333314</v>
      </c>
      <c r="J11" s="29"/>
      <c r="K11" s="3">
        <f>+'2001PILRecoveryAmt'!I11</f>
        <v>1.8156376549200634E-05</v>
      </c>
      <c r="L11" s="2">
        <f>+K11*D11</f>
        <v>6.79654905916847</v>
      </c>
      <c r="M11" s="25">
        <f>+'2001PILRecoveryAmt'!M11</f>
        <v>148.88</v>
      </c>
      <c r="N11" s="25">
        <f>+L11+M11</f>
        <v>155.67654905916845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6347294</v>
      </c>
      <c r="G15" s="2">
        <f>+'2001PILRecoveryAmt'!K13</f>
        <v>5891815.5</v>
      </c>
      <c r="I15" s="2">
        <f>+D15-G15</f>
        <v>455478.5</v>
      </c>
      <c r="J15" s="29"/>
      <c r="K15" s="3">
        <f>+'2001PILRecoveryAmt'!I13</f>
        <v>0.0004570149048285711</v>
      </c>
      <c r="L15" s="2">
        <f>+K15*D15</f>
        <v>2900.8079633289603</v>
      </c>
      <c r="M15" s="25">
        <f>+'2001PILRecoveryAmt'!M13</f>
        <v>2692.6483333333335</v>
      </c>
      <c r="N15" s="25">
        <f>+L15+M15</f>
        <v>5593.456296662294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+'2001PILRecoveryAmt'!K16</f>
        <v>0</v>
      </c>
      <c r="I16" s="2">
        <f>+D16-G16</f>
        <v>76616</v>
      </c>
      <c r="J16" s="29"/>
      <c r="K16" s="3">
        <f>+'2001PILRecoveryAmt'!I13</f>
        <v>0.0004570149048285711</v>
      </c>
      <c r="L16" s="2">
        <f>+K16*D16</f>
        <v>35.0146539483458</v>
      </c>
      <c r="M16" s="25">
        <f>+'2001PILRecoveryAmt'!M16</f>
        <v>0</v>
      </c>
      <c r="N16" s="25">
        <f>+L16+M16</f>
        <v>35.0146539483458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51487</v>
      </c>
      <c r="G17" s="2">
        <f>+'2001PILRecoveryAmt'!K17</f>
        <v>0</v>
      </c>
      <c r="I17" s="2">
        <f>+D17-G17</f>
        <v>51487</v>
      </c>
      <c r="J17" s="29"/>
      <c r="K17" s="3">
        <v>0.00046</v>
      </c>
      <c r="L17" s="2">
        <f>+K17*D17</f>
        <v>23.68402</v>
      </c>
      <c r="M17" s="25">
        <f>+'2001PILRecoveryAmt'!M17</f>
        <v>0</v>
      </c>
      <c r="N17" s="25">
        <f>+L17+M17</f>
        <v>23.68402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13343.28</v>
      </c>
      <c r="F22" s="2">
        <f>+'2001PILRecoveryAmt'!J20</f>
        <v>70786.41666666667</v>
      </c>
      <c r="H22" s="2">
        <f>+C22-F22</f>
        <v>-57443.13666666667</v>
      </c>
      <c r="J22" s="29"/>
      <c r="K22" s="3">
        <f>+'2001PILRecoveryAmt'!H20</f>
        <v>0.07855470152583417</v>
      </c>
      <c r="L22" s="2">
        <f>+K22*C22</f>
        <v>1048.1773777756327</v>
      </c>
      <c r="M22" s="25">
        <f>+'2001PILRecoveryAmt'!M20</f>
        <v>2383.1158333333333</v>
      </c>
      <c r="N22" s="25">
        <f>+L22+M22</f>
        <v>3431.293211108966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16779.99</v>
      </c>
      <c r="H23" s="2">
        <f>+C23-F23</f>
        <v>16779.99</v>
      </c>
      <c r="J23" s="29"/>
      <c r="K23" s="3">
        <f>+'2001PILRecoveryAmt'!H20</f>
        <v>0.07855470152583417</v>
      </c>
      <c r="L23" s="2">
        <f>+K23*C23</f>
        <v>1318.1471060564822</v>
      </c>
      <c r="M23" s="25"/>
      <c r="N23" s="25">
        <f>+L23+M23</f>
        <v>1318.1471060564822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38600.52</v>
      </c>
      <c r="H24" s="2">
        <f>+C24-F24</f>
        <v>38600.52</v>
      </c>
      <c r="J24" s="29"/>
      <c r="K24" s="3">
        <f>+'2001PILRecoveryAmt'!H20</f>
        <v>0.07855470152583417</v>
      </c>
      <c r="L24" s="2">
        <f>+K24*C24</f>
        <v>3032.2523273419924</v>
      </c>
      <c r="M24" s="25"/>
      <c r="N24" s="25">
        <f>+L24+M24</f>
        <v>3032.2523273419924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375.3+1844.9</f>
        <v>2220.2000000000003</v>
      </c>
      <c r="H25" s="2">
        <f>+C25-F25</f>
        <v>2220.2000000000003</v>
      </c>
      <c r="J25" s="29"/>
      <c r="K25" s="3">
        <f>+'2001PILRecoveryAmt'!H20</f>
        <v>0.07855470152583417</v>
      </c>
      <c r="L25" s="2">
        <f>+K25*C25</f>
        <v>174.40714832765704</v>
      </c>
      <c r="M25" s="25"/>
      <c r="N25" s="25">
        <f>+L25+M25</f>
        <v>174.40714832765704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6674.27</v>
      </c>
      <c r="F30" s="2">
        <f>+'2001PILRecoveryAmt'!J28</f>
        <v>7063.666666666667</v>
      </c>
      <c r="H30" s="2">
        <f>+C30-F30</f>
        <v>-389.39666666666653</v>
      </c>
      <c r="J30" s="29"/>
      <c r="K30" s="3">
        <f>+'2001PILRecoveryAmt'!H28</f>
        <v>0.030359704591571893</v>
      </c>
      <c r="L30" s="2">
        <f>+K30*C30</f>
        <v>202.62886556439057</v>
      </c>
      <c r="M30" s="25">
        <f>+'2001PILRecoveryAmt'!M28</f>
        <v>498.01000000000005</v>
      </c>
      <c r="N30" s="25">
        <f>+L30+M30</f>
        <v>700.6388655643906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2932.16</v>
      </c>
      <c r="F34" s="2">
        <f>+'2001PILRecoveryAmt'!J32</f>
        <v>3274.5</v>
      </c>
      <c r="H34" s="2">
        <f>+C34-F34</f>
        <v>-342.34000000000015</v>
      </c>
      <c r="J34" s="29"/>
      <c r="K34" s="3">
        <f>+'2001PILRecoveryAmt'!H32</f>
        <v>0.1492698630834224</v>
      </c>
      <c r="L34" s="2">
        <f>+K34*C34</f>
        <v>437.6831217386878</v>
      </c>
      <c r="M34" s="25">
        <f>+'2001PILRecoveryAmt'!M32</f>
        <v>209.47833333333332</v>
      </c>
      <c r="N34" s="25">
        <f>+L34+M34</f>
        <v>647.1614550720211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432</v>
      </c>
      <c r="F37" s="2">
        <f>+'2001PILRecoveryAmt'!J35</f>
        <v>1905.8333333333333</v>
      </c>
      <c r="H37" s="2">
        <f>+C37-F37</f>
        <v>-1473.8333333333333</v>
      </c>
      <c r="J37" s="29"/>
      <c r="K37" s="3">
        <f>+'2001PILRecoveryAmt'!H35</f>
        <v>0.21259247923043287</v>
      </c>
      <c r="L37" s="2">
        <f>+K37*C37</f>
        <v>91.839951027547</v>
      </c>
      <c r="M37" s="25">
        <f>+'2001PILRecoveryAmt'!M35</f>
        <v>173.6425</v>
      </c>
      <c r="N37" s="25">
        <f>+L37+M37</f>
        <v>265.48245102754703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+'2001PILRecoveryAmt'!J39</f>
        <v>883.3333333333334</v>
      </c>
      <c r="H41" s="2">
        <f>+C41-F41</f>
        <v>-6.763333333333321</v>
      </c>
      <c r="J41" s="29"/>
      <c r="K41" s="3">
        <f>+'2001PILRecoveryAmt'!H39</f>
        <v>0.05825943396226415</v>
      </c>
      <c r="L41" s="2">
        <f>+K41*C41</f>
        <v>51.06847202830189</v>
      </c>
      <c r="M41" s="25">
        <f>+'2001PILRecoveryAmt'!M39</f>
        <v>120.07916666666667</v>
      </c>
      <c r="N41" s="25">
        <f>+L41+M41</f>
        <v>171.14763869496855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13996.55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81858.99000000002</v>
      </c>
      <c r="D45" s="14">
        <f>SUM(D9:D44)</f>
        <v>20869357.55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-2099.1766666666704</v>
      </c>
      <c r="I45" s="14">
        <f>SUM(I9:I43)</f>
        <v>3531492.9166666674</v>
      </c>
      <c r="J45" s="29"/>
      <c r="K45" s="15"/>
      <c r="L45" s="14">
        <f>SUM(L9:L43)</f>
        <v>19257.930960154627</v>
      </c>
      <c r="M45" s="14">
        <f>SUM(M9:M43)</f>
        <v>13603.726666666667</v>
      </c>
      <c r="N45" s="14">
        <f>SUM(N9:N43)</f>
        <v>32861.65762682129</v>
      </c>
      <c r="O45" s="25"/>
    </row>
    <row r="46" spans="7:15" ht="12.75">
      <c r="G46" s="19" t="s">
        <v>102</v>
      </c>
      <c r="H46" s="2">
        <f>+C45-F45</f>
        <v>-2099.1766666666517</v>
      </c>
      <c r="I46" s="2">
        <f>+D45-G45</f>
        <v>3545489.4666666687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-13996.55000000121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+'Festival Dec 03'!D9+'Festival Nov 03'!D9+'Festival Oct 03'!D9+'Festival Sep 03'!D9+'Festival Aug 03 '!D9+'Festival Jul 03'!D9+'Festival Jun 03'!D9+'Festival May 03'!D9+'Festival Apr 03'!D9+'Festival Mar 03 '!D9+'Festival Feb 03'!D9+'Festival Jan 03'!D9</f>
        <v>129016496.00999999</v>
      </c>
      <c r="G9" s="2">
        <f>+'2001PILRecoveryAmt'!K9</f>
        <v>10449948.666666666</v>
      </c>
      <c r="I9" s="2">
        <f>+D9-G9</f>
        <v>118566547.34333332</v>
      </c>
      <c r="J9" s="29"/>
      <c r="K9" s="3">
        <f>+'2001PILRecoveryAmt'!I9</f>
        <v>0.0007005173964809906</v>
      </c>
      <c r="L9" s="2">
        <f>+K9*D9</f>
        <v>90378.29988802531</v>
      </c>
      <c r="M9" s="25">
        <f>+'2001PILRecoveryAmt'!M9</f>
        <v>7320.370000000002</v>
      </c>
      <c r="N9" s="25">
        <f>+L9+M9</f>
        <v>97698.66988802531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f>+'Festival Dec 03'!D10+'Festival Nov 03'!D10+'Festival Oct 03'!D10+'Festival Sep 03'!D10+'Festival Aug 03 '!D10+'Festival Jul 03'!D10+'Festival Jun 03'!D10+'Festival May 03'!D10+'Festival Apr 03'!D10+'Festival Mar 03 '!D10+'Festival Feb 03'!D10+'Festival Jan 03'!D10</f>
        <v>8081980</v>
      </c>
      <c r="G10" s="2">
        <f>+'2001PILRecoveryAmt'!K10</f>
        <v>640442.5</v>
      </c>
      <c r="I10" s="2">
        <f>+D10-G10</f>
        <v>7441537.5</v>
      </c>
      <c r="J10" s="29"/>
      <c r="K10" s="3">
        <f>+'2001PILRecoveryAmt'!I10</f>
        <v>0.0008798643125651405</v>
      </c>
      <c r="L10" s="2">
        <f>+K10*D10</f>
        <v>7111.045776865214</v>
      </c>
      <c r="M10" s="25">
        <f>+'2001PILRecoveryAmt'!M10</f>
        <v>42.41416666666669</v>
      </c>
      <c r="N10" s="25">
        <f>+L10+M10</f>
        <v>7153.4599435318805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+'Festival Dec 03'!D11+'Festival Nov 03'!D11+'Festival Oct 03'!D11+'Festival Sep 03'!D11+'Festival Aug 03 '!D11+'Festival Jul 03'!D11+'Festival Jun 03'!D11+'Festival May 03'!D11+'Festival Apr 03'!D11+'Festival Mar 03 '!D11+'Festival Feb 03'!D11+'Festival Jan 03'!D11</f>
        <v>4148735</v>
      </c>
      <c r="G11" s="2">
        <f>+'2001PILRecoveryAmt'!K11</f>
        <v>341661.4166666667</v>
      </c>
      <c r="I11" s="2">
        <f>+D11-G11</f>
        <v>3807073.5833333335</v>
      </c>
      <c r="J11" s="29"/>
      <c r="K11" s="3">
        <f>+'2001PILRecoveryAmt'!I11</f>
        <v>1.8156376549200634E-05</v>
      </c>
      <c r="L11" s="2">
        <f>+K11*D11</f>
        <v>75.32599486284789</v>
      </c>
      <c r="M11" s="25">
        <f>+'2001PILRecoveryAmt'!M11</f>
        <v>148.88</v>
      </c>
      <c r="N11" s="25">
        <f>+L11+M11</f>
        <v>224.2059948628479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+'Festival Dec 03'!D15+'Festival Nov 03'!D15+'Festival Oct 03'!D15+'Festival Sep 03'!D15+'Festival Aug 03 '!D15+'Festival Jul 03'!D15+'Festival Jun 03'!D15+'Festival May 03'!D15+'Festival Apr 03'!D15+'Festival Mar 03 '!D15+'Festival Feb 03'!D15+'Festival Jan 03'!D15</f>
        <v>70922127</v>
      </c>
      <c r="G15" s="2">
        <f>+'2001PILRecoveryAmt'!K13</f>
        <v>5891815.5</v>
      </c>
      <c r="I15" s="2">
        <f>+D15-G15</f>
        <v>65030311.5</v>
      </c>
      <c r="J15" s="29"/>
      <c r="K15" s="3">
        <f>+'2001PILRecoveryAmt'!I13</f>
        <v>0.0004570149048285711</v>
      </c>
      <c r="L15" s="2">
        <f>+K15*D15</f>
        <v>32412.469121144833</v>
      </c>
      <c r="M15" s="25">
        <f>+'2001PILRecoveryAmt'!M13</f>
        <v>2692.6483333333335</v>
      </c>
      <c r="N15" s="25">
        <f>+L15+M15</f>
        <v>35105.11745447817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+'Festival Dec 03'!D16+'Festival Nov 03'!D16+'Festival Oct 03'!D16+'Festival Sep 03'!D16+'Festival Aug 03 '!D16+'Festival Jul 03'!D16+'Festival Jun 03'!D16+'Festival May 03'!D16+'Festival Apr 03'!D16+'Festival Mar 03 '!D16+'Festival Feb 03'!D16+'Festival Jan 03'!D16</f>
        <v>1267647</v>
      </c>
      <c r="G16" s="2">
        <f>+'2001PILRecoveryAmt'!K16</f>
        <v>0</v>
      </c>
      <c r="I16" s="2">
        <f>+D16-G16</f>
        <v>1267647</v>
      </c>
      <c r="J16" s="29"/>
      <c r="K16" s="3">
        <f>+'2001PILRecoveryAmt'!I13</f>
        <v>0.0004570149048285711</v>
      </c>
      <c r="L16" s="2">
        <f>+K16*D16</f>
        <v>579.3335730612237</v>
      </c>
      <c r="M16" s="25">
        <f>+'2001PILRecoveryAmt'!M16</f>
        <v>0</v>
      </c>
      <c r="N16" s="25">
        <f>+L16+M16</f>
        <v>579.3335730612237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f>+'Festival Dec 03'!D17+'Festival Nov 03'!D17+'Festival Oct 03'!D17+'Festival Sep 03'!D17+'Festival Aug 03 '!D17+'Festival Jul 03'!D17+'Festival Jun 03'!D17+'Festival May 03'!D17+'Festival Apr 03'!D17+'Festival Mar 03 '!D17+'Festival Feb 03'!D17+'Festival Jan 03'!D17</f>
        <v>376701</v>
      </c>
      <c r="G17" s="2">
        <f>+'2001PILRecoveryAmt'!K17</f>
        <v>0</v>
      </c>
      <c r="I17" s="2">
        <f>+D17-G17</f>
        <v>376701</v>
      </c>
      <c r="J17" s="29"/>
      <c r="K17" s="3">
        <v>0.00046</v>
      </c>
      <c r="L17" s="2">
        <f>+K17*D17</f>
        <v>173.28246000000001</v>
      </c>
      <c r="M17" s="25">
        <f>+'2001PILRecoveryAmt'!M17</f>
        <v>0</v>
      </c>
      <c r="N17" s="25">
        <f>+L17+M17</f>
        <v>173.28246000000001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+'Festival Dec 03'!C22+'Festival Nov 03'!C22+'Festival Oct 03'!C22+'Festival Sep 03'!C22+'Festival Aug 03 '!C22+'Festival Jul 03'!C22+'Festival Jun 03'!C22+'Festival May 03'!C22+'Festival Apr 03'!C22+'Festival Mar 03 '!C22+'Festival Feb 03'!C22+'Festival Jan 03'!C22</f>
        <v>165388.18000000002</v>
      </c>
      <c r="F22" s="2">
        <f>+'2001PILRecoveryAmt'!J20</f>
        <v>70786.41666666667</v>
      </c>
      <c r="H22" s="2">
        <f>+C22-F22</f>
        <v>94601.76333333335</v>
      </c>
      <c r="J22" s="29"/>
      <c r="K22" s="3">
        <f>+'2001PILRecoveryAmt'!H20</f>
        <v>0.07855470152583417</v>
      </c>
      <c r="L22" s="2">
        <f>+K22*C22</f>
        <v>12992.019115800938</v>
      </c>
      <c r="M22" s="25">
        <f>+'2001PILRecoveryAmt'!M20</f>
        <v>2383.1158333333333</v>
      </c>
      <c r="N22" s="25">
        <f>+L22+M22</f>
        <v>15375.134949134272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+'Festival Dec 03'!C23+'Festival Nov 03'!C23+'Festival Oct 03'!C23+'Festival Sep 03'!C23+'Festival Aug 03 '!C23+'Festival Jul 03'!C23+'Festival Jun 03'!C23+'Festival May 03'!C23+'Festival Apr 03'!C23+'Festival Mar 03 '!C23+'Festival Feb 03'!C23+'Festival Jan 03'!C23</f>
        <v>202542.20099999997</v>
      </c>
      <c r="H23" s="2">
        <f>+C23-F23</f>
        <v>202542.20099999997</v>
      </c>
      <c r="J23" s="29"/>
      <c r="K23" s="3">
        <f>+'2001PILRecoveryAmt'!H20</f>
        <v>0.07855470152583417</v>
      </c>
      <c r="L23" s="2">
        <f>+K23*C23</f>
        <v>15910.64214594051</v>
      </c>
      <c r="M23" s="25"/>
      <c r="N23" s="25">
        <f>+L23+M23</f>
        <v>15910.64214594051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+'Festival Dec 03'!C24+'Festival Nov 03'!C24+'Festival Oct 03'!C24+'Festival Sep 03'!C24+'Festival Aug 03 '!C24+'Festival Jul 03'!C24+'Festival Jun 03'!C24+'Festival May 03'!C24+'Festival Apr 03'!C24+'Festival Mar 03 '!C24+'Festival Feb 03'!C24+'Festival Jan 03'!C24</f>
        <v>456842.84</v>
      </c>
      <c r="H24" s="2">
        <f>+C24-F24</f>
        <v>456842.84</v>
      </c>
      <c r="J24" s="29"/>
      <c r="K24" s="3">
        <f>+'2001PILRecoveryAmt'!H20</f>
        <v>0.07855470152583417</v>
      </c>
      <c r="L24" s="2">
        <f>+K24*C24</f>
        <v>35887.15294041442</v>
      </c>
      <c r="M24" s="25"/>
      <c r="N24" s="25">
        <f>+L24+M24</f>
        <v>35887.15294041442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+'Festival Dec 03'!C25+'Festival Nov 03'!C25+'Festival Oct 03'!C25+'Festival Sep 03'!C25+'Festival Aug 03 '!C25+'Festival Jul 03'!C25+'Festival Jun 03'!C25+'Festival May 03'!C25+'Festival Apr 03'!C25+'Festival Mar 03 '!C25+'Festival Feb 03'!C25+'Festival Jan 03'!C25</f>
        <v>25921.280000000002</v>
      </c>
      <c r="H25" s="2">
        <f>+C25-F25</f>
        <v>25921.280000000002</v>
      </c>
      <c r="J25" s="29"/>
      <c r="K25" s="3">
        <f>+'2001PILRecoveryAmt'!H20</f>
        <v>0.07855470152583417</v>
      </c>
      <c r="L25" s="2">
        <f>+K25*C25</f>
        <v>2036.238413567575</v>
      </c>
      <c r="M25" s="25"/>
      <c r="N25" s="25">
        <f>+L25+M25</f>
        <v>2036.238413567575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+'Festival Dec 03'!C30+'Festival Nov 03'!C30+'Festival Oct 03'!C30+'Festival Sep 03'!C30+'Festival Aug 03 '!C30+'Festival Jul 03'!C30+'Festival Jun 03'!C30+'Festival May 03'!C30+'Festival Apr 03'!C30+'Festival Mar 03 '!C30+'Festival Feb 03'!C30+'Festival Jan 03'!C30</f>
        <v>84524.73</v>
      </c>
      <c r="F30" s="2">
        <f>+'2001PILRecoveryAmt'!J28</f>
        <v>7063.666666666667</v>
      </c>
      <c r="H30" s="2">
        <f>+C30-F30</f>
        <v>77461.06333333332</v>
      </c>
      <c r="J30" s="29"/>
      <c r="K30" s="3">
        <f>+'2001PILRecoveryAmt'!H28</f>
        <v>0.030359704591571893</v>
      </c>
      <c r="L30" s="2">
        <f>+K30*C30</f>
        <v>2566.1458334823747</v>
      </c>
      <c r="M30" s="25">
        <f>+'2001PILRecoveryAmt'!M28</f>
        <v>498.01000000000005</v>
      </c>
      <c r="N30" s="25">
        <f>+L30+M30</f>
        <v>3064.155833482375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+'Festival Dec 03'!C34+'Festival Nov 03'!C34+'Festival Oct 03'!C34+'Festival Sep 03'!C34+'Festival Aug 03 '!C34+'Festival Jul 03'!C34+'Festival Jun 03'!C34+'Festival May 03'!C34+'Festival Apr 03'!C34+'Festival Mar 03 '!C34+'Festival Feb 03'!C34+'Festival Jan 03'!C34</f>
        <v>38536.130000000005</v>
      </c>
      <c r="F34" s="2">
        <f>+'2001PILRecoveryAmt'!J32</f>
        <v>3274.5</v>
      </c>
      <c r="H34" s="2">
        <f>+C34-F34</f>
        <v>35261.630000000005</v>
      </c>
      <c r="J34" s="29"/>
      <c r="K34" s="3">
        <f>+'2001PILRecoveryAmt'!H32</f>
        <v>0.1492698630834224</v>
      </c>
      <c r="L34" s="2">
        <f>+K34*C34</f>
        <v>5752.2828488649675</v>
      </c>
      <c r="M34" s="25">
        <f>+'2001PILRecoveryAmt'!M32</f>
        <v>209.47833333333332</v>
      </c>
      <c r="N34" s="25">
        <f>+L34+M34</f>
        <v>5961.761182198301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+'Festival Dec 03'!C37+'Festival Nov 03'!C37+'Festival Oct 03'!C37+'Festival Sep 03'!C37+'Festival Aug 03 '!C37+'Festival Jul 03'!C37+'Festival Jun 03'!C37+'Festival May 03'!C37+'Festival Apr 03'!C37+'Festival Mar 03 '!C37+'Festival Feb 03'!C37+'Festival Jan 03'!C37</f>
        <v>8524.26</v>
      </c>
      <c r="F37" s="2">
        <f>+'2001PILRecoveryAmt'!J35</f>
        <v>1905.8333333333333</v>
      </c>
      <c r="H37" s="2">
        <f>+C37-F37</f>
        <v>6618.426666666667</v>
      </c>
      <c r="J37" s="29"/>
      <c r="K37" s="3">
        <f>+'2001PILRecoveryAmt'!H35</f>
        <v>0.21259247923043287</v>
      </c>
      <c r="L37" s="2">
        <f>+K37*C37</f>
        <v>1812.1935670048097</v>
      </c>
      <c r="M37" s="25">
        <f>+'2001PILRecoveryAmt'!M35</f>
        <v>173.6425</v>
      </c>
      <c r="N37" s="25">
        <f>+L37+M37</f>
        <v>1985.8360670048096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+'Festival Dec 03'!C41+'Festival Nov 03'!C41+'Festival Oct 03'!C41+'Festival Sep 03'!C41+'Festival Aug 03 '!C41+'Festival Jul 03'!C41+'Festival Jun 03'!C41+'Festival May 03'!C41+'Festival Apr 03'!C41+'Festival Mar 03 '!C41+'Festival Feb 03'!C41+'Festival Jan 03'!C41</f>
        <v>10514.82</v>
      </c>
      <c r="F41" s="2">
        <f>+'2001PILRecoveryAmt'!J39</f>
        <v>883.3333333333334</v>
      </c>
      <c r="H41" s="2">
        <f>+C41-F41</f>
        <v>9631.486666666666</v>
      </c>
      <c r="J41" s="29"/>
      <c r="K41" s="3">
        <f>+'2001PILRecoveryAmt'!H39</f>
        <v>0.05825943396226415</v>
      </c>
      <c r="L41" s="2">
        <f>+K41*C41</f>
        <v>612.5874614150943</v>
      </c>
      <c r="M41" s="25">
        <f>+'2001PILRecoveryAmt'!M39</f>
        <v>120.07916666666667</v>
      </c>
      <c r="N41" s="25">
        <f>+L41+M41</f>
        <v>732.6666280817609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+'Festival Dec 03'!D43+'Festival Nov 03'!D43+'Festival Oct 03'!D43+'Festival Sep 03'!D43+'Festival Aug 03 '!D43+'Festival Jul 03'!D43+'Festival Jun 03'!D43+'Festival May 03'!D43+'Festival Apr 03'!D43+'Festival Mar 03 '!D43+'Festival Feb 03'!D43+'Festival Jan 03'!D43</f>
        <v>266443.02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992794.441</v>
      </c>
      <c r="D45" s="14">
        <f>SUM(D9:D44)</f>
        <v>214080129.03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908836.2743333335</v>
      </c>
      <c r="I45" s="14">
        <f>SUM(I9:I43)</f>
        <v>196489817.92666665</v>
      </c>
      <c r="J45" s="29"/>
      <c r="K45" s="15"/>
      <c r="L45" s="14">
        <f>SUM(L9:L43)</f>
        <v>208299.01914045014</v>
      </c>
      <c r="M45" s="14">
        <f>SUM(M9:M43)</f>
        <v>13603.726666666667</v>
      </c>
      <c r="N45" s="14">
        <f>SUM(N9:N43)</f>
        <v>221902.74580711676</v>
      </c>
      <c r="O45" s="25"/>
    </row>
    <row r="46" spans="7:15" ht="12.75">
      <c r="G46" s="19" t="s">
        <v>102</v>
      </c>
      <c r="H46" s="2">
        <f>+C45-F45</f>
        <v>908836.2743333334</v>
      </c>
      <c r="I46" s="2">
        <f>+D45-G45</f>
        <v>196756260.94666666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-266443.0200000107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A16" sqref="A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10365397-1777-98810.99</f>
        <v>10264809.01</v>
      </c>
      <c r="G9" s="2">
        <f>+'2001PILRecoveryAmt'!K9</f>
        <v>10449948.666666666</v>
      </c>
      <c r="I9" s="2">
        <f>+D9-G9</f>
        <v>-185139.65666666627</v>
      </c>
      <c r="J9" s="29"/>
      <c r="K9" s="3">
        <f>+'2001PILRecoveryAmt'!I9</f>
        <v>0.0007005173964809906</v>
      </c>
      <c r="L9" s="2">
        <f>+K9*D9</f>
        <v>7190.677283059815</v>
      </c>
      <c r="M9" s="25">
        <f>+'2001PILRecoveryAmt'!M9</f>
        <v>7320.370000000002</v>
      </c>
      <c r="N9" s="25">
        <f>+L9+M9</f>
        <v>14511.047283059816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713895</v>
      </c>
      <c r="G10" s="2">
        <f>+'2001PILRecoveryAmt'!K10</f>
        <v>640442.5</v>
      </c>
      <c r="I10" s="2">
        <f>+D10-G10</f>
        <v>73452.5</v>
      </c>
      <c r="J10" s="29"/>
      <c r="K10" s="3">
        <f>+'2001PILRecoveryAmt'!I10</f>
        <v>0.0008798643125651405</v>
      </c>
      <c r="L10" s="2">
        <f>+K10*D10</f>
        <v>628.130733418691</v>
      </c>
      <c r="M10" s="25">
        <f>+'2001PILRecoveryAmt'!M10</f>
        <v>42.41416666666669</v>
      </c>
      <c r="N10" s="25">
        <f>+L10+M10</f>
        <v>670.5449000853577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348503</v>
      </c>
      <c r="G11" s="2">
        <f>+'2001PILRecoveryAmt'!K11</f>
        <v>341661.4166666667</v>
      </c>
      <c r="I11" s="2">
        <f>+D11-G11</f>
        <v>6841.583333333314</v>
      </c>
      <c r="J11" s="29"/>
      <c r="K11" s="3">
        <f>+'2001PILRecoveryAmt'!I11</f>
        <v>1.8156376549200634E-05</v>
      </c>
      <c r="L11" s="2">
        <f>+K11*D11</f>
        <v>6.3275516965260685</v>
      </c>
      <c r="M11" s="25">
        <f>+'2001PILRecoveryAmt'!M11</f>
        <v>148.88</v>
      </c>
      <c r="N11" s="25">
        <f>+L11+M11</f>
        <v>155.20755169652605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5525007</v>
      </c>
      <c r="G15" s="2">
        <f>+'2001PILRecoveryAmt'!K13</f>
        <v>5891815.5</v>
      </c>
      <c r="I15" s="2">
        <f>+D15-G15</f>
        <v>-366808.5</v>
      </c>
      <c r="J15" s="29"/>
      <c r="K15" s="3">
        <f>+'2001PILRecoveryAmt'!I13</f>
        <v>0.0004570149048285711</v>
      </c>
      <c r="L15" s="2">
        <f>+K15*D15</f>
        <v>2525.010548282189</v>
      </c>
      <c r="M15" s="25">
        <f>+'2001PILRecoveryAmt'!M13</f>
        <v>2692.6483333333335</v>
      </c>
      <c r="N15" s="25">
        <f>+L15+M15</f>
        <v>5217.658881615523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76616-41765</f>
        <v>34851</v>
      </c>
      <c r="G16" s="2">
        <f>+'2001PILRecoveryAmt'!K16</f>
        <v>0</v>
      </c>
      <c r="I16" s="2">
        <f>+D16-G16</f>
        <v>34851</v>
      </c>
      <c r="J16" s="29"/>
      <c r="K16" s="3">
        <f>+'2001PILRecoveryAmt'!I13</f>
        <v>0.0004570149048285711</v>
      </c>
      <c r="L16" s="2">
        <f>+K16*D16</f>
        <v>15.927426448180531</v>
      </c>
      <c r="M16" s="25">
        <f>+'2001PILRecoveryAmt'!M16</f>
        <v>0</v>
      </c>
      <c r="N16" s="25">
        <f>+L16+M16</f>
        <v>15.927426448180531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40452</f>
        <v>40452</v>
      </c>
      <c r="G17" s="2">
        <f>+'2001PILRecoveryAmt'!K17</f>
        <v>0</v>
      </c>
      <c r="I17" s="2">
        <f>+D17-G17</f>
        <v>40452</v>
      </c>
      <c r="J17" s="29"/>
      <c r="K17" s="3">
        <v>0.00046</v>
      </c>
      <c r="L17" s="2">
        <f>+K17*D17</f>
        <v>18.60792</v>
      </c>
      <c r="M17" s="25">
        <f>+'2001PILRecoveryAmt'!M17</f>
        <v>0</v>
      </c>
      <c r="N17" s="25">
        <f>+L17+M17</f>
        <v>18.60792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13419.22+227.88</f>
        <v>13647.099999999999</v>
      </c>
      <c r="F22" s="2">
        <f>+'2001PILRecoveryAmt'!J20</f>
        <v>70786.41666666667</v>
      </c>
      <c r="H22" s="2">
        <f>+C22-F22</f>
        <v>-57139.31666666667</v>
      </c>
      <c r="J22" s="29"/>
      <c r="K22" s="3">
        <f>+'2001PILRecoveryAmt'!H20</f>
        <v>0.07855470152583417</v>
      </c>
      <c r="L22" s="2">
        <f>+K22*C22</f>
        <v>1072.0438671932113</v>
      </c>
      <c r="M22" s="25">
        <f>+'2001PILRecoveryAmt'!M20</f>
        <v>2383.1158333333333</v>
      </c>
      <c r="N22" s="25">
        <f>+L22+M22</f>
        <v>3455.159700526545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17278.11+36</f>
        <v>17314.11</v>
      </c>
      <c r="H23" s="2">
        <f>+C23-F23</f>
        <v>17314.11</v>
      </c>
      <c r="J23" s="29"/>
      <c r="K23" s="3">
        <f>+'2001PILRecoveryAmt'!H20</f>
        <v>0.07855470152583417</v>
      </c>
      <c r="L23" s="2">
        <f>+K23*C23</f>
        <v>1360.1047432354608</v>
      </c>
      <c r="M23" s="25"/>
      <c r="N23" s="25">
        <f>+L23+M23</f>
        <v>1360.1047432354608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38594.88</v>
      </c>
      <c r="H24" s="2">
        <f>+C24-F24</f>
        <v>38594.88</v>
      </c>
      <c r="J24" s="29"/>
      <c r="K24" s="3">
        <f>+'2001PILRecoveryAmt'!H20</f>
        <v>0.07855470152583417</v>
      </c>
      <c r="L24" s="2">
        <f>+K24*C24</f>
        <v>3031.8092788253866</v>
      </c>
      <c r="M24" s="25"/>
      <c r="N24" s="25">
        <f>+L24+M24</f>
        <v>3031.8092788253866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397.34+1849.6</f>
        <v>2246.94</v>
      </c>
      <c r="H25" s="2">
        <f>+C25-F25</f>
        <v>2246.94</v>
      </c>
      <c r="J25" s="29"/>
      <c r="K25" s="3">
        <f>+'2001PILRecoveryAmt'!H20</f>
        <v>0.07855470152583417</v>
      </c>
      <c r="L25" s="2">
        <f>+K25*C25</f>
        <v>176.50770104645784</v>
      </c>
      <c r="M25" s="25"/>
      <c r="N25" s="25">
        <f>+L25+M25</f>
        <v>176.50770104645784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6731.28</v>
      </c>
      <c r="F30" s="2">
        <f>+'2001PILRecoveryAmt'!J28</f>
        <v>7063.666666666667</v>
      </c>
      <c r="H30" s="2">
        <f>+C30-F30</f>
        <v>-332.3866666666672</v>
      </c>
      <c r="J30" s="29"/>
      <c r="K30" s="3">
        <f>+'2001PILRecoveryAmt'!H28</f>
        <v>0.030359704591571893</v>
      </c>
      <c r="L30" s="2">
        <f>+K30*C30</f>
        <v>204.35967232315605</v>
      </c>
      <c r="M30" s="25">
        <f>+'2001PILRecoveryAmt'!M28</f>
        <v>498.01000000000005</v>
      </c>
      <c r="N30" s="25">
        <f>+L30+M30</f>
        <v>702.3696723231561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2956.8</v>
      </c>
      <c r="F34" s="2">
        <f>+'2001PILRecoveryAmt'!J32</f>
        <v>3274.5</v>
      </c>
      <c r="H34" s="2">
        <f>+C34-F34</f>
        <v>-317.6999999999998</v>
      </c>
      <c r="J34" s="29"/>
      <c r="K34" s="3">
        <f>+'2001PILRecoveryAmt'!H32</f>
        <v>0.1492698630834224</v>
      </c>
      <c r="L34" s="2">
        <f>+K34*C34</f>
        <v>441.3611311650634</v>
      </c>
      <c r="M34" s="25">
        <f>+'2001PILRecoveryAmt'!M32</f>
        <v>209.47833333333332</v>
      </c>
      <c r="N34" s="25">
        <f>+L34+M34</f>
        <v>650.8394644983968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398.29</v>
      </c>
      <c r="F37" s="2">
        <f>+'2001PILRecoveryAmt'!J35</f>
        <v>1905.8333333333333</v>
      </c>
      <c r="H37" s="2">
        <f>+C37-F37</f>
        <v>-1507.5433333333333</v>
      </c>
      <c r="J37" s="29"/>
      <c r="K37" s="3">
        <f>+'2001PILRecoveryAmt'!H35</f>
        <v>0.21259247923043287</v>
      </c>
      <c r="L37" s="2">
        <f>+K37*C37</f>
        <v>84.67345855268911</v>
      </c>
      <c r="M37" s="25">
        <f>+'2001PILRecoveryAmt'!M35</f>
        <v>173.6425</v>
      </c>
      <c r="N37" s="25">
        <f>+L37+M37</f>
        <v>258.31595855268915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+'2001PILRecoveryAmt'!J39</f>
        <v>883.3333333333334</v>
      </c>
      <c r="H41" s="2">
        <f>+C41-F41</f>
        <v>-6.763333333333321</v>
      </c>
      <c r="J41" s="29"/>
      <c r="K41" s="3">
        <f>+'2001PILRecoveryAmt'!H39</f>
        <v>0.05825943396226415</v>
      </c>
      <c r="L41" s="2">
        <f>+K41*C41</f>
        <v>51.06847202830189</v>
      </c>
      <c r="M41" s="25">
        <f>+'2001PILRecoveryAmt'!M39</f>
        <v>120.07916666666667</v>
      </c>
      <c r="N41" s="25">
        <f>+L41+M41</f>
        <v>171.14763869496855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257.93+264130.6-340</f>
        <v>264048.52999999997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82765.97</v>
      </c>
      <c r="D45" s="14">
        <f>SUM(D9:D44)</f>
        <v>17191565.54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-1192.1966666666754</v>
      </c>
      <c r="I45" s="14">
        <f>SUM(I9:I43)</f>
        <v>-396351.07333333296</v>
      </c>
      <c r="J45" s="29"/>
      <c r="K45" s="15"/>
      <c r="L45" s="14">
        <f>SUM(L9:L43)</f>
        <v>16806.60978727513</v>
      </c>
      <c r="M45" s="14">
        <f>SUM(M9:M43)</f>
        <v>13603.726666666667</v>
      </c>
      <c r="N45" s="14">
        <f>SUM(N9:N43)</f>
        <v>30410.33645394179</v>
      </c>
      <c r="O45" s="25"/>
    </row>
    <row r="46" spans="7:15" ht="12.75">
      <c r="G46" s="19" t="s">
        <v>102</v>
      </c>
      <c r="H46" s="2">
        <f>+C45-F45</f>
        <v>-1192.1966666666704</v>
      </c>
      <c r="I46" s="2">
        <f>+D45-G45</f>
        <v>-132302.543333333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-264048.52999999997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4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9993817</v>
      </c>
      <c r="G9" s="2">
        <f>+'2001PILRecoveryAmt'!K9</f>
        <v>10449948.666666666</v>
      </c>
      <c r="I9" s="2">
        <f>+D9-G9</f>
        <v>-456131.66666666605</v>
      </c>
      <c r="J9" s="29"/>
      <c r="K9" s="3">
        <f>+'2001PILRecoveryAmt'!I9</f>
        <v>0.0007005173964809906</v>
      </c>
      <c r="L9" s="2">
        <f>+K9*D9</f>
        <v>7000.842665747464</v>
      </c>
      <c r="M9" s="25">
        <f>+'2001PILRecoveryAmt'!M9</f>
        <v>7320.370000000002</v>
      </c>
      <c r="N9" s="25">
        <f>+L9+M9</f>
        <v>14321.212665747466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565278</v>
      </c>
      <c r="G10" s="2">
        <f>+'2001PILRecoveryAmt'!K10</f>
        <v>640442.5</v>
      </c>
      <c r="I10" s="2">
        <f>+D10-G10</f>
        <v>-75164.5</v>
      </c>
      <c r="J10" s="29"/>
      <c r="K10" s="3">
        <f>+'2001PILRecoveryAmt'!I10</f>
        <v>0.0008798643125651405</v>
      </c>
      <c r="L10" s="2">
        <f>+K10*D10</f>
        <v>497.3679388781975</v>
      </c>
      <c r="M10" s="25">
        <f>+'2001PILRecoveryAmt'!M10</f>
        <v>42.41416666666669</v>
      </c>
      <c r="N10" s="25">
        <f>+L10+M10</f>
        <v>539.7821055448642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293856</v>
      </c>
      <c r="G11" s="2">
        <f>+'2001PILRecoveryAmt'!K11</f>
        <v>341661.4166666667</v>
      </c>
      <c r="I11" s="2">
        <f>+D11-G11</f>
        <v>-47805.416666666686</v>
      </c>
      <c r="J11" s="29"/>
      <c r="K11" s="3">
        <f>+'2001PILRecoveryAmt'!I11</f>
        <v>1.8156376549200634E-05</v>
      </c>
      <c r="L11" s="2">
        <f>+K11*D11</f>
        <v>5.335360187241902</v>
      </c>
      <c r="M11" s="25">
        <f>+'2001PILRecoveryAmt'!M11</f>
        <v>148.88</v>
      </c>
      <c r="N11" s="25">
        <f>+L11+M11</f>
        <v>154.21536018724188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5326494</v>
      </c>
      <c r="G15" s="2">
        <f>+'2001PILRecoveryAmt'!K13</f>
        <v>5891815.5</v>
      </c>
      <c r="I15" s="2">
        <f>+D15-G15</f>
        <v>-565321.5</v>
      </c>
      <c r="J15" s="29"/>
      <c r="K15" s="3">
        <f>+'2001PILRecoveryAmt'!I13</f>
        <v>0.0004570149048285711</v>
      </c>
      <c r="L15" s="2">
        <f>+K15*D15</f>
        <v>2434.2871484799552</v>
      </c>
      <c r="M15" s="25">
        <f>+'2001PILRecoveryAmt'!M13</f>
        <v>2692.6483333333335</v>
      </c>
      <c r="N15" s="25">
        <f>+L15+M15</f>
        <v>5126.935481813289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78416</v>
      </c>
      <c r="G16" s="2">
        <f>+'2001PILRecoveryAmt'!K16</f>
        <v>0</v>
      </c>
      <c r="I16" s="2">
        <f>+D16-G16</f>
        <v>78416</v>
      </c>
      <c r="J16" s="29"/>
      <c r="K16" s="3">
        <f>+'2001PILRecoveryAmt'!I13</f>
        <v>0.0004570149048285711</v>
      </c>
      <c r="L16" s="2">
        <f>+K16*D16</f>
        <v>35.837280777037236</v>
      </c>
      <c r="M16" s="25">
        <f>+'2001PILRecoveryAmt'!M16</f>
        <v>0</v>
      </c>
      <c r="N16" s="25">
        <f>+L16+M16</f>
        <v>35.837280777037236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40557+0</f>
        <v>40557</v>
      </c>
      <c r="G17" s="2">
        <f>+'2001PILRecoveryAmt'!K17</f>
        <v>0</v>
      </c>
      <c r="I17" s="2">
        <f>+D17-G17</f>
        <v>40557</v>
      </c>
      <c r="J17" s="29"/>
      <c r="K17" s="3">
        <v>0.00046</v>
      </c>
      <c r="L17" s="2">
        <f>+K17*D17</f>
        <v>18.65622</v>
      </c>
      <c r="M17" s="25">
        <f>+'2001PILRecoveryAmt'!M17</f>
        <v>0</v>
      </c>
      <c r="N17" s="25">
        <f>+L17+M17</f>
        <v>18.65622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13582.8</v>
      </c>
      <c r="F22" s="2">
        <f>+'2001PILRecoveryAmt'!J20</f>
        <v>70786.41666666667</v>
      </c>
      <c r="H22" s="2">
        <f>+C22-F22</f>
        <v>-57203.61666666667</v>
      </c>
      <c r="J22" s="29"/>
      <c r="K22" s="3">
        <f>+'2001PILRecoveryAmt'!H20</f>
        <v>0.07855470152583417</v>
      </c>
      <c r="L22" s="2">
        <f>+K22*C22</f>
        <v>1066.9927998851003</v>
      </c>
      <c r="M22" s="25">
        <f>+'2001PILRecoveryAmt'!M20</f>
        <v>2383.1158333333333</v>
      </c>
      <c r="N22" s="25">
        <f>+L22+M22</f>
        <v>3450.1086332184336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16526.37</v>
      </c>
      <c r="H23" s="2">
        <f>+C23-F23</f>
        <v>16526.37</v>
      </c>
      <c r="J23" s="29"/>
      <c r="K23" s="3">
        <f>+'2001PILRecoveryAmt'!H20</f>
        <v>0.07855470152583417</v>
      </c>
      <c r="L23" s="2">
        <f>+K23*C23</f>
        <v>1298.2240626555001</v>
      </c>
      <c r="M23" s="25"/>
      <c r="N23" s="25">
        <f>+L23+M23</f>
        <v>1298.2240626555001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39236.34</v>
      </c>
      <c r="H24" s="2">
        <f>+C24-F24</f>
        <v>39236.34</v>
      </c>
      <c r="J24" s="29"/>
      <c r="K24" s="3">
        <f>+'2001PILRecoveryAmt'!H20</f>
        <v>0.07855470152583417</v>
      </c>
      <c r="L24" s="2">
        <f>+K24*C24</f>
        <v>3082.198977666148</v>
      </c>
      <c r="M24" s="25"/>
      <c r="N24" s="25">
        <f>+L24+M24</f>
        <v>3082.198977666148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388.05+1925.9</f>
        <v>2313.9500000000003</v>
      </c>
      <c r="H25" s="2">
        <f>+C25-F25</f>
        <v>2313.9500000000003</v>
      </c>
      <c r="J25" s="29"/>
      <c r="K25" s="3">
        <f>+'2001PILRecoveryAmt'!H20</f>
        <v>0.07855470152583417</v>
      </c>
      <c r="L25" s="2">
        <f>+K25*C25</f>
        <v>181.77165159570401</v>
      </c>
      <c r="M25" s="25"/>
      <c r="N25" s="25">
        <f>+L25+M25</f>
        <v>181.77165159570401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7154.86</v>
      </c>
      <c r="F30" s="2">
        <f>+'2001PILRecoveryAmt'!J28</f>
        <v>7063.666666666667</v>
      </c>
      <c r="H30" s="2">
        <f>+C30-F30</f>
        <v>91.1933333333327</v>
      </c>
      <c r="J30" s="29"/>
      <c r="K30" s="3">
        <f>+'2001PILRecoveryAmt'!H28</f>
        <v>0.030359704591571893</v>
      </c>
      <c r="L30" s="2">
        <f>+K30*C30</f>
        <v>217.21943599405407</v>
      </c>
      <c r="M30" s="25">
        <f>+'2001PILRecoveryAmt'!M28</f>
        <v>498.01000000000005</v>
      </c>
      <c r="N30" s="25">
        <f>+L30+M30</f>
        <v>715.2294359940541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2995.2</v>
      </c>
      <c r="F34" s="2">
        <f>+'2001PILRecoveryAmt'!J32</f>
        <v>3274.5</v>
      </c>
      <c r="H34" s="2">
        <f>+C34-F34</f>
        <v>-279.3000000000002</v>
      </c>
      <c r="J34" s="29"/>
      <c r="K34" s="3">
        <f>+'2001PILRecoveryAmt'!H32</f>
        <v>0.1492698630834224</v>
      </c>
      <c r="L34" s="2">
        <f>+K34*C34</f>
        <v>447.09309390746677</v>
      </c>
      <c r="M34" s="25">
        <f>+'2001PILRecoveryAmt'!M32</f>
        <v>209.47833333333332</v>
      </c>
      <c r="N34" s="25">
        <f>+L34+M34</f>
        <v>656.5714272408001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384</v>
      </c>
      <c r="F37" s="2">
        <f>+'2001PILRecoveryAmt'!J35</f>
        <v>1905.8333333333333</v>
      </c>
      <c r="H37" s="2">
        <f>+C37-F37</f>
        <v>-1521.8333333333333</v>
      </c>
      <c r="J37" s="29"/>
      <c r="K37" s="3">
        <f>+'2001PILRecoveryAmt'!H35</f>
        <v>0.21259247923043287</v>
      </c>
      <c r="L37" s="2">
        <f>+K37*C37</f>
        <v>81.63551202448622</v>
      </c>
      <c r="M37" s="25">
        <f>+'2001PILRecoveryAmt'!M35</f>
        <v>173.6425</v>
      </c>
      <c r="N37" s="25">
        <f>+L37+M37</f>
        <v>255.27801202448623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+'2001PILRecoveryAmt'!J39</f>
        <v>883.3333333333334</v>
      </c>
      <c r="H41" s="2">
        <f>+C41-F41</f>
        <v>-7.543333333333408</v>
      </c>
      <c r="J41" s="29"/>
      <c r="K41" s="3">
        <f>+'2001PILRecoveryAmt'!H39</f>
        <v>0.05825943396226415</v>
      </c>
      <c r="L41" s="2">
        <f>+K41*C41</f>
        <v>51.023029669811315</v>
      </c>
      <c r="M41" s="25">
        <f>+'2001PILRecoveryAmt'!M39</f>
        <v>120.07916666666667</v>
      </c>
      <c r="N41" s="25">
        <f>+L41+M41</f>
        <v>171.102196336478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83069.30999999998</v>
      </c>
      <c r="D45" s="14">
        <f>SUM(D9:D44)</f>
        <v>16298521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-888.8566666666773</v>
      </c>
      <c r="I45" s="14">
        <f>SUM(I9:I43)</f>
        <v>-1025450.0833333328</v>
      </c>
      <c r="J45" s="29"/>
      <c r="K45" s="15"/>
      <c r="L45" s="14">
        <f>SUM(L9:L43)</f>
        <v>16418.485177468167</v>
      </c>
      <c r="M45" s="14">
        <f>SUM(M9:M43)</f>
        <v>13603.726666666667</v>
      </c>
      <c r="N45" s="14">
        <f>SUM(N9:N43)</f>
        <v>30022.21184413483</v>
      </c>
      <c r="O45" s="25"/>
    </row>
    <row r="46" spans="7:15" ht="12.75">
      <c r="G46" s="19" t="s">
        <v>102</v>
      </c>
      <c r="H46" s="2">
        <f>+C45-F45</f>
        <v>-888.8566666666884</v>
      </c>
      <c r="I46" s="2">
        <f>+D45-G45</f>
        <v>-1025347.0833333321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-103.00000000069849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218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8997275</v>
      </c>
      <c r="G9" s="2">
        <f>+'2001PILRecoveryAmt'!K9</f>
        <v>10449948.666666666</v>
      </c>
      <c r="I9" s="2">
        <f>+D9-G9</f>
        <v>-1452673.666666666</v>
      </c>
      <c r="J9" s="29"/>
      <c r="K9" s="3">
        <f>+'2001PILRecoveryAmt'!I9</f>
        <v>0.0007005173964809906</v>
      </c>
      <c r="L9" s="2">
        <f>+K9*D9</f>
        <v>6302.747658423505</v>
      </c>
      <c r="M9" s="25">
        <f>+'2001PILRecoveryAmt'!M9</f>
        <v>7320.370000000002</v>
      </c>
      <c r="N9" s="25">
        <f>+L9+M9</f>
        <v>13623.117658423507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585422</v>
      </c>
      <c r="G10" s="2">
        <f>+'2001PILRecoveryAmt'!K10</f>
        <v>640442.5</v>
      </c>
      <c r="I10" s="2">
        <f>+D10-G10</f>
        <v>-55020.5</v>
      </c>
      <c r="J10" s="29"/>
      <c r="K10" s="3">
        <f>+'2001PILRecoveryAmt'!I10</f>
        <v>0.0008798643125651405</v>
      </c>
      <c r="L10" s="2">
        <f>+K10*D10</f>
        <v>515.0919255905097</v>
      </c>
      <c r="M10" s="25">
        <f>+'2001PILRecoveryAmt'!M10</f>
        <v>42.41416666666669</v>
      </c>
      <c r="N10" s="25">
        <f>+L10+M10</f>
        <v>557.5060922571764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264519</v>
      </c>
      <c r="G11" s="2">
        <f>+'2001PILRecoveryAmt'!K11</f>
        <v>341661.4166666667</v>
      </c>
      <c r="I11" s="2">
        <f>+D11-G11</f>
        <v>-77142.41666666669</v>
      </c>
      <c r="J11" s="29"/>
      <c r="K11" s="3">
        <f>+'2001PILRecoveryAmt'!I11</f>
        <v>1.8156376549200634E-05</v>
      </c>
      <c r="L11" s="2">
        <f>+K11*D11</f>
        <v>4.802706568418002</v>
      </c>
      <c r="M11" s="25">
        <f>+'2001PILRecoveryAmt'!M11</f>
        <v>148.88</v>
      </c>
      <c r="N11" s="25">
        <f>+L11+M11</f>
        <v>153.68270656841798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5326009</v>
      </c>
      <c r="G15" s="2">
        <f>+'2001PILRecoveryAmt'!K13</f>
        <v>5891815.5</v>
      </c>
      <c r="I15" s="2">
        <f>+D15-G15</f>
        <v>-565806.5</v>
      </c>
      <c r="J15" s="29"/>
      <c r="K15" s="3">
        <f>+'2001PILRecoveryAmt'!I13</f>
        <v>0.0004570149048285711</v>
      </c>
      <c r="L15" s="2">
        <f>+K15*D15</f>
        <v>2434.065496251113</v>
      </c>
      <c r="M15" s="25">
        <f>+'2001PILRecoveryAmt'!M13</f>
        <v>2692.6483333333335</v>
      </c>
      <c r="N15" s="25">
        <f>+L15+M15</f>
        <v>5126.713829584447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78650</v>
      </c>
      <c r="G16" s="2">
        <f>+'2001PILRecoveryAmt'!K16</f>
        <v>0</v>
      </c>
      <c r="I16" s="2">
        <f>+D16-G16</f>
        <v>78650</v>
      </c>
      <c r="J16" s="29"/>
      <c r="K16" s="3">
        <f>+'2001PILRecoveryAmt'!I13</f>
        <v>0.0004570149048285711</v>
      </c>
      <c r="L16" s="2">
        <f>+K16*D16</f>
        <v>35.94422226476712</v>
      </c>
      <c r="M16" s="25">
        <f>+'2001PILRecoveryAmt'!M16</f>
        <v>0</v>
      </c>
      <c r="N16" s="25">
        <f>+L16+M16</f>
        <v>35.94422226476712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37446+2776</f>
        <v>40222</v>
      </c>
      <c r="G17" s="2">
        <f>+'2001PILRecoveryAmt'!K17</f>
        <v>0</v>
      </c>
      <c r="I17" s="2">
        <f>+D17-G17</f>
        <v>40222</v>
      </c>
      <c r="J17" s="29"/>
      <c r="K17" s="3">
        <v>0.00046</v>
      </c>
      <c r="L17" s="2">
        <f>+K17*D17</f>
        <v>18.50212</v>
      </c>
      <c r="M17" s="25">
        <f>+'2001PILRecoveryAmt'!M17</f>
        <v>0</v>
      </c>
      <c r="N17" s="25">
        <f>+L17+M17</f>
        <v>18.50212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13715.97</v>
      </c>
      <c r="F22" s="2">
        <f>+'2001PILRecoveryAmt'!J20</f>
        <v>70786.41666666667</v>
      </c>
      <c r="H22" s="2">
        <f>+C22-F22</f>
        <v>-57070.44666666667</v>
      </c>
      <c r="J22" s="29"/>
      <c r="K22" s="3">
        <f>+'2001PILRecoveryAmt'!H20</f>
        <v>0.07855470152583417</v>
      </c>
      <c r="L22" s="2">
        <f>+K22*C22</f>
        <v>1077.4539294872957</v>
      </c>
      <c r="M22" s="25">
        <f>+'2001PILRecoveryAmt'!M20</f>
        <v>2383.1158333333333</v>
      </c>
      <c r="N22" s="25">
        <f>+L22+M22</f>
        <v>3460.569762820629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16513.7</v>
      </c>
      <c r="H23" s="2">
        <f>+C23-F23</f>
        <v>16513.7</v>
      </c>
      <c r="J23" s="29"/>
      <c r="K23" s="3">
        <f>+'2001PILRecoveryAmt'!H20</f>
        <v>0.07855470152583417</v>
      </c>
      <c r="L23" s="2">
        <f>+K23*C23</f>
        <v>1297.228774587168</v>
      </c>
      <c r="M23" s="25"/>
      <c r="N23" s="25">
        <f>+L23+M23</f>
        <v>1297.228774587168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39556.03</v>
      </c>
      <c r="H24" s="2">
        <f>+C24-F24</f>
        <v>39556.03</v>
      </c>
      <c r="J24" s="29"/>
      <c r="K24" s="3">
        <f>+'2001PILRecoveryAmt'!H20</f>
        <v>0.07855470152583417</v>
      </c>
      <c r="L24" s="2">
        <f>+K24*C24</f>
        <v>3107.3121301969422</v>
      </c>
      <c r="M24" s="25"/>
      <c r="N24" s="25">
        <f>+L24+M24</f>
        <v>3107.3121301969422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416.38+2093.44</f>
        <v>2509.82</v>
      </c>
      <c r="H25" s="2">
        <f>+C25-F25</f>
        <v>2509.82</v>
      </c>
      <c r="J25" s="29"/>
      <c r="K25" s="3">
        <f>+'2001PILRecoveryAmt'!H20</f>
        <v>0.07855470152583417</v>
      </c>
      <c r="L25" s="2">
        <f>+K25*C25</f>
        <v>197.15816098356913</v>
      </c>
      <c r="M25" s="25"/>
      <c r="N25" s="25">
        <f>+L25+M25</f>
        <v>197.15816098356913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7277.45</v>
      </c>
      <c r="F30" s="2">
        <f>+'2001PILRecoveryAmt'!J28</f>
        <v>7063.666666666667</v>
      </c>
      <c r="H30" s="2">
        <f>+C30-F30</f>
        <v>213.78333333333285</v>
      </c>
      <c r="J30" s="29"/>
      <c r="K30" s="3">
        <f>+'2001PILRecoveryAmt'!H28</f>
        <v>0.030359704591571893</v>
      </c>
      <c r="L30" s="2">
        <f>+K30*C30</f>
        <v>220.94123217993487</v>
      </c>
      <c r="M30" s="25">
        <f>+'2001PILRecoveryAmt'!M28</f>
        <v>498.01000000000005</v>
      </c>
      <c r="N30" s="25">
        <f>+L30+M30</f>
        <v>718.9512321799349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+'2001PILRecoveryAmt'!J32</f>
        <v>3274.5</v>
      </c>
      <c r="H34" s="2">
        <f>+C34-F34</f>
        <v>-298.5</v>
      </c>
      <c r="J34" s="29"/>
      <c r="K34" s="3">
        <f>+'2001PILRecoveryAmt'!H32</f>
        <v>0.1492698630834224</v>
      </c>
      <c r="L34" s="2">
        <f>+K34*C34</f>
        <v>444.2271125362651</v>
      </c>
      <c r="M34" s="25">
        <f>+'2001PILRecoveryAmt'!M32</f>
        <v>209.47833333333332</v>
      </c>
      <c r="N34" s="25">
        <f>+L34+M34</f>
        <v>653.7054458695984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364.8</v>
      </c>
      <c r="F37" s="2">
        <f>+'2001PILRecoveryAmt'!J35</f>
        <v>1905.8333333333333</v>
      </c>
      <c r="H37" s="2">
        <f>+C37-F37</f>
        <v>-1541.0333333333333</v>
      </c>
      <c r="J37" s="29"/>
      <c r="K37" s="3">
        <f>+'2001PILRecoveryAmt'!H35</f>
        <v>0.21259247923043287</v>
      </c>
      <c r="L37" s="2">
        <f>+K37*C37</f>
        <v>77.55373642326191</v>
      </c>
      <c r="M37" s="25">
        <f>+'2001PILRecoveryAmt'!M35</f>
        <v>173.6425</v>
      </c>
      <c r="N37" s="25">
        <f>+L37+M37</f>
        <v>251.19623642326192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+'2001PILRecoveryAmt'!J39</f>
        <v>883.3333333333334</v>
      </c>
      <c r="H41" s="2">
        <f>+C41-F41</f>
        <v>-7.543333333333408</v>
      </c>
      <c r="J41" s="29"/>
      <c r="K41" s="3">
        <f>+'2001PILRecoveryAmt'!H39</f>
        <v>0.05825943396226415</v>
      </c>
      <c r="L41" s="2">
        <f>+K41*C41</f>
        <v>51.023029669811315</v>
      </c>
      <c r="M41" s="25">
        <f>+'2001PILRecoveryAmt'!M39</f>
        <v>120.07916666666667</v>
      </c>
      <c r="N41" s="25">
        <f>+L41+M41</f>
        <v>171.102196336478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83789.56</v>
      </c>
      <c r="D45" s="14">
        <f>SUM(D9:D44)</f>
        <v>15292200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-168.60666666667478</v>
      </c>
      <c r="I45" s="14">
        <f>SUM(I9:I43)</f>
        <v>-2031771.083333333</v>
      </c>
      <c r="J45" s="29"/>
      <c r="K45" s="15"/>
      <c r="L45" s="14">
        <f>SUM(L9:L43)</f>
        <v>15784.05223516256</v>
      </c>
      <c r="M45" s="14">
        <f>SUM(M9:M43)</f>
        <v>13603.726666666667</v>
      </c>
      <c r="N45" s="14">
        <f>SUM(N9:N43)</f>
        <v>29387.77890182923</v>
      </c>
      <c r="O45" s="25"/>
    </row>
    <row r="46" spans="7:15" ht="12.75">
      <c r="G46" s="19" t="s">
        <v>102</v>
      </c>
      <c r="H46" s="2">
        <f>+C45-F45</f>
        <v>-168.60666666667385</v>
      </c>
      <c r="I46" s="2">
        <f>+D45-G45</f>
        <v>-2031668.083333332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205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10351631</v>
      </c>
      <c r="G9" s="2">
        <f>+'2001PILRecoveryAmt'!K9</f>
        <v>10449948.666666666</v>
      </c>
      <c r="I9" s="2">
        <f>+D9-G9</f>
        <v>-98317.66666666605</v>
      </c>
      <c r="J9" s="29"/>
      <c r="K9" s="3">
        <f>+'2001PILRecoveryAmt'!I9</f>
        <v>0.0007005173964809906</v>
      </c>
      <c r="L9" s="2">
        <f>+K9*D9</f>
        <v>7251.497597451913</v>
      </c>
      <c r="M9" s="25">
        <f>+'2001PILRecoveryAmt'!M9</f>
        <v>7320.370000000002</v>
      </c>
      <c r="N9" s="25">
        <f>+L9+M9</f>
        <v>14571.867597451914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598747</v>
      </c>
      <c r="G10" s="2">
        <f>+'2001PILRecoveryAmt'!K10</f>
        <v>640442.5</v>
      </c>
      <c r="I10" s="2">
        <f>+D10-G10</f>
        <v>-41695.5</v>
      </c>
      <c r="J10" s="29"/>
      <c r="K10" s="3">
        <f>+'2001PILRecoveryAmt'!I10</f>
        <v>0.0008798643125651405</v>
      </c>
      <c r="L10" s="2">
        <f>+K10*D10</f>
        <v>526.8161175554402</v>
      </c>
      <c r="M10" s="25">
        <f>+'2001PILRecoveryAmt'!M10</f>
        <v>42.41416666666669</v>
      </c>
      <c r="N10" s="25">
        <f>+L10+M10</f>
        <v>569.2302842221069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343656</v>
      </c>
      <c r="G11" s="2">
        <f>+'2001PILRecoveryAmt'!K11</f>
        <v>341661.4166666667</v>
      </c>
      <c r="I11" s="2">
        <f>+D11-G11</f>
        <v>1994.583333333314</v>
      </c>
      <c r="J11" s="29"/>
      <c r="K11" s="3">
        <f>+'2001PILRecoveryAmt'!I11</f>
        <v>1.8156376549200634E-05</v>
      </c>
      <c r="L11" s="2">
        <f>+K11*D11</f>
        <v>6.239547739392093</v>
      </c>
      <c r="M11" s="25">
        <f>+'2001PILRecoveryAmt'!M11</f>
        <v>148.88</v>
      </c>
      <c r="N11" s="25">
        <f>+L11+M11</f>
        <v>155.1195477393921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5895765</v>
      </c>
      <c r="G15" s="2">
        <f>+'2001PILRecoveryAmt'!K13</f>
        <v>5891815.5</v>
      </c>
      <c r="I15" s="2">
        <f>+D15-G15</f>
        <v>3949.5</v>
      </c>
      <c r="J15" s="29"/>
      <c r="K15" s="3">
        <f>+'2001PILRecoveryAmt'!I13</f>
        <v>0.0004570149048285711</v>
      </c>
      <c r="L15" s="2">
        <f>+K15*D15</f>
        <v>2694.4524803666204</v>
      </c>
      <c r="M15" s="25">
        <f>+'2001PILRecoveryAmt'!M13</f>
        <v>2692.6483333333335</v>
      </c>
      <c r="N15" s="25">
        <f>+L15+M15</f>
        <v>5387.1008136999535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+'2001PILRecoveryAmt'!K16</f>
        <v>0</v>
      </c>
      <c r="I16" s="2">
        <f>+D16-G16</f>
        <v>120415</v>
      </c>
      <c r="J16" s="29"/>
      <c r="K16" s="3">
        <f>+'2001PILRecoveryAmt'!I13</f>
        <v>0.0004570149048285711</v>
      </c>
      <c r="L16" s="2">
        <f>+K16*D16</f>
        <v>55.03144976493239</v>
      </c>
      <c r="M16" s="25">
        <f>+'2001PILRecoveryAmt'!M16</f>
        <v>0</v>
      </c>
      <c r="N16" s="25">
        <f>+L16+M16</f>
        <v>55.03144976493239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40202</v>
      </c>
      <c r="G17" s="2">
        <f>+'2001PILRecoveryAmt'!K17</f>
        <v>0</v>
      </c>
      <c r="I17" s="2">
        <f>+D17-G17</f>
        <v>40202</v>
      </c>
      <c r="J17" s="29"/>
      <c r="K17" s="3">
        <v>0.00046</v>
      </c>
      <c r="L17" s="2">
        <f>+K17*D17</f>
        <v>18.49292</v>
      </c>
      <c r="M17" s="25">
        <f>+'2001PILRecoveryAmt'!M17</f>
        <v>0</v>
      </c>
      <c r="N17" s="25">
        <f>+L17+M17</f>
        <v>18.49292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13937.85</v>
      </c>
      <c r="F22" s="2">
        <f>+'2001PILRecoveryAmt'!J20</f>
        <v>70786.41666666667</v>
      </c>
      <c r="H22" s="2">
        <f>+C22-F22</f>
        <v>-56848.56666666667</v>
      </c>
      <c r="J22" s="29"/>
      <c r="K22" s="3">
        <f>+'2001PILRecoveryAmt'!H20</f>
        <v>0.07855470152583417</v>
      </c>
      <c r="L22" s="2">
        <f>+K22*C22</f>
        <v>1094.883646661848</v>
      </c>
      <c r="M22" s="25">
        <f>+'2001PILRecoveryAmt'!M20</f>
        <v>2383.1158333333333</v>
      </c>
      <c r="N22" s="25">
        <f>+L22+M22</f>
        <v>3477.999479995181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16596.82</v>
      </c>
      <c r="H23" s="2">
        <f>+C23-F23</f>
        <v>16596.82</v>
      </c>
      <c r="J23" s="29"/>
      <c r="K23" s="3">
        <f>+'2001PILRecoveryAmt'!H20</f>
        <v>0.07855470152583417</v>
      </c>
      <c r="L23" s="2">
        <f>+K23*C23</f>
        <v>1303.758241377995</v>
      </c>
      <c r="M23" s="25"/>
      <c r="N23" s="25">
        <f>+L23+M23</f>
        <v>1303.758241377995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39115.71</v>
      </c>
      <c r="H24" s="2">
        <f>+C24-F24</f>
        <v>39115.71</v>
      </c>
      <c r="J24" s="29"/>
      <c r="K24" s="3">
        <f>+'2001PILRecoveryAmt'!H20</f>
        <v>0.07855470152583417</v>
      </c>
      <c r="L24" s="2">
        <f>+K24*C24</f>
        <v>3072.722924021087</v>
      </c>
      <c r="M24" s="25"/>
      <c r="N24" s="25">
        <f>+L24+M24</f>
        <v>3072.722924021087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429.87+2098.89</f>
        <v>2528.7599999999998</v>
      </c>
      <c r="H25" s="2">
        <f>+C25-F25</f>
        <v>2528.7599999999998</v>
      </c>
      <c r="J25" s="29"/>
      <c r="K25" s="3">
        <f>+'2001PILRecoveryAmt'!H20</f>
        <v>0.07855470152583417</v>
      </c>
      <c r="L25" s="2">
        <f>+K25*C25</f>
        <v>198.6459870304684</v>
      </c>
      <c r="M25" s="25"/>
      <c r="N25" s="25">
        <f>+L25+M25</f>
        <v>198.6459870304684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7465.46</v>
      </c>
      <c r="F30" s="2">
        <f>+'2001PILRecoveryAmt'!J28</f>
        <v>7063.666666666667</v>
      </c>
      <c r="H30" s="2">
        <f>+C30-F30</f>
        <v>401.79333333333307</v>
      </c>
      <c r="J30" s="29"/>
      <c r="K30" s="3">
        <f>+'2001PILRecoveryAmt'!H28</f>
        <v>0.030359704591571893</v>
      </c>
      <c r="L30" s="2">
        <f>+K30*C30</f>
        <v>226.6491602401963</v>
      </c>
      <c r="M30" s="25">
        <f>+'2001PILRecoveryAmt'!M28</f>
        <v>498.01000000000005</v>
      </c>
      <c r="N30" s="25">
        <f>+L30+M30</f>
        <v>724.6591602401963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+'2001PILRecoveryAmt'!J32</f>
        <v>3274.5</v>
      </c>
      <c r="H34" s="2">
        <f>+C34-F34</f>
        <v>-298.5</v>
      </c>
      <c r="J34" s="29"/>
      <c r="K34" s="3">
        <f>+'2001PILRecoveryAmt'!H32</f>
        <v>0.1492698630834224</v>
      </c>
      <c r="L34" s="2">
        <f>+K34*C34</f>
        <v>444.2271125362651</v>
      </c>
      <c r="M34" s="25">
        <f>+'2001PILRecoveryAmt'!M32</f>
        <v>209.47833333333332</v>
      </c>
      <c r="N34" s="25">
        <f>+L34+M34</f>
        <v>653.7054458695984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1090.32</v>
      </c>
      <c r="F37" s="2">
        <f>+'2001PILRecoveryAmt'!J35</f>
        <v>1905.8333333333333</v>
      </c>
      <c r="H37" s="2">
        <f>+C37-F37</f>
        <v>-815.5133333333333</v>
      </c>
      <c r="J37" s="29"/>
      <c r="K37" s="3">
        <f>+'2001PILRecoveryAmt'!H35</f>
        <v>0.21259247923043287</v>
      </c>
      <c r="L37" s="2">
        <f>+K37*C37</f>
        <v>231.79383195452556</v>
      </c>
      <c r="M37" s="25">
        <f>+'2001PILRecoveryAmt'!M35</f>
        <v>173.6425</v>
      </c>
      <c r="N37" s="25">
        <f>+L37+M37</f>
        <v>405.4363319545256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84585.83000000002</v>
      </c>
      <c r="D45" s="14">
        <f>SUM(D9:D44)</f>
        <v>17350519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627.6633333333253</v>
      </c>
      <c r="I45" s="14">
        <f>SUM(I9:I43)</f>
        <v>26547.916666667268</v>
      </c>
      <c r="J45" s="29"/>
      <c r="K45" s="15"/>
      <c r="L45" s="14">
        <f>SUM(L9:L43)</f>
        <v>17176.182778068607</v>
      </c>
      <c r="M45" s="14">
        <f>SUM(M9:M43)</f>
        <v>13603.726666666667</v>
      </c>
      <c r="N45" s="14">
        <f>SUM(N9:N43)</f>
        <v>30779.909444735276</v>
      </c>
      <c r="O45" s="25"/>
    </row>
    <row r="46" spans="7:15" ht="12.75">
      <c r="G46" s="19" t="s">
        <v>102</v>
      </c>
      <c r="H46" s="2">
        <f>+C45-F45</f>
        <v>627.6633333333448</v>
      </c>
      <c r="I46" s="2">
        <f>+D45-G45</f>
        <v>26650.91666666791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-103.00000000064028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reeced</cp:lastModifiedBy>
  <cp:lastPrinted>2011-12-02T21:15:28Z</cp:lastPrinted>
  <dcterms:created xsi:type="dcterms:W3CDTF">2002-02-08T04:44:26Z</dcterms:created>
  <dcterms:modified xsi:type="dcterms:W3CDTF">2011-12-29T20:26:58Z</dcterms:modified>
  <cp:category/>
  <cp:version/>
  <cp:contentType/>
  <cp:contentStatus/>
</cp:coreProperties>
</file>