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TAXREC3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'TAXREC'!$A$1:$F$316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<sst xmlns="http://schemas.openxmlformats.org/spreadsheetml/2006/main" count="1064" uniqueCount="596">
  <si>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</si>
  <si>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</si>
  <si>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</si>
  <si>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</si>
  <si>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</si>
  <si>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</si>
  <si>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</si>
  <si>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</si>
  <si>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</si>
  <si>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</si>
  <si>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</si>
  <si>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</si>
  <si>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</si>
  <si>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</si>
  <si>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</si>
  <si>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</si>
  <si>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</si>
  <si>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</si>
  <si>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</si>
  <si>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</si>
  <si>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</si>
  <si>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</si>
  <si>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</si>
  <si>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</si>
  <si>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</si>
  <si>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</si>
  <si>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</si>
  <si>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</si>
  <si>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</si>
  <si>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</si>
  <si>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</si>
  <si>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</si>
  <si>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</si>
  <si>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</si>
  <si>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</si>
  <si>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</si>
  <si>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</si>
  <si>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</si>
  <si>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</si>
  <si>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</si>
  <si>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</si>
  <si>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</si>
  <si>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</si>
  <si>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</si>
  <si>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</si>
  <si>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</si>
  <si>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</si>
  <si>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</si>
  <si>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</si>
  <si>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</si>
  <si>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</si>
  <si>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</si>
  <si>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</si>
  <si>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</si>
  <si>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</si>
  <si>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</si>
  <si>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</si>
  <si>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</si>
  <si>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</si>
  <si>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</si>
  <si>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</si>
  <si>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</si>
  <si>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</si>
  <si>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</si>
  <si>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</si>
  <si>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</si>
  <si>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</si>
  <si>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</si>
  <si>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</si>
  <si>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</si>
  <si>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</si>
  <si>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</si>
  <si>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</si>
  <si>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</si>
  <si>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</si>
  <si>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</si>
  <si>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</si>
  <si>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</si>
  <si>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</si>
  <si>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</si>
  <si>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</si>
  <si>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</si>
  <si>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</si>
  <si>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</si>
  <si>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</si>
  <si>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</si>
  <si>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</si>
  <si>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</si>
  <si>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</si>
  <si>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</si>
  <si>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</si>
  <si>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</si>
  <si>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</si>
  <si>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</si>
  <si>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</si>
  <si>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</si>
  <si>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</si>
  <si>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</si>
  <si>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</si>
  <si>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</si>
  <si>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</si>
  <si>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</si>
  <si>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</si>
  <si>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</si>
  <si>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</si>
  <si>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</si>
  <si>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</si>
  <si>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</si>
  <si>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</si>
  <si>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</si>
  <si>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</si>
  <si>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</si>
  <si>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</si>
  <si>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</si>
  <si>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</si>
  <si>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</si>
  <si>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</si>
  <si>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</si>
  <si>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</si>
  <si>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</si>
  <si>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</si>
  <si>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</si>
  <si>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</si>
  <si>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</si>
  <si>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</si>
  <si>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</si>
  <si>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</si>
  <si>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</si>
  <si>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</si>
  <si>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</si>
  <si>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</si>
  <si>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</si>
  <si>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</si>
  <si>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</si>
  <si>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</si>
  <si>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</si>
  <si>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</si>
  <si>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</si>
  <si>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</si>
  <si>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</si>
  <si>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</si>
  <si>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</si>
  <si>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</si>
  <si>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</si>
  <si>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</si>
  <si>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</si>
  <si>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</si>
  <si>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</si>
  <si>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</si>
  <si>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</si>
  <si>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</si>
  <si>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</si>
  <si>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</si>
  <si>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</si>
  <si>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</si>
  <si>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</si>
  <si>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</si>
  <si>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</si>
  <si>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</si>
  <si>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</si>
  <si>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</si>
  <si>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</si>
  <si>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</si>
  <si>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</si>
  <si>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</si>
  <si>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</si>
  <si>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</si>
  <si>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</si>
  <si>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</si>
  <si>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</si>
  <si>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</si>
  <si>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</si>
  <si>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</si>
  <si>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</si>
  <si>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</si>
  <si>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</si>
  <si>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</si>
  <si>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</si>
  <si>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</si>
  <si>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</si>
  <si>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</si>
  <si>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</si>
  <si>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</si>
  <si>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</si>
  <si>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</si>
  <si>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</si>
  <si>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</si>
  <si>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</si>
  <si>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</si>
  <si>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</si>
  <si>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</si>
  <si>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</si>
  <si>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</si>
  <si>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</si>
  <si>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</si>
  <si>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</si>
  <si>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</si>
  <si>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</si>
  <si>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</si>
  <si>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</si>
  <si>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</si>
  <si>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</si>
  <si>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</si>
  <si>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</si>
  <si>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</si>
  <si>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</si>
  <si>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</si>
  <si>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</si>
  <si>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</si>
  <si>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</si>
  <si>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</si>
  <si>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</si>
  <si>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</si>
  <si>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</si>
  <si>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</si>
  <si>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</si>
  <si>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</si>
  <si>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</si>
  <si>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</si>
  <si>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</si>
  <si>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</si>
  <si>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</si>
  <si>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</si>
  <si>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</si>
  <si>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</si>
  <si>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</si>
  <si>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</si>
  <si>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</si>
  <si>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</si>
  <si>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</si>
  <si>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</si>
  <si>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</si>
  <si>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</si>
  <si>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</si>
  <si>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</si>
  <si>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</si>
  <si>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</si>
  <si>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</si>
  <si>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</si>
  <si>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</si>
  <si>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</si>
  <si>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</si>
  <si>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</si>
  <si>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</si>
  <si>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</si>
  <si>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</si>
  <si>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</si>
  <si>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</si>
  <si>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</si>
  <si>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</si>
  <si>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</si>
  <si>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</si>
  <si>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</si>
  <si>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</si>
  <si>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</si>
  <si>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</si>
  <si>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</si>
  <si>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</si>
  <si>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</si>
  <si>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</si>
  <si>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</si>
  <si>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</si>
  <si>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</si>
  <si>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</si>
  <si>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</si>
  <si>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</si>
  <si>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</si>
  <si>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</si>
  <si>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</si>
  <si>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</si>
  <si>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</si>
  <si>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</si>
  <si>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</si>
  <si>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</si>
  <si>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</si>
  <si>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</si>
  <si>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</si>
  <si>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</si>
  <si>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</si>
  <si>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</si>
  <si>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</si>
  <si>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</si>
  <si>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</si>
  <si>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</si>
  <si>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</si>
  <si>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</si>
  <si>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</si>
  <si>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</si>
  <si>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</si>
  <si>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</si>
  <si>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</si>
  <si>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</si>
  <si>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</si>
  <si>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</si>
  <si>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</si>
  <si>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</si>
  <si>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</si>
  <si>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</si>
  <si>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</si>
  <si>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</si>
  <si>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</si>
  <si>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</si>
  <si>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</si>
  <si>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</si>
  <si>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</si>
  <si>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</si>
  <si>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</si>
  <si>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</si>
  <si>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</si>
  <si>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</si>
  <si>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</si>
  <si>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</si>
  <si>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</si>
  <si>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</si>
  <si>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</si>
  <si>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</si>
  <si>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</si>
  <si>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</si>
  <si>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</si>
  <si>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</si>
  <si>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</si>
  <si>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</si>
  <si>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</si>
  <si>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</si>
  <si>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</si>
  <si>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</si>
  <si>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</si>
  <si>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</si>
  <si>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</si>
  <si>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</si>
  <si>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</si>
  <si>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</si>
  <si>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</si>
  <si>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</si>
  <si>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</si>
  <si>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</si>
  <si>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</si>
  <si>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</si>
  <si>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</si>
  <si>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</si>
  <si>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</si>
  <si>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</si>
  <si>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</si>
  <si>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</si>
  <si>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</si>
  <si>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</si>
  <si>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</si>
  <si>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</si>
  <si>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</si>
  <si>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</si>
  <si>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</si>
  <si>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</si>
  <si>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</si>
  <si>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</si>
  <si>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</si>
  <si>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</si>
  <si>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</si>
  <si>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</si>
  <si>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</si>
  <si>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</si>
  <si>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</si>
  <si>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</si>
  <si>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</si>
  <si>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</si>
  <si>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</si>
  <si>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</si>
  <si>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</si>
  <si>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</si>
  <si>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</si>
  <si>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</si>
  <si>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</si>
  <si>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</si>
  <si>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</si>
  <si>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</si>
  <si>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</si>
  <si>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</si>
  <si>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</si>
  <si>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</si>
  <si>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</si>
  <si>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</si>
  <si>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</si>
  <si>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</si>
  <si>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</si>
  <si>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</si>
  <si>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</si>
  <si>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</si>
  <si>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</si>
  <si>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</si>
  <si>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</si>
  <si>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</si>
  <si>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</si>
  <si>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</si>
  <si>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</si>
  <si>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</si>
  <si>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</si>
  <si>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</si>
  <si>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</si>
  <si>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</si>
  <si>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</si>
  <si>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</si>
  <si>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</si>
  <si>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</si>
  <si>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</si>
  <si>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</si>
  <si>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</si>
  <si>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</si>
  <si>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</si>
  <si>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</si>
  <si>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</si>
  <si>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</si>
  <si>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</si>
  <si>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</si>
  <si>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</si>
  <si>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</si>
  <si>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</si>
  <si>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</si>
  <si>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</si>
  <si>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</si>
  <si>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</si>
  <si>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</si>
  <si>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</si>
  <si>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</si>
  <si>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</si>
  <si>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</si>
  <si>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</si>
  <si>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</si>
  <si>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</si>
  <si>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</si>
  <si>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</si>
  <si>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</si>
  <si>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</si>
  <si>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</si>
  <si>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</si>
  <si>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</si>
  <si>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</si>
  <si>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</si>
  <si>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</si>
  <si>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</si>
  <si>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</si>
  <si>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</si>
  <si>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</si>
  <si>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</si>
  <si>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</si>
  <si>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</si>
  <si>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</si>
  <si>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</si>
  <si>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</si>
  <si>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</si>
  <si>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</si>
  <si>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</si>
  <si>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>Bad debts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</si>
  <si>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</si>
  <si>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</si>
  <si>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</si>
  <si>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</si>
  <si>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</si>
  <si>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</si>
  <si>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</si>
  <si>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</si>
  <si>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</si>
  <si>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</si>
  <si>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</si>
  <si>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</si>
  <si>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</si>
  <si>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</si>
  <si>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</si>
  <si>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</si>
  <si>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</si>
  <si>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</si>
  <si>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</si>
  <si>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</si>
  <si>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</si>
  <si>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</si>
  <si>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</si>
  <si>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</si>
  <si>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</si>
  <si>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</si>
  <si>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</si>
  <si>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</si>
  <si>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>Regulatory Assets - to balance to tax return</t>
  </si>
  <si>
    <t>Regulatory Assets changes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</si>
  <si>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</si>
  <si>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</si>
  <si>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</si>
  <si>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</si>
  <si>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</si>
  <si>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</si>
  <si>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</si>
  <si>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</si>
  <si>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</si>
  <si>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</si>
  <si>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</si>
  <si>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</si>
  <si>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</si>
  <si>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</si>
  <si>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</si>
  <si>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</si>
  <si>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</si>
  <si>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</si>
  <si>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</si>
  <si>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</si>
  <si>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</si>
  <si>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</si>
  <si>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</si>
  <si>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</si>
  <si>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</si>
  <si>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</si>
  <si>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</si>
  <si>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</si>
  <si>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</si>
  <si>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</si>
  <si>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</si>
  <si>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</si>
  <si>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</si>
  <si>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</si>
  <si>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</si>
  <si>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</si>
  <si>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>Income Tax Rate used for gross- up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</si>
  <si>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</si>
  <si>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</si>
  <si>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</si>
  <si>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</si>
  <si>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</si>
  <si>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</si>
  <si>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</si>
  <si>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</si>
  <si>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</si>
  <si>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</si>
  <si>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</si>
  <si>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</si>
  <si>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</si>
  <si>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</si>
  <si>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</si>
  <si>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</si>
  <si>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</si>
  <si>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</si>
  <si>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</si>
  <si>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</si>
  <si>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</si>
  <si>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</si>
  <si>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</si>
  <si>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</si>
  <si>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</si>
  <si>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</si>
  <si>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</si>
  <si>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(positive numbers)</t>
  </si>
  <si>
    <t>Jan 1/05</t>
  </si>
  <si>
    <t>Dec 31/05</t>
  </si>
  <si>
    <t xml:space="preserve">     Contract services</t>
  </si>
  <si>
    <t xml:space="preserve">     Property costs</t>
  </si>
  <si>
    <t xml:space="preserve">     Other expenses</t>
  </si>
  <si>
    <t xml:space="preserve">     Communications costs</t>
  </si>
  <si>
    <t xml:space="preserve">     Allocated to capital</t>
  </si>
  <si>
    <t xml:space="preserve">     Recovery of regulatory assets</t>
  </si>
  <si>
    <t>Book loss of joint venture</t>
  </si>
  <si>
    <t xml:space="preserve">  Charitable donations</t>
  </si>
  <si>
    <t/>
  </si>
  <si>
    <t>Utility Name:  Brantford Power Inc.</t>
  </si>
  <si>
    <t xml:space="preserve">     Direct OM&amp;A</t>
  </si>
  <si>
    <t xml:space="preserve">     Indirect OM&amp;A</t>
  </si>
  <si>
    <t>Non-Wires</t>
  </si>
  <si>
    <t>&amp; Reg Asset</t>
  </si>
  <si>
    <t>(Issue #4) *</t>
  </si>
  <si>
    <t>* Issue #4 requires the exclusion of regulatory assets in the PILs calculations, BPI used column D to eliminate these</t>
  </si>
  <si>
    <t>PILs TAXES</t>
  </si>
  <si>
    <t>TAX RETURN RECONCILIATION (TAXREC 3)</t>
  </si>
  <si>
    <t xml:space="preserve">Shareholder-only Items should be shown on TAXREC 3 </t>
  </si>
  <si>
    <t>ITEMS ON WHICH TRUE-UP DOES NOT APPLY</t>
  </si>
  <si>
    <t>Utility Name: Brantford Power Inc.</t>
  </si>
  <si>
    <t>Version 2009.1</t>
  </si>
  <si>
    <t>Reporting period:  2001</t>
  </si>
  <si>
    <t>CCA adjustments</t>
  </si>
  <si>
    <t>CEC adjustments</t>
  </si>
  <si>
    <t xml:space="preserve">Gain on sale of non-utility eligible capital property </t>
  </si>
  <si>
    <t xml:space="preserve">Gain on sale of utility eligible capital property </t>
  </si>
  <si>
    <t>Loss from joint ventures or partnerships</t>
  </si>
  <si>
    <t>Loss on disposal of utility assets</t>
  </si>
  <si>
    <t>Loss on disposal of non-utility assets</t>
  </si>
  <si>
    <t>Depreciation and amortization adjustments</t>
  </si>
  <si>
    <t>Non-deductible meals</t>
  </si>
  <si>
    <t>Non-deductible club dues</t>
  </si>
  <si>
    <t>Non-deductible automobile costs</t>
  </si>
  <si>
    <t xml:space="preserve">Donations - amount per books </t>
  </si>
  <si>
    <t>Interest and penalties on unpaid taxes</t>
  </si>
  <si>
    <t>Management bonuses unpaid after 180 days of year end</t>
  </si>
  <si>
    <t>Imputed interest expense on Regulatory Assets</t>
  </si>
  <si>
    <t>Ontario capital tax adjustments</t>
  </si>
  <si>
    <t>Changes in Regulatory Asset balances</t>
  </si>
  <si>
    <t>Income from joint ventures or partnerships</t>
  </si>
  <si>
    <t>Total Additions on which true-up does not apply</t>
  </si>
  <si>
    <t>Gain on disposal of assets per financial statements</t>
  </si>
  <si>
    <t>Financing fee amorization - considered to be interest expense for PILs</t>
  </si>
  <si>
    <t>Imputed interest income on Regulatory Assets</t>
  </si>
  <si>
    <t>Donations - amount deductible for tax purposes</t>
  </si>
  <si>
    <t>Ontario capital tax adjustments to current or prior year</t>
  </si>
  <si>
    <t>Total Deductions on which true-up does not apply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</si>
</sst>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2" fillId="27" borderId="6" applyNumberFormat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4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3" xfId="0" applyNumberFormat="1" applyFill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3" xfId="0" applyNumberFormat="1" applyFill="1" applyBorder="1" applyAlignment="1">
      <alignment horizontal="center"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6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37" fontId="0" fillId="0" borderId="22" xfId="0" applyNumberFormat="1" applyBorder="1" applyAlignment="1">
      <alignment horizontal="center" vertical="top"/>
    </xf>
    <xf numFmtId="37" fontId="0" fillId="0" borderId="22" xfId="0" applyNumberFormat="1" applyFill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0" fillId="0" borderId="27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 vertical="top"/>
      <protection/>
    </xf>
    <xf numFmtId="0" fontId="0" fillId="0" borderId="29" xfId="0" applyBorder="1" applyAlignment="1" applyProtection="1">
      <alignment horizontal="center" vertical="top"/>
      <protection/>
    </xf>
    <xf numFmtId="3" fontId="0" fillId="0" borderId="29" xfId="0" applyNumberFormat="1" applyBorder="1" applyAlignment="1">
      <alignment vertical="top"/>
    </xf>
    <xf numFmtId="3" fontId="0" fillId="0" borderId="16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3" xfId="0" applyFont="1" applyFill="1" applyBorder="1" applyAlignment="1" applyProtection="1">
      <alignment horizontal="center"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3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6" xfId="0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0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23" xfId="0" applyFont="1" applyFill="1" applyBorder="1" applyAlignment="1">
      <alignment vertical="top"/>
    </xf>
    <xf numFmtId="0" fontId="0" fillId="40" borderId="16" xfId="0" applyFill="1" applyBorder="1" applyAlignment="1">
      <alignment horizontal="center"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1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37" borderId="4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23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>
      <alignment horizontal="right" vertical="top"/>
    </xf>
    <xf numFmtId="3" fontId="0" fillId="40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horizontal="right"/>
      <protection/>
    </xf>
    <xf numFmtId="3" fontId="0" fillId="36" borderId="44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40" borderId="13" xfId="0" applyNumberFormat="1" applyFill="1" applyBorder="1" applyAlignment="1">
      <alignment/>
    </xf>
    <xf numFmtId="172" fontId="0" fillId="36" borderId="13" xfId="0" applyNumberFormat="1" applyFill="1" applyBorder="1" applyAlignment="1" applyProtection="1">
      <alignment vertical="top"/>
      <protection/>
    </xf>
    <xf numFmtId="39" fontId="0" fillId="36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 applyProtection="1">
      <alignment/>
      <protection locked="0"/>
    </xf>
    <xf numFmtId="3" fontId="0" fillId="41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 applyProtection="1">
      <alignment vertical="top"/>
      <protection locked="0"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 applyProtection="1">
      <alignment vertical="top"/>
      <protection/>
    </xf>
    <xf numFmtId="3" fontId="0" fillId="0" borderId="23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0" borderId="13" xfId="0" applyNumberFormat="1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175" fontId="0" fillId="36" borderId="13" xfId="0" applyNumberFormat="1" applyFill="1" applyBorder="1" applyAlignment="1" applyProtection="1">
      <alignment vertical="top"/>
      <protection/>
    </xf>
    <xf numFmtId="175" fontId="0" fillId="36" borderId="13" xfId="0" applyNumberFormat="1" applyFill="1" applyBorder="1" applyAlignment="1" applyProtection="1">
      <alignment horizontal="right" vertical="top"/>
      <protection/>
    </xf>
    <xf numFmtId="173" fontId="0" fillId="36" borderId="13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9" applyNumberFormat="1" applyFont="1" applyFill="1" applyBorder="1" applyAlignment="1" applyProtection="1" quotePrefix="1">
      <alignment vertical="top"/>
      <protection/>
    </xf>
    <xf numFmtId="3" fontId="0" fillId="36" borderId="44" xfId="59" applyNumberFormat="1" applyFont="1" applyFill="1" applyBorder="1" applyAlignment="1" applyProtection="1" quotePrefix="1">
      <alignment vertical="top"/>
      <protection/>
    </xf>
    <xf numFmtId="3" fontId="0" fillId="40" borderId="13" xfId="0" applyNumberFormat="1" applyFill="1" applyBorder="1" applyAlignment="1" applyProtection="1">
      <alignment horizontal="right" vertical="top"/>
      <protection locked="0"/>
    </xf>
    <xf numFmtId="3" fontId="0" fillId="36" borderId="13" xfId="59" applyNumberFormat="1" applyFont="1" applyFill="1" applyBorder="1" applyAlignment="1" applyProtection="1">
      <alignment vertical="top"/>
      <protection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3" fontId="3" fillId="0" borderId="47" xfId="42" applyNumberFormat="1" applyFont="1" applyFill="1" applyBorder="1" applyAlignment="1" applyProtection="1">
      <alignment horizontal="center" vertical="top"/>
      <protection locked="0"/>
    </xf>
    <xf numFmtId="4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10" fontId="0" fillId="36" borderId="23" xfId="0" applyNumberFormat="1" applyFill="1" applyBorder="1" applyAlignment="1" applyProtection="1">
      <alignment horizontal="center" vertical="top"/>
      <protection locked="0"/>
    </xf>
    <xf numFmtId="10" fontId="0" fillId="36" borderId="52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8" xfId="0" applyNumberFormat="1" applyFill="1" applyBorder="1" applyAlignment="1" applyProtection="1">
      <alignment horizontal="center" vertical="top"/>
      <protection locked="0"/>
    </xf>
    <xf numFmtId="10" fontId="0" fillId="36" borderId="41" xfId="0" applyNumberFormat="1" applyFill="1" applyBorder="1" applyAlignment="1" applyProtection="1">
      <alignment horizontal="center" vertical="top"/>
      <protection locked="0"/>
    </xf>
    <xf numFmtId="178" fontId="0" fillId="36" borderId="23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78" fontId="0" fillId="40" borderId="23" xfId="0" applyNumberFormat="1" applyFill="1" applyBorder="1" applyAlignment="1" applyProtection="1">
      <alignment horizontal="center" vertical="top"/>
      <protection locked="0"/>
    </xf>
    <xf numFmtId="178" fontId="0" fillId="40" borderId="13" xfId="0" applyNumberFormat="1" applyFill="1" applyBorder="1" applyAlignment="1" applyProtection="1">
      <alignment horizontal="center" vertical="top"/>
      <protection locked="0"/>
    </xf>
    <xf numFmtId="10" fontId="0" fillId="40" borderId="13" xfId="0" applyNumberFormat="1" applyFill="1" applyBorder="1" applyAlignment="1" applyProtection="1">
      <alignment horizontal="center" vertical="top"/>
      <protection locked="0"/>
    </xf>
    <xf numFmtId="3" fontId="0" fillId="40" borderId="13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7" xfId="42" applyNumberFormat="1" applyFont="1" applyFill="1" applyBorder="1" applyAlignment="1" applyProtection="1">
      <alignment horizontal="center" vertical="top"/>
      <protection locked="0"/>
    </xf>
    <xf numFmtId="4" fontId="9" fillId="41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8" xfId="0" applyFont="1" applyFill="1" applyBorder="1" applyAlignment="1" applyProtection="1">
      <alignment horizontal="center" vertical="top"/>
      <protection locked="0"/>
    </xf>
    <xf numFmtId="3" fontId="3" fillId="41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3" fontId="3" fillId="41" borderId="53" xfId="42" applyNumberFormat="1" applyFont="1" applyFill="1" applyBorder="1" applyAlignment="1" applyProtection="1">
      <alignment horizontal="center" vertical="top"/>
      <protection locked="0"/>
    </xf>
    <xf numFmtId="0" fontId="9" fillId="41" borderId="51" xfId="0" applyFont="1" applyFill="1" applyBorder="1" applyAlignment="1" applyProtection="1">
      <alignment horizontal="center" vertical="center" wrapText="1"/>
      <protection locked="0"/>
    </xf>
    <xf numFmtId="3" fontId="3" fillId="37" borderId="47" xfId="42" applyNumberFormat="1" applyFont="1" applyFill="1" applyBorder="1" applyAlignment="1" applyProtection="1">
      <alignment horizontal="center" vertical="top"/>
      <protection locked="0"/>
    </xf>
    <xf numFmtId="4" fontId="9" fillId="37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8" xfId="0" applyFont="1" applyFill="1" applyBorder="1" applyAlignment="1" applyProtection="1">
      <alignment horizontal="center" vertical="top"/>
      <protection locked="0"/>
    </xf>
    <xf numFmtId="3" fontId="3" fillId="37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0" fontId="9" fillId="37" borderId="51" xfId="0" applyFont="1" applyFill="1" applyBorder="1" applyAlignment="1" applyProtection="1">
      <alignment horizontal="center" vertical="center" wrapText="1"/>
      <protection locked="0"/>
    </xf>
    <xf numFmtId="3" fontId="0" fillId="36" borderId="13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39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3" fillId="36" borderId="47" xfId="0" applyFont="1" applyFill="1" applyBorder="1" applyAlignment="1">
      <alignment horizontal="center" vertical="top"/>
    </xf>
    <xf numFmtId="0" fontId="3" fillId="36" borderId="48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3" fontId="0" fillId="41" borderId="17" xfId="0" applyNumberFormat="1" applyFill="1" applyBorder="1" applyAlignment="1">
      <alignment vertical="top"/>
    </xf>
    <xf numFmtId="0" fontId="0" fillId="0" borderId="55" xfId="0" applyBorder="1" applyAlignment="1">
      <alignment horizontal="center" vertical="top"/>
    </xf>
    <xf numFmtId="0" fontId="0" fillId="0" borderId="55" xfId="0" applyBorder="1" applyAlignment="1">
      <alignment vertical="top"/>
    </xf>
    <xf numFmtId="37" fontId="0" fillId="36" borderId="13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8" fillId="0" borderId="24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37" fontId="0" fillId="0" borderId="13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4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18" fillId="0" borderId="0" xfId="0" applyFont="1" applyAlignment="1">
      <alignment horizontal="center" vertical="top"/>
    </xf>
    <xf numFmtId="3" fontId="0" fillId="41" borderId="13" xfId="0" applyNumberFormat="1" applyFill="1" applyBorder="1" applyAlignment="1" quotePrefix="1">
      <alignment horizontal="right" vertical="top"/>
    </xf>
    <xf numFmtId="0" fontId="0" fillId="0" borderId="0" xfId="0" applyFont="1" applyFill="1" applyBorder="1" applyAlignment="1" quotePrefix="1">
      <alignment vertical="top"/>
    </xf>
    <xf numFmtId="0" fontId="0" fillId="0" borderId="0" xfId="0" applyFont="1" applyAlignment="1" quotePrefix="1">
      <alignment vertical="top"/>
    </xf>
    <xf numFmtId="0" fontId="0" fillId="0" borderId="0" xfId="0" applyAlignment="1" quotePrefix="1">
      <alignment vertical="top"/>
    </xf>
    <xf numFmtId="0" fontId="0" fillId="0" borderId="0" xfId="0" applyFont="1" applyAlignment="1" quotePrefix="1">
      <alignment vertical="top" wrapText="1"/>
    </xf>
    <xf numFmtId="0" fontId="4" fillId="0" borderId="0" xfId="0" applyFont="1" applyBorder="1" applyAlignment="1" quotePrefix="1">
      <alignment vertical="top" wrapText="1"/>
    </xf>
    <xf numFmtId="0" fontId="0" fillId="42" borderId="0" xfId="0" applyFont="1" applyFill="1" applyAlignment="1" applyProtection="1" quotePrefix="1">
      <alignment horizontal="center" vertical="top"/>
      <protection locked="0"/>
    </xf>
    <xf numFmtId="0" fontId="0" fillId="42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ill="1" applyAlignment="1" quotePrefix="1">
      <alignment horizontal="center" vertical="top"/>
    </xf>
    <xf numFmtId="10" fontId="0" fillId="40" borderId="23" xfId="63" applyNumberFormat="1" applyFill="1" applyBorder="1" applyAlignment="1" applyProtection="1">
      <alignment horizontal="center" vertical="top"/>
      <protection locked="0"/>
    </xf>
    <xf numFmtId="10" fontId="0" fillId="40" borderId="52" xfId="63" applyNumberFormat="1" applyFill="1" applyBorder="1" applyAlignment="1" applyProtection="1">
      <alignment horizontal="center" vertical="top"/>
      <protection locked="0"/>
    </xf>
    <xf numFmtId="10" fontId="0" fillId="40" borderId="17" xfId="63" applyNumberFormat="1" applyFill="1" applyBorder="1" applyAlignment="1" applyProtection="1">
      <alignment horizontal="center" vertical="top"/>
      <protection locked="0"/>
    </xf>
    <xf numFmtId="10" fontId="0" fillId="40" borderId="10" xfId="63" applyNumberFormat="1" applyFill="1" applyBorder="1" applyAlignment="1" applyProtection="1">
      <alignment horizontal="center" vertical="top"/>
      <protection locked="0"/>
    </xf>
    <xf numFmtId="0" fontId="3" fillId="0" borderId="0" xfId="63" applyFont="1" applyBorder="1">
      <alignment vertical="top"/>
      <protection locked="0"/>
    </xf>
    <xf numFmtId="0" fontId="0" fillId="0" borderId="0" xfId="63">
      <alignment vertical="top"/>
      <protection locked="0"/>
    </xf>
    <xf numFmtId="0" fontId="3" fillId="0" borderId="0" xfId="63" applyFont="1">
      <alignment vertical="top"/>
      <protection locked="0"/>
    </xf>
    <xf numFmtId="0" fontId="3" fillId="0" borderId="0" xfId="63" applyFont="1" applyAlignment="1">
      <alignment horizontal="right" vertical="top"/>
      <protection locked="0"/>
    </xf>
    <xf numFmtId="0" fontId="24" fillId="0" borderId="0" xfId="63" applyFont="1">
      <alignment vertical="top"/>
      <protection locked="0"/>
    </xf>
    <xf numFmtId="0" fontId="0" fillId="0" borderId="0" xfId="63" applyAlignment="1">
      <alignment horizontal="center" vertical="top"/>
      <protection locked="0"/>
    </xf>
    <xf numFmtId="0" fontId="3" fillId="0" borderId="0" xfId="63" applyFont="1" applyAlignment="1">
      <alignment horizontal="center" vertical="top"/>
      <protection locked="0"/>
    </xf>
    <xf numFmtId="0" fontId="25" fillId="0" borderId="0" xfId="63" applyFont="1">
      <alignment vertical="top"/>
      <protection locked="0"/>
    </xf>
    <xf numFmtId="0" fontId="0" fillId="0" borderId="0" xfId="63" applyFont="1">
      <alignment vertical="top"/>
      <protection locked="0"/>
    </xf>
    <xf numFmtId="0" fontId="3" fillId="0" borderId="0" xfId="63" applyFont="1" applyFill="1">
      <alignment vertical="top"/>
      <protection locked="0"/>
    </xf>
    <xf numFmtId="0" fontId="0" fillId="0" borderId="0" xfId="63" applyBorder="1" applyAlignment="1">
      <alignment horizontal="center" vertical="top"/>
      <protection locked="0"/>
    </xf>
    <xf numFmtId="0" fontId="0" fillId="0" borderId="0" xfId="63" applyBorder="1" applyAlignment="1">
      <alignment horizontal="right" vertical="top"/>
      <protection locked="0"/>
    </xf>
    <xf numFmtId="0" fontId="0" fillId="36" borderId="13" xfId="63" applyFill="1" applyBorder="1" applyAlignment="1" applyProtection="1">
      <alignment horizontal="right" vertical="top"/>
      <protection/>
    </xf>
    <xf numFmtId="0" fontId="0" fillId="0" borderId="0" xfId="63" applyBorder="1" applyAlignment="1" applyProtection="1">
      <alignment horizontal="right" vertical="top"/>
      <protection/>
    </xf>
    <xf numFmtId="3" fontId="0" fillId="0" borderId="15" xfId="63" applyNumberFormat="1" applyFill="1" applyBorder="1" applyAlignment="1" applyProtection="1">
      <alignment horizontal="right" vertical="top"/>
      <protection/>
    </xf>
    <xf numFmtId="0" fontId="0" fillId="0" borderId="8" xfId="63" applyBorder="1">
      <alignment vertical="top"/>
      <protection locked="0"/>
    </xf>
    <xf numFmtId="0" fontId="0" fillId="0" borderId="8" xfId="63" applyBorder="1" applyAlignment="1">
      <alignment horizontal="center" vertical="top"/>
      <protection locked="0"/>
    </xf>
    <xf numFmtId="0" fontId="0" fillId="0" borderId="8" xfId="63" applyBorder="1" applyAlignment="1">
      <alignment horizontal="right" vertical="top"/>
      <protection locked="0"/>
    </xf>
    <xf numFmtId="3" fontId="0" fillId="0" borderId="0" xfId="63" applyNumberFormat="1" applyFill="1" applyBorder="1" applyAlignment="1" applyProtection="1">
      <alignment horizontal="right" vertical="top"/>
      <protection/>
    </xf>
    <xf numFmtId="0" fontId="6" fillId="0" borderId="0" xfId="63" applyFont="1" applyBorder="1">
      <alignment vertical="top"/>
      <protection locked="0"/>
    </xf>
    <xf numFmtId="0" fontId="0" fillId="0" borderId="0" xfId="63" applyAlignment="1">
      <alignment horizontal="right" vertical="top"/>
      <protection locked="0"/>
    </xf>
    <xf numFmtId="0" fontId="0" fillId="0" borderId="0" xfId="63" applyFont="1" applyAlignment="1">
      <alignment vertical="top" wrapText="1"/>
      <protection locked="0"/>
    </xf>
    <xf numFmtId="3" fontId="0" fillId="40" borderId="13" xfId="63" applyNumberFormat="1" applyFill="1" applyBorder="1" applyAlignment="1">
      <alignment/>
      <protection locked="0"/>
    </xf>
    <xf numFmtId="3" fontId="0" fillId="36" borderId="13" xfId="63" applyNumberFormat="1" applyFill="1" applyBorder="1" applyAlignment="1" applyProtection="1">
      <alignment/>
      <protection/>
    </xf>
    <xf numFmtId="3" fontId="0" fillId="41" borderId="13" xfId="63" applyNumberFormat="1" applyFill="1" applyBorder="1" applyAlignment="1">
      <alignment/>
      <protection locked="0"/>
    </xf>
    <xf numFmtId="0" fontId="3" fillId="0" borderId="0" xfId="63" applyFont="1" applyAlignment="1">
      <alignment vertical="top" wrapText="1"/>
      <protection locked="0"/>
    </xf>
    <xf numFmtId="0" fontId="4" fillId="0" borderId="0" xfId="63" applyFont="1" applyAlignment="1">
      <alignment vertical="top" wrapText="1"/>
      <protection locked="0"/>
    </xf>
    <xf numFmtId="3" fontId="0" fillId="40" borderId="13" xfId="63" applyNumberFormat="1" applyFill="1" applyBorder="1">
      <alignment vertical="top"/>
      <protection locked="0"/>
    </xf>
    <xf numFmtId="3" fontId="0" fillId="36" borderId="14" xfId="63" applyNumberFormat="1" applyFill="1" applyBorder="1" applyProtection="1">
      <alignment vertical="top"/>
      <protection/>
    </xf>
    <xf numFmtId="0" fontId="26" fillId="0" borderId="0" xfId="63" applyFont="1" applyAlignment="1">
      <alignment horizontal="left" vertical="top" wrapText="1"/>
      <protection locked="0"/>
    </xf>
    <xf numFmtId="3" fontId="0" fillId="36" borderId="13" xfId="63" applyNumberFormat="1" applyFill="1" applyBorder="1" applyProtection="1">
      <alignment vertical="top"/>
      <protection/>
    </xf>
    <xf numFmtId="0" fontId="0" fillId="0" borderId="0" xfId="63" applyFont="1" applyFill="1" applyBorder="1" applyAlignment="1">
      <alignment vertical="top" wrapText="1"/>
      <protection locked="0"/>
    </xf>
    <xf numFmtId="0" fontId="3" fillId="0" borderId="0" xfId="63" applyFont="1" applyFill="1" applyBorder="1" applyAlignment="1">
      <alignment vertical="top" wrapText="1"/>
      <protection locked="0"/>
    </xf>
    <xf numFmtId="0" fontId="26" fillId="0" borderId="0" xfId="63" applyFont="1" applyAlignment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37" borderId="0" xfId="0" applyFont="1" applyFill="1" applyAlignment="1">
      <alignment vertical="top"/>
    </xf>
    <xf numFmtId="0" fontId="8" fillId="36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10" fontId="8" fillId="36" borderId="44" xfId="0" applyNumberFormat="1" applyFont="1" applyFill="1" applyBorder="1" applyAlignment="1" applyProtection="1">
      <alignment horizontal="center" vertical="center"/>
      <protection locked="0"/>
    </xf>
    <xf numFmtId="0" fontId="8" fillId="36" borderId="45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8" fillId="36" borderId="44" xfId="0" applyFont="1" applyFill="1" applyBorder="1" applyAlignment="1" applyProtection="1">
      <alignment horizontal="center" vertical="center"/>
      <protection locked="0"/>
    </xf>
    <xf numFmtId="0" fontId="19" fillId="35" borderId="12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518</v>
      </c>
      <c r="C1" s="8"/>
      <c r="E1" s="2" t="s">
        <v>455</v>
      </c>
      <c r="H1" s="8"/>
    </row>
    <row r="2" spans="1:8" ht="12.75">
      <c r="A2" s="2" t="s">
        <v>128</v>
      </c>
      <c r="B2" s="8"/>
      <c r="C2" s="8"/>
      <c r="E2" s="27" t="s">
        <v>429</v>
      </c>
      <c r="H2" s="8"/>
    </row>
    <row r="3" spans="1:8" ht="12.75">
      <c r="A3" s="467" t="s">
        <v>557</v>
      </c>
      <c r="C3" s="8"/>
      <c r="D3" s="462" t="s">
        <v>514</v>
      </c>
      <c r="E3" s="8"/>
      <c r="F3" s="8"/>
      <c r="G3" s="8"/>
      <c r="H3" s="8"/>
    </row>
    <row r="4" spans="1:8" ht="12.75">
      <c r="A4" s="467" t="s">
        <v>451</v>
      </c>
      <c r="C4" s="8"/>
      <c r="D4" s="463" t="s">
        <v>515</v>
      </c>
      <c r="E4" s="464"/>
      <c r="H4" s="8"/>
    </row>
    <row r="5" spans="1:8" ht="12.75">
      <c r="A5" s="55"/>
      <c r="C5" s="8"/>
      <c r="D5" s="465" t="s">
        <v>516</v>
      </c>
      <c r="E5" s="423"/>
      <c r="H5" s="8"/>
    </row>
    <row r="6" spans="1:8" ht="12.75">
      <c r="A6" s="2" t="s">
        <v>191</v>
      </c>
      <c r="B6" s="420">
        <v>365</v>
      </c>
      <c r="C6" s="8" t="s">
        <v>192</v>
      </c>
      <c r="D6" s="27"/>
      <c r="H6" s="8"/>
    </row>
    <row r="7" spans="1:8" ht="13.5" thickBot="1">
      <c r="A7" s="55" t="s">
        <v>341</v>
      </c>
      <c r="B7" s="267">
        <v>365</v>
      </c>
      <c r="C7" s="8" t="s">
        <v>192</v>
      </c>
      <c r="D7" s="8"/>
      <c r="E7" s="8"/>
      <c r="F7" s="8"/>
      <c r="G7" s="8"/>
      <c r="H7" s="8"/>
    </row>
    <row r="8" spans="1:16" ht="13.5" thickTop="1">
      <c r="A8" s="7"/>
      <c r="B8" s="56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129</v>
      </c>
      <c r="B9" s="3"/>
      <c r="C9" s="26"/>
      <c r="D9" s="3"/>
      <c r="E9" s="3"/>
      <c r="F9" s="3"/>
      <c r="G9" s="3"/>
      <c r="H9" s="3"/>
    </row>
    <row r="10" spans="1:8" ht="12.75">
      <c r="A10" s="3" t="s">
        <v>130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131</v>
      </c>
      <c r="C11" s="26"/>
      <c r="D11" s="26"/>
      <c r="E11" s="3"/>
      <c r="F11" s="3"/>
      <c r="G11" s="3"/>
      <c r="H11" s="3"/>
    </row>
    <row r="12" spans="1:8" ht="13.5" thickBot="1">
      <c r="A12" s="3" t="s">
        <v>132</v>
      </c>
      <c r="C12" s="26" t="s">
        <v>133</v>
      </c>
      <c r="D12" s="276" t="s">
        <v>471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134</v>
      </c>
      <c r="C14" s="26"/>
      <c r="D14" s="26"/>
      <c r="E14" s="3"/>
      <c r="F14" s="3"/>
      <c r="G14" s="3"/>
    </row>
    <row r="15" spans="1:4" ht="13.5" customHeight="1" thickBot="1">
      <c r="A15" s="3" t="s">
        <v>135</v>
      </c>
      <c r="C15" s="8" t="s">
        <v>133</v>
      </c>
      <c r="D15" s="276" t="s">
        <v>472</v>
      </c>
    </row>
    <row r="16" spans="1:4" ht="7.5" customHeight="1">
      <c r="A16" s="51"/>
      <c r="C16" s="8"/>
      <c r="D16" s="8"/>
    </row>
    <row r="17" spans="1:4" ht="13.5" thickBot="1">
      <c r="A17" s="51" t="s">
        <v>252</v>
      </c>
      <c r="C17" s="8" t="s">
        <v>133</v>
      </c>
      <c r="D17" s="276" t="s">
        <v>472</v>
      </c>
    </row>
    <row r="18" spans="1:4" ht="15" customHeight="1">
      <c r="A18" s="421" t="s">
        <v>397</v>
      </c>
      <c r="C18" s="8"/>
      <c r="D18" s="8"/>
    </row>
    <row r="19" spans="1:4" ht="15" customHeight="1">
      <c r="A19" s="519" t="s">
        <v>398</v>
      </c>
      <c r="B19" s="8" t="s">
        <v>395</v>
      </c>
      <c r="C19" s="8" t="s">
        <v>133</v>
      </c>
      <c r="D19" s="420" t="s">
        <v>471</v>
      </c>
    </row>
    <row r="20" spans="1:4" ht="13.5" thickBot="1">
      <c r="A20" s="520"/>
      <c r="B20" s="8" t="s">
        <v>396</v>
      </c>
      <c r="C20" s="8" t="s">
        <v>133</v>
      </c>
      <c r="D20" s="276" t="s">
        <v>472</v>
      </c>
    </row>
    <row r="21" spans="1:4" ht="12.75">
      <c r="A21" s="519" t="s">
        <v>519</v>
      </c>
      <c r="B21" s="8" t="s">
        <v>395</v>
      </c>
      <c r="C21" s="8"/>
      <c r="D21" s="443"/>
    </row>
    <row r="22" spans="1:4" ht="12.75">
      <c r="A22" s="519"/>
      <c r="B22" s="8" t="s">
        <v>396</v>
      </c>
      <c r="C22" s="8"/>
      <c r="D22" s="443"/>
    </row>
    <row r="23" spans="1:4" ht="7.5" customHeight="1">
      <c r="A23" s="51"/>
      <c r="C23" s="8"/>
      <c r="D23" s="420"/>
    </row>
    <row r="24" spans="1:4" ht="12.75">
      <c r="A24" s="51" t="s">
        <v>297</v>
      </c>
      <c r="C24" s="8" t="s">
        <v>298</v>
      </c>
      <c r="D24" s="444" t="s">
        <v>452</v>
      </c>
    </row>
    <row r="25" ht="6.75" customHeight="1" thickBot="1">
      <c r="A25" s="12"/>
    </row>
    <row r="26" spans="1:5" ht="12.75">
      <c r="A26" s="273" t="s">
        <v>136</v>
      </c>
      <c r="C26" s="8"/>
      <c r="E26" s="451" t="s">
        <v>378</v>
      </c>
    </row>
    <row r="27" spans="1:5" ht="12.75">
      <c r="A27" s="274" t="s">
        <v>137</v>
      </c>
      <c r="C27" s="8"/>
      <c r="E27" s="452" t="s">
        <v>379</v>
      </c>
    </row>
    <row r="28" spans="1:3" ht="12.75">
      <c r="A28" s="274" t="s">
        <v>138</v>
      </c>
      <c r="C28" s="44"/>
    </row>
    <row r="29" ht="12.75">
      <c r="A29" s="275" t="s">
        <v>139</v>
      </c>
    </row>
    <row r="30" ht="12.75">
      <c r="A30" s="41"/>
    </row>
    <row r="31" spans="1:8" ht="12.75">
      <c r="A31" t="s">
        <v>373</v>
      </c>
      <c r="D31" s="441">
        <v>46980726</v>
      </c>
      <c r="H31" s="5"/>
    </row>
    <row r="32" ht="6" customHeight="1"/>
    <row r="33" spans="1:8" ht="12.75">
      <c r="A33" t="s">
        <v>140</v>
      </c>
      <c r="D33" s="442">
        <v>0.5</v>
      </c>
      <c r="F33" t="s">
        <v>169</v>
      </c>
      <c r="H33" s="45"/>
    </row>
    <row r="34" spans="6:8" ht="6" customHeight="1">
      <c r="F34" t="s">
        <v>169</v>
      </c>
      <c r="H34" s="40"/>
    </row>
    <row r="35" spans="1:10" ht="12.75">
      <c r="A35" t="s">
        <v>141</v>
      </c>
      <c r="D35" s="268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142</v>
      </c>
      <c r="D37" s="442">
        <v>0.0988</v>
      </c>
      <c r="H37" s="47"/>
    </row>
    <row r="38" ht="4.5" customHeight="1">
      <c r="H38" s="40"/>
    </row>
    <row r="39" spans="1:8" ht="12.75">
      <c r="A39" t="s">
        <v>143</v>
      </c>
      <c r="D39" s="442">
        <v>0.0725</v>
      </c>
      <c r="H39" s="47"/>
    </row>
    <row r="40" ht="6" customHeight="1">
      <c r="H40" s="40"/>
    </row>
    <row r="41" spans="1:8" ht="12.75">
      <c r="A41" t="s">
        <v>144</v>
      </c>
      <c r="D41" s="269">
        <f>D31*((D33*D37)+(D35*D39))</f>
        <v>4023899.1819</v>
      </c>
      <c r="H41" s="46"/>
    </row>
    <row r="42" spans="4:8" ht="6" customHeight="1">
      <c r="D42" s="28"/>
      <c r="H42" s="46"/>
    </row>
    <row r="43" spans="1:11" ht="12.75">
      <c r="A43" t="s">
        <v>145</v>
      </c>
      <c r="D43" s="445">
        <v>0</v>
      </c>
      <c r="E43" s="419">
        <f>D43</f>
        <v>0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146</v>
      </c>
      <c r="D45" s="269">
        <f>D41-D43</f>
        <v>4023899.1819</v>
      </c>
      <c r="H45" s="46"/>
      <c r="J45" s="5"/>
      <c r="K45" s="5"/>
    </row>
    <row r="46" spans="1:11" ht="12.75">
      <c r="A46" s="2" t="s">
        <v>374</v>
      </c>
      <c r="D46" s="46"/>
      <c r="H46" s="46"/>
      <c r="J46" s="5"/>
      <c r="K46" s="5"/>
    </row>
    <row r="47" spans="1:11" ht="12.75">
      <c r="A47" t="s">
        <v>465</v>
      </c>
      <c r="D47" s="446">
        <f>+D45/3</f>
        <v>1341299.7273000001</v>
      </c>
      <c r="E47" s="419">
        <f aca="true" t="shared" si="0" ref="E47:E53">D47</f>
        <v>1341299.7273000001</v>
      </c>
      <c r="H47" s="46"/>
      <c r="J47" s="5"/>
      <c r="K47" s="5"/>
    </row>
    <row r="48" spans="1:11" ht="12.75">
      <c r="A48" t="s">
        <v>466</v>
      </c>
      <c r="D48" s="446">
        <f>+D45/3</f>
        <v>1341299.7273000001</v>
      </c>
      <c r="E48" s="419">
        <f t="shared" si="0"/>
        <v>1341299.7273000001</v>
      </c>
      <c r="F48" s="28"/>
      <c r="H48" s="46"/>
      <c r="J48" s="5"/>
      <c r="K48" s="5"/>
    </row>
    <row r="49" spans="1:11" ht="12.75">
      <c r="A49" t="s">
        <v>464</v>
      </c>
      <c r="D49" s="446"/>
      <c r="E49" s="419"/>
      <c r="F49" s="28"/>
      <c r="H49" s="46"/>
      <c r="J49" s="5"/>
      <c r="K49" s="5"/>
    </row>
    <row r="50" spans="1:11" ht="12.75">
      <c r="A50" t="s">
        <v>375</v>
      </c>
      <c r="D50" s="447"/>
      <c r="E50" s="419">
        <f t="shared" si="0"/>
        <v>0</v>
      </c>
      <c r="F50" s="28"/>
      <c r="H50" s="46"/>
      <c r="J50" s="5"/>
      <c r="K50" s="5"/>
    </row>
    <row r="51" spans="1:11" ht="12.75">
      <c r="A51" t="s">
        <v>473</v>
      </c>
      <c r="D51" s="447">
        <v>1341300</v>
      </c>
      <c r="E51" s="419">
        <f t="shared" si="0"/>
        <v>1341300</v>
      </c>
      <c r="F51" s="28"/>
      <c r="H51" s="46"/>
      <c r="J51" s="5"/>
      <c r="K51" s="5"/>
    </row>
    <row r="52" spans="1:11" ht="12.75">
      <c r="A52" t="s">
        <v>467</v>
      </c>
      <c r="D52" s="445">
        <v>143900</v>
      </c>
      <c r="E52" s="419">
        <f t="shared" si="0"/>
        <v>143900</v>
      </c>
      <c r="H52" s="46"/>
      <c r="J52" s="5"/>
      <c r="K52" s="5"/>
    </row>
    <row r="53" spans="4:11" ht="12.75">
      <c r="D53" s="445"/>
      <c r="E53" s="419">
        <f t="shared" si="0"/>
        <v>0</v>
      </c>
      <c r="H53" s="46"/>
      <c r="J53" s="5"/>
      <c r="K53" s="5"/>
    </row>
    <row r="54" spans="1:11" ht="12.75">
      <c r="A54" s="2" t="s">
        <v>376</v>
      </c>
      <c r="E54" s="272">
        <f>SUM(E43:E53)</f>
        <v>4167799.4546000003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147</v>
      </c>
      <c r="B56" s="5"/>
      <c r="C56" s="5"/>
      <c r="D56" s="270">
        <f>D31*D33</f>
        <v>23490363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148</v>
      </c>
      <c r="B58" s="5"/>
      <c r="C58" s="5"/>
      <c r="D58" s="270">
        <f>D56*D37</f>
        <v>2320847.8644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149</v>
      </c>
      <c r="B60" s="5"/>
      <c r="C60" s="5"/>
      <c r="D60" s="270">
        <f>D31*D35</f>
        <v>23490363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394</v>
      </c>
      <c r="B62" s="5"/>
      <c r="C62" s="5"/>
      <c r="D62" s="270">
        <f>D60*D39</f>
        <v>1703051.3175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377</v>
      </c>
      <c r="B64" s="5"/>
      <c r="C64" s="5"/>
      <c r="D64" s="271">
        <f>IF(D41&gt;0,(((D43+D47)/D41)*D62),0)</f>
        <v>567683.7725000001</v>
      </c>
      <c r="F64" s="5"/>
      <c r="H64" s="38"/>
      <c r="J64" s="5"/>
      <c r="K64" s="5"/>
    </row>
    <row r="65" spans="1:11" ht="12.75">
      <c r="A65" s="39" t="s">
        <v>469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453</v>
      </c>
      <c r="B66" s="5"/>
      <c r="C66" s="5"/>
      <c r="D66" s="271">
        <f>IF(D41&gt;0,(((D43+D47+D48)/D41)*D62),0)</f>
        <v>1135367.5450000002</v>
      </c>
      <c r="F66" s="5"/>
      <c r="H66" s="38"/>
      <c r="J66" s="5"/>
      <c r="K66" s="5"/>
    </row>
    <row r="67" spans="1:11" ht="12.75">
      <c r="A67" s="39" t="s">
        <v>470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468</v>
      </c>
      <c r="B68" s="5"/>
      <c r="C68" s="5"/>
      <c r="D68" s="271">
        <f>D62</f>
        <v>1703051.3175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95"/>
      <c r="F70" s="5"/>
      <c r="H70" s="40"/>
      <c r="J70" s="5"/>
    </row>
    <row r="71" spans="1:8" ht="12.75">
      <c r="A71" s="95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/>
  <pageMargins left="0.354330708661417" right="0.0393700787401575" top="0.15748031496063" bottom="0.236220472440945" header="0.511811023622047" footer="0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PageLayoutView="0" workbookViewId="0" topLeftCell="A166">
      <selection activeCell="D68" sqref="D6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17" t="str">
        <f>REGINFO!A1</f>
        <v>SIMPIL RRR FILING</v>
      </c>
      <c r="B1" s="218" t="s">
        <v>193</v>
      </c>
      <c r="C1" s="219" t="s">
        <v>41</v>
      </c>
      <c r="D1" s="220"/>
      <c r="E1" s="220"/>
      <c r="F1" s="220"/>
      <c r="G1" s="221"/>
      <c r="H1" s="221"/>
      <c r="I1" s="222" t="s">
        <v>30</v>
      </c>
      <c r="J1" s="223" t="s">
        <v>30</v>
      </c>
      <c r="K1" s="224" t="s">
        <v>30</v>
      </c>
      <c r="L1" s="225"/>
    </row>
    <row r="2" spans="1:12" ht="12.75">
      <c r="A2" s="226" t="s">
        <v>114</v>
      </c>
      <c r="B2" s="227"/>
      <c r="C2" s="228" t="s">
        <v>42</v>
      </c>
      <c r="D2" s="229"/>
      <c r="E2" s="229"/>
      <c r="F2" s="229"/>
      <c r="G2" s="230"/>
      <c r="H2" s="230"/>
      <c r="I2" s="231" t="s">
        <v>31</v>
      </c>
      <c r="J2" s="232" t="s">
        <v>31</v>
      </c>
      <c r="K2" s="196" t="s">
        <v>31</v>
      </c>
      <c r="L2" s="233"/>
    </row>
    <row r="3" spans="1:12" ht="12.75">
      <c r="A3" s="226" t="s">
        <v>113</v>
      </c>
      <c r="B3" s="234"/>
      <c r="C3" s="235"/>
      <c r="D3" s="229"/>
      <c r="E3" s="229"/>
      <c r="F3" s="229"/>
      <c r="G3" s="230"/>
      <c r="H3" s="230"/>
      <c r="I3" s="152" t="s">
        <v>28</v>
      </c>
      <c r="J3" s="236" t="s">
        <v>28</v>
      </c>
      <c r="K3" s="152"/>
      <c r="L3" s="233"/>
    </row>
    <row r="4" spans="1:12" ht="12.75">
      <c r="A4" s="237" t="s">
        <v>49</v>
      </c>
      <c r="B4" s="238"/>
      <c r="C4" s="235"/>
      <c r="D4" s="230"/>
      <c r="E4" s="230"/>
      <c r="F4" s="230"/>
      <c r="G4" s="230"/>
      <c r="H4" s="230"/>
      <c r="I4" s="152" t="s">
        <v>335</v>
      </c>
      <c r="J4" s="236" t="s">
        <v>29</v>
      </c>
      <c r="K4" s="152" t="s">
        <v>45</v>
      </c>
      <c r="L4" s="233"/>
    </row>
    <row r="5" spans="1:12" ht="12.75">
      <c r="A5" s="226" t="str">
        <f>REGINFO!E2</f>
        <v>RRR # 2.1.8</v>
      </c>
      <c r="B5" s="238"/>
      <c r="C5" s="235"/>
      <c r="D5" s="230"/>
      <c r="E5" s="230"/>
      <c r="F5" s="230"/>
      <c r="G5" s="230"/>
      <c r="H5" s="230"/>
      <c r="I5" s="152"/>
      <c r="J5" s="236"/>
      <c r="K5" s="196" t="str">
        <f>REGINFO!E1</f>
        <v>Version 2005.1</v>
      </c>
      <c r="L5" s="233"/>
    </row>
    <row r="6" spans="1:12" ht="13.5" thickBot="1">
      <c r="A6" s="226"/>
      <c r="B6" s="238"/>
      <c r="C6" s="235" t="s">
        <v>32</v>
      </c>
      <c r="D6" s="229"/>
      <c r="E6" s="229"/>
      <c r="F6" s="229"/>
      <c r="G6" s="230"/>
      <c r="H6" s="230"/>
      <c r="I6" s="235" t="s">
        <v>32</v>
      </c>
      <c r="J6" s="236"/>
      <c r="K6" s="235" t="s">
        <v>32</v>
      </c>
      <c r="L6" s="233"/>
    </row>
    <row r="7" spans="1:12" ht="13.5" thickTop="1">
      <c r="A7" s="468" t="str">
        <f>REGINFO!A3</f>
        <v>Utility Name:  Brantford Power Inc.</v>
      </c>
      <c r="B7" s="239"/>
      <c r="C7" s="240"/>
      <c r="D7" s="241"/>
      <c r="E7" s="241"/>
      <c r="F7" s="241"/>
      <c r="G7" s="242"/>
      <c r="H7" s="242"/>
      <c r="I7" s="243"/>
      <c r="J7" s="244"/>
      <c r="K7" s="245"/>
      <c r="L7" s="246"/>
    </row>
    <row r="8" spans="1:16" ht="12.75">
      <c r="A8" s="468" t="str">
        <f>REGINFO!A4</f>
        <v>Reporting period:   2005</v>
      </c>
      <c r="B8" s="238"/>
      <c r="C8" s="247"/>
      <c r="D8" s="229"/>
      <c r="E8" s="229"/>
      <c r="F8" s="229"/>
      <c r="G8" s="230"/>
      <c r="H8" s="230"/>
      <c r="I8" s="152"/>
      <c r="J8" s="236"/>
      <c r="K8" s="196" t="s">
        <v>156</v>
      </c>
      <c r="L8" s="233"/>
      <c r="N8" s="53" t="s">
        <v>194</v>
      </c>
      <c r="O8" s="53"/>
      <c r="P8" s="53"/>
    </row>
    <row r="9" spans="1:12" ht="12.75">
      <c r="A9" s="226" t="s">
        <v>191</v>
      </c>
      <c r="B9" s="448">
        <f>REGINFO!B6</f>
        <v>365</v>
      </c>
      <c r="C9" s="248" t="s">
        <v>192</v>
      </c>
      <c r="D9" s="229"/>
      <c r="E9" s="229"/>
      <c r="F9" s="229"/>
      <c r="G9" s="230"/>
      <c r="H9" s="230"/>
      <c r="I9" s="152"/>
      <c r="J9" s="236"/>
      <c r="K9" s="196" t="s">
        <v>159</v>
      </c>
      <c r="L9" s="233"/>
    </row>
    <row r="10" spans="1:12" ht="12.75">
      <c r="A10" s="226" t="s">
        <v>341</v>
      </c>
      <c r="B10" s="448">
        <f>REGINFO!B7</f>
        <v>365</v>
      </c>
      <c r="C10" s="248" t="s">
        <v>192</v>
      </c>
      <c r="D10" s="229"/>
      <c r="E10" s="229"/>
      <c r="F10" s="229"/>
      <c r="G10" s="230"/>
      <c r="H10" s="230"/>
      <c r="I10" s="249"/>
      <c r="J10" s="236"/>
      <c r="K10" s="250" t="s">
        <v>157</v>
      </c>
      <c r="L10" s="233"/>
    </row>
    <row r="11" spans="1:12" ht="12.75">
      <c r="A11" s="168"/>
      <c r="B11" s="135"/>
      <c r="C11" s="115"/>
      <c r="D11" s="17"/>
      <c r="E11" s="17"/>
      <c r="F11" s="17"/>
      <c r="G11" s="22"/>
      <c r="H11" s="22"/>
      <c r="I11" s="153"/>
      <c r="J11" s="26"/>
      <c r="K11" s="158" t="s">
        <v>158</v>
      </c>
      <c r="L11" s="166"/>
    </row>
    <row r="12" spans="1:12" ht="12.75">
      <c r="A12" s="165"/>
      <c r="B12" s="137"/>
      <c r="C12" s="114"/>
      <c r="D12" s="17"/>
      <c r="E12" s="17"/>
      <c r="F12" s="17"/>
      <c r="G12" s="22"/>
      <c r="H12" s="22"/>
      <c r="I12" s="153"/>
      <c r="J12" s="3"/>
      <c r="K12" s="197"/>
      <c r="L12" s="166"/>
    </row>
    <row r="13" spans="1:12" ht="12.75">
      <c r="A13" s="169" t="s">
        <v>37</v>
      </c>
      <c r="B13" s="133" t="s">
        <v>169</v>
      </c>
      <c r="C13" s="116"/>
      <c r="D13" s="18"/>
      <c r="E13" s="18"/>
      <c r="F13" s="18"/>
      <c r="G13" s="22"/>
      <c r="H13" s="22"/>
      <c r="I13" s="153"/>
      <c r="J13" s="3"/>
      <c r="K13" s="197"/>
      <c r="L13" s="166"/>
    </row>
    <row r="14" spans="2:12" ht="12.75">
      <c r="B14" s="134"/>
      <c r="C14" s="116"/>
      <c r="D14" s="18"/>
      <c r="E14" s="18"/>
      <c r="F14" s="18"/>
      <c r="G14" s="22"/>
      <c r="H14" s="22"/>
      <c r="I14" s="153"/>
      <c r="J14" s="3"/>
      <c r="K14" s="197"/>
      <c r="L14" s="166"/>
    </row>
    <row r="15" spans="1:12" ht="12.75">
      <c r="A15" s="170" t="s">
        <v>475</v>
      </c>
      <c r="B15" s="138">
        <v>1</v>
      </c>
      <c r="C15" s="278">
        <f>REGINFO!E54</f>
        <v>4167799.4546000003</v>
      </c>
      <c r="D15" s="18"/>
      <c r="E15" s="18"/>
      <c r="F15" s="18"/>
      <c r="G15" s="22"/>
      <c r="H15" s="22"/>
      <c r="I15" s="286">
        <f>K15-C15</f>
        <v>47439.54539999971</v>
      </c>
      <c r="J15" s="3"/>
      <c r="K15" s="286">
        <f>TAXREC!E53</f>
        <v>4215239</v>
      </c>
      <c r="L15" s="166"/>
    </row>
    <row r="16" spans="1:12" ht="12.75">
      <c r="A16" s="167"/>
      <c r="B16" s="138"/>
      <c r="C16" s="117"/>
      <c r="D16" s="17"/>
      <c r="E16" s="17"/>
      <c r="F16" s="17"/>
      <c r="G16" s="22"/>
      <c r="H16" s="22"/>
      <c r="I16" s="154"/>
      <c r="J16" s="3"/>
      <c r="K16" s="154"/>
      <c r="L16" s="166"/>
    </row>
    <row r="17" spans="1:12" ht="12.75">
      <c r="A17" s="167" t="s">
        <v>33</v>
      </c>
      <c r="B17" s="138"/>
      <c r="C17" s="117"/>
      <c r="D17" s="17"/>
      <c r="E17" s="17"/>
      <c r="F17" s="17"/>
      <c r="G17" s="22"/>
      <c r="H17" s="22"/>
      <c r="I17" s="154"/>
      <c r="J17" s="3"/>
      <c r="K17" s="154"/>
      <c r="L17" s="166"/>
    </row>
    <row r="18" spans="1:12" ht="12.75">
      <c r="A18" s="167"/>
      <c r="B18" s="138"/>
      <c r="C18" s="116"/>
      <c r="D18" s="18"/>
      <c r="E18" s="18"/>
      <c r="F18" s="18"/>
      <c r="G18" s="22"/>
      <c r="H18" s="22"/>
      <c r="I18" s="154"/>
      <c r="J18" s="3"/>
      <c r="K18" s="154"/>
      <c r="L18" s="166"/>
    </row>
    <row r="19" spans="1:12" ht="12.75">
      <c r="A19" s="171" t="s">
        <v>294</v>
      </c>
      <c r="B19" s="139"/>
      <c r="C19" s="116"/>
      <c r="D19" s="19"/>
      <c r="E19" s="19"/>
      <c r="F19" s="19"/>
      <c r="G19" s="23"/>
      <c r="H19" s="23"/>
      <c r="I19" s="154"/>
      <c r="J19" s="6"/>
      <c r="K19" s="154"/>
      <c r="L19" s="166"/>
    </row>
    <row r="20" spans="1:12" ht="12.75">
      <c r="A20" s="172" t="s">
        <v>11</v>
      </c>
      <c r="B20" s="140">
        <v>2</v>
      </c>
      <c r="C20" s="280">
        <v>2600455</v>
      </c>
      <c r="D20" s="20"/>
      <c r="E20" s="20"/>
      <c r="F20" s="20"/>
      <c r="G20" s="23"/>
      <c r="H20" s="23"/>
      <c r="I20" s="286">
        <f aca="true" t="shared" si="0" ref="I20:I25">K20-C20</f>
        <v>-102755</v>
      </c>
      <c r="J20" s="6"/>
      <c r="K20" s="286">
        <f>TAXREC!E64</f>
        <v>2497700</v>
      </c>
      <c r="L20" s="166"/>
    </row>
    <row r="21" spans="1:12" ht="12.75">
      <c r="A21" s="173" t="s">
        <v>125</v>
      </c>
      <c r="B21" s="140">
        <v>3</v>
      </c>
      <c r="C21" s="280"/>
      <c r="D21" s="17"/>
      <c r="E21" s="17"/>
      <c r="F21" s="17"/>
      <c r="G21" s="23"/>
      <c r="H21" s="23"/>
      <c r="I21" s="286">
        <f t="shared" si="0"/>
        <v>0</v>
      </c>
      <c r="J21" s="6"/>
      <c r="K21" s="286">
        <f>TAXREC!E65</f>
        <v>0</v>
      </c>
      <c r="L21" s="166"/>
    </row>
    <row r="22" spans="1:12" ht="12.75">
      <c r="A22" s="173" t="s">
        <v>352</v>
      </c>
      <c r="B22" s="140">
        <v>4</v>
      </c>
      <c r="C22" s="280"/>
      <c r="D22" s="20"/>
      <c r="E22" s="20"/>
      <c r="F22" s="20"/>
      <c r="G22" s="23"/>
      <c r="H22" s="23"/>
      <c r="I22" s="286">
        <f t="shared" si="0"/>
        <v>0</v>
      </c>
      <c r="J22" s="6"/>
      <c r="K22" s="286">
        <f>TAXREC!E66</f>
        <v>0</v>
      </c>
      <c r="L22" s="166"/>
    </row>
    <row r="23" spans="1:12" ht="12.75">
      <c r="A23" s="173" t="s">
        <v>351</v>
      </c>
      <c r="B23" s="140">
        <v>4</v>
      </c>
      <c r="C23" s="280"/>
      <c r="D23" s="20"/>
      <c r="E23" s="20"/>
      <c r="F23" s="20"/>
      <c r="G23" s="23"/>
      <c r="H23" s="23"/>
      <c r="I23" s="286">
        <f t="shared" si="0"/>
        <v>821850</v>
      </c>
      <c r="J23" s="6"/>
      <c r="K23" s="286">
        <f>TAXREC!E67</f>
        <v>821850</v>
      </c>
      <c r="L23" s="166"/>
    </row>
    <row r="24" spans="1:12" ht="12.75">
      <c r="A24" s="173" t="s">
        <v>353</v>
      </c>
      <c r="B24" s="140">
        <v>5</v>
      </c>
      <c r="C24" s="280"/>
      <c r="D24" s="20"/>
      <c r="E24" s="20"/>
      <c r="F24" s="20"/>
      <c r="G24" s="23"/>
      <c r="H24" s="23"/>
      <c r="I24" s="286">
        <f t="shared" si="0"/>
        <v>0</v>
      </c>
      <c r="J24" s="6"/>
      <c r="K24" s="286">
        <f>TAXREC!E68</f>
        <v>0</v>
      </c>
      <c r="L24" s="166"/>
    </row>
    <row r="25" spans="1:12" ht="12.75">
      <c r="A25" s="173" t="s">
        <v>479</v>
      </c>
      <c r="B25" s="140"/>
      <c r="C25" s="455"/>
      <c r="D25" s="20"/>
      <c r="E25" s="20"/>
      <c r="F25" s="20"/>
      <c r="G25" s="23"/>
      <c r="H25" s="23"/>
      <c r="I25" s="286">
        <f t="shared" si="0"/>
        <v>0</v>
      </c>
      <c r="J25" s="6"/>
      <c r="K25" s="286">
        <f>TAXREC!E69</f>
        <v>0</v>
      </c>
      <c r="L25" s="166"/>
    </row>
    <row r="26" spans="1:12" ht="12.75">
      <c r="A26" s="173" t="s">
        <v>122</v>
      </c>
      <c r="B26" s="140"/>
      <c r="C26" s="328"/>
      <c r="D26" s="20"/>
      <c r="E26" s="20"/>
      <c r="F26" s="20"/>
      <c r="G26" s="23"/>
      <c r="H26" s="23"/>
      <c r="I26" s="199"/>
      <c r="J26" s="39"/>
      <c r="K26" s="199"/>
      <c r="L26" s="166"/>
    </row>
    <row r="27" spans="1:12" ht="12.75">
      <c r="A27" s="173" t="s">
        <v>223</v>
      </c>
      <c r="B27" s="140">
        <v>6</v>
      </c>
      <c r="C27" s="280"/>
      <c r="D27" s="20"/>
      <c r="E27" s="20"/>
      <c r="F27" s="20"/>
      <c r="G27" s="23"/>
      <c r="H27" s="23"/>
      <c r="I27" s="286">
        <f>K27-C27</f>
        <v>0</v>
      </c>
      <c r="J27" s="6"/>
      <c r="K27" s="286">
        <f>TAXREC!E95</f>
        <v>0</v>
      </c>
      <c r="L27" s="166"/>
    </row>
    <row r="28" spans="1:12" ht="12.75">
      <c r="A28" s="173" t="s">
        <v>226</v>
      </c>
      <c r="B28" s="140">
        <v>6</v>
      </c>
      <c r="C28" s="280"/>
      <c r="D28" s="20"/>
      <c r="E28" s="20"/>
      <c r="F28" s="20"/>
      <c r="G28" s="23"/>
      <c r="H28" s="23"/>
      <c r="I28" s="286">
        <f>K28-C28</f>
        <v>4406</v>
      </c>
      <c r="J28" s="6"/>
      <c r="K28" s="286">
        <f>TAXREC!E96</f>
        <v>4406</v>
      </c>
      <c r="L28" s="166"/>
    </row>
    <row r="29" spans="1:12" ht="12.75">
      <c r="A29" s="173" t="s">
        <v>225</v>
      </c>
      <c r="B29" s="140">
        <v>6</v>
      </c>
      <c r="C29" s="280"/>
      <c r="D29" s="20"/>
      <c r="E29" s="20"/>
      <c r="F29" s="20"/>
      <c r="G29" s="23"/>
      <c r="H29" s="23"/>
      <c r="I29" s="286">
        <f>K29-C29</f>
        <v>0</v>
      </c>
      <c r="J29" s="6"/>
      <c r="K29" s="286">
        <f>TAXREC!E70</f>
        <v>0</v>
      </c>
      <c r="L29" s="166"/>
    </row>
    <row r="30" spans="1:12" ht="12.75">
      <c r="A30" s="173" t="s">
        <v>224</v>
      </c>
      <c r="B30" s="140">
        <v>6</v>
      </c>
      <c r="C30" s="280"/>
      <c r="D30" s="20"/>
      <c r="E30" s="20"/>
      <c r="F30" s="20"/>
      <c r="G30" s="23"/>
      <c r="H30" s="23"/>
      <c r="I30" s="286">
        <f>K30-C30</f>
        <v>0</v>
      </c>
      <c r="J30" s="6"/>
      <c r="K30" s="286">
        <f>TAXREC!E71</f>
        <v>0</v>
      </c>
      <c r="L30" s="166"/>
    </row>
    <row r="31" spans="1:12" ht="12.75">
      <c r="A31" s="173"/>
      <c r="B31" s="140"/>
      <c r="C31" s="116"/>
      <c r="D31" s="20"/>
      <c r="E31" s="20"/>
      <c r="F31" s="20"/>
      <c r="G31" s="23"/>
      <c r="H31" s="23"/>
      <c r="I31" s="154"/>
      <c r="J31" s="6"/>
      <c r="K31" s="154"/>
      <c r="L31" s="166"/>
    </row>
    <row r="32" spans="1:12" ht="12.75">
      <c r="A32" s="171" t="s">
        <v>422</v>
      </c>
      <c r="B32" s="139"/>
      <c r="C32" s="116"/>
      <c r="D32" s="20"/>
      <c r="E32" s="20"/>
      <c r="F32" s="20"/>
      <c r="G32" s="145"/>
      <c r="H32" s="145"/>
      <c r="I32" s="154"/>
      <c r="J32" s="6"/>
      <c r="K32" s="154"/>
      <c r="L32" s="166"/>
    </row>
    <row r="33" spans="1:12" ht="12.75">
      <c r="A33" s="170" t="s">
        <v>170</v>
      </c>
      <c r="B33" s="140">
        <v>7</v>
      </c>
      <c r="C33" s="280">
        <v>2286863</v>
      </c>
      <c r="D33" s="20"/>
      <c r="E33" s="20"/>
      <c r="F33" s="20"/>
      <c r="G33" s="145"/>
      <c r="H33" s="145"/>
      <c r="I33" s="286">
        <f aca="true" t="shared" si="1" ref="I33:I43">K33-C33</f>
        <v>80153</v>
      </c>
      <c r="J33" s="6"/>
      <c r="K33" s="286">
        <f>TAXREC!E100+TAXREC!E101</f>
        <v>2367016</v>
      </c>
      <c r="L33" s="166"/>
    </row>
    <row r="34" spans="1:12" ht="12.75">
      <c r="A34" s="173" t="s">
        <v>126</v>
      </c>
      <c r="B34" s="140">
        <v>8</v>
      </c>
      <c r="C34" s="280"/>
      <c r="D34" s="20"/>
      <c r="E34" s="20"/>
      <c r="F34" s="20"/>
      <c r="G34" s="145"/>
      <c r="H34" s="145"/>
      <c r="I34" s="286">
        <f t="shared" si="1"/>
        <v>0</v>
      </c>
      <c r="J34" s="6"/>
      <c r="K34" s="286">
        <f>TAXREC!E102</f>
        <v>0</v>
      </c>
      <c r="L34" s="166"/>
    </row>
    <row r="35" spans="1:12" ht="12.75">
      <c r="A35" s="173" t="s">
        <v>53</v>
      </c>
      <c r="B35" s="140">
        <v>9</v>
      </c>
      <c r="C35" s="280"/>
      <c r="D35" s="20"/>
      <c r="E35" s="20"/>
      <c r="F35" s="20"/>
      <c r="G35" s="145"/>
      <c r="H35" s="145"/>
      <c r="I35" s="286">
        <f t="shared" si="1"/>
        <v>0</v>
      </c>
      <c r="J35" s="6"/>
      <c r="K35" s="286">
        <f>TAXREC!E103</f>
        <v>0</v>
      </c>
      <c r="L35" s="166"/>
    </row>
    <row r="36" spans="1:12" ht="12.75">
      <c r="A36" s="173" t="s">
        <v>354</v>
      </c>
      <c r="B36" s="140">
        <v>10</v>
      </c>
      <c r="C36" s="280"/>
      <c r="D36" s="20"/>
      <c r="E36" s="20"/>
      <c r="F36" s="20"/>
      <c r="G36" s="145"/>
      <c r="H36" s="145"/>
      <c r="I36" s="286">
        <f t="shared" si="1"/>
        <v>0</v>
      </c>
      <c r="J36" s="6"/>
      <c r="K36" s="286">
        <f>TAXREC!E105+TAXREC!E106</f>
        <v>0</v>
      </c>
      <c r="L36" s="166"/>
    </row>
    <row r="37" spans="1:12" ht="12.75">
      <c r="A37" s="173" t="s">
        <v>479</v>
      </c>
      <c r="B37" s="140"/>
      <c r="C37" s="280"/>
      <c r="D37" s="20"/>
      <c r="E37" s="20"/>
      <c r="F37" s="20"/>
      <c r="G37" s="145"/>
      <c r="H37" s="145"/>
      <c r="I37" s="286">
        <f t="shared" si="1"/>
        <v>0</v>
      </c>
      <c r="J37" s="6"/>
      <c r="K37" s="286">
        <f>TAXREC!E107</f>
        <v>0</v>
      </c>
      <c r="L37" s="166"/>
    </row>
    <row r="38" spans="1:12" ht="12.75">
      <c r="A38" s="170" t="s">
        <v>155</v>
      </c>
      <c r="B38" s="138">
        <v>11</v>
      </c>
      <c r="C38" s="279">
        <f>REGINFO!D62</f>
        <v>1703051.3175</v>
      </c>
      <c r="D38" s="20"/>
      <c r="E38" s="20"/>
      <c r="F38" s="20"/>
      <c r="G38" s="145"/>
      <c r="H38" s="145"/>
      <c r="I38" s="286">
        <f t="shared" si="1"/>
        <v>473973.6825000001</v>
      </c>
      <c r="J38" s="6"/>
      <c r="K38" s="286">
        <f>TAXREC!E54</f>
        <v>2177025</v>
      </c>
      <c r="L38" s="166"/>
    </row>
    <row r="39" spans="1:12" ht="12.75">
      <c r="A39" s="170" t="s">
        <v>350</v>
      </c>
      <c r="B39" s="138">
        <v>4</v>
      </c>
      <c r="C39" s="280"/>
      <c r="D39" s="20"/>
      <c r="E39" s="20"/>
      <c r="F39" s="20"/>
      <c r="G39" s="145"/>
      <c r="H39" s="145"/>
      <c r="I39" s="286">
        <f t="shared" si="1"/>
        <v>0</v>
      </c>
      <c r="J39" s="6"/>
      <c r="K39" s="286">
        <f>TAXREC!E108</f>
        <v>0</v>
      </c>
      <c r="L39" s="166"/>
    </row>
    <row r="40" spans="1:12" ht="12.75">
      <c r="A40" s="170" t="s">
        <v>349</v>
      </c>
      <c r="B40" s="138">
        <v>4</v>
      </c>
      <c r="C40" s="280"/>
      <c r="D40" s="20"/>
      <c r="E40" s="20"/>
      <c r="F40" s="20"/>
      <c r="G40" s="145"/>
      <c r="H40" s="145"/>
      <c r="I40" s="286">
        <f t="shared" si="1"/>
        <v>474521</v>
      </c>
      <c r="J40" s="6"/>
      <c r="K40" s="286">
        <f>TAXREC!E109</f>
        <v>474521</v>
      </c>
      <c r="L40" s="166"/>
    </row>
    <row r="41" spans="1:12" ht="12.75">
      <c r="A41" s="170" t="s">
        <v>19</v>
      </c>
      <c r="B41" s="138">
        <v>3</v>
      </c>
      <c r="C41" s="280"/>
      <c r="D41" s="20"/>
      <c r="E41" s="20"/>
      <c r="F41" s="20"/>
      <c r="G41" s="145"/>
      <c r="H41" s="145"/>
      <c r="I41" s="286">
        <f t="shared" si="1"/>
        <v>0</v>
      </c>
      <c r="J41" s="6"/>
      <c r="K41" s="286">
        <f>TAXREC!E110</f>
        <v>0</v>
      </c>
      <c r="L41" s="166"/>
    </row>
    <row r="42" spans="1:12" ht="12.75">
      <c r="A42" s="170" t="s">
        <v>20</v>
      </c>
      <c r="B42" s="138">
        <v>3</v>
      </c>
      <c r="C42" s="280"/>
      <c r="D42" s="20"/>
      <c r="E42" s="20"/>
      <c r="F42" s="20"/>
      <c r="G42" s="145"/>
      <c r="H42" s="145"/>
      <c r="I42" s="286">
        <f t="shared" si="1"/>
        <v>0</v>
      </c>
      <c r="J42" s="6"/>
      <c r="K42" s="286">
        <f>TAXREC!E111</f>
        <v>0</v>
      </c>
      <c r="L42" s="166"/>
    </row>
    <row r="43" spans="1:12" ht="12.75">
      <c r="A43" s="170" t="s">
        <v>251</v>
      </c>
      <c r="B43" s="138">
        <v>11</v>
      </c>
      <c r="C43" s="280"/>
      <c r="D43" s="20"/>
      <c r="E43" s="20"/>
      <c r="F43" s="20"/>
      <c r="G43" s="145"/>
      <c r="H43" s="145"/>
      <c r="I43" s="286">
        <f t="shared" si="1"/>
        <v>0</v>
      </c>
      <c r="J43" s="6"/>
      <c r="K43" s="286">
        <f>TAXREC!E112</f>
        <v>0</v>
      </c>
      <c r="L43" s="166"/>
    </row>
    <row r="44" spans="1:12" ht="12.75">
      <c r="A44" s="173" t="s">
        <v>123</v>
      </c>
      <c r="B44" s="140"/>
      <c r="C44" s="116"/>
      <c r="D44" s="20"/>
      <c r="E44" s="20"/>
      <c r="F44" s="20"/>
      <c r="G44" s="145"/>
      <c r="H44" s="145"/>
      <c r="I44" s="154"/>
      <c r="J44" s="6"/>
      <c r="K44" s="154"/>
      <c r="L44" s="166"/>
    </row>
    <row r="45" spans="1:12" ht="12.75">
      <c r="A45" s="460" t="s">
        <v>486</v>
      </c>
      <c r="B45" s="140">
        <v>12</v>
      </c>
      <c r="C45" s="280">
        <v>265000</v>
      </c>
      <c r="D45" s="20"/>
      <c r="E45" s="20"/>
      <c r="F45" s="20"/>
      <c r="G45" s="145"/>
      <c r="H45" s="145"/>
      <c r="I45" s="286">
        <f>K45-C45</f>
        <v>-265000</v>
      </c>
      <c r="J45" s="6"/>
      <c r="K45" s="269">
        <f>TAXREC!E132</f>
        <v>0</v>
      </c>
      <c r="L45" s="166"/>
    </row>
    <row r="46" spans="1:12" ht="12.75">
      <c r="A46" s="173" t="s">
        <v>223</v>
      </c>
      <c r="B46" s="140">
        <v>12</v>
      </c>
      <c r="C46" s="280"/>
      <c r="D46" s="20"/>
      <c r="E46" s="20"/>
      <c r="F46" s="20"/>
      <c r="G46" s="145"/>
      <c r="H46" s="145"/>
      <c r="I46" s="286">
        <f>K46-C46</f>
        <v>0</v>
      </c>
      <c r="J46" s="6"/>
      <c r="K46" s="269">
        <f>TAXREC!E133</f>
        <v>0</v>
      </c>
      <c r="L46" s="166"/>
    </row>
    <row r="47" spans="1:12" ht="12.75">
      <c r="A47" s="173" t="s">
        <v>220</v>
      </c>
      <c r="B47" s="140">
        <v>12</v>
      </c>
      <c r="C47" s="280"/>
      <c r="D47" s="20"/>
      <c r="E47" s="20"/>
      <c r="F47" s="20"/>
      <c r="G47" s="145"/>
      <c r="H47" s="145"/>
      <c r="I47" s="286">
        <f>K47-C47</f>
        <v>0</v>
      </c>
      <c r="J47" s="6"/>
      <c r="K47" s="269">
        <f>TAXREC!E134</f>
        <v>0</v>
      </c>
      <c r="L47" s="166"/>
    </row>
    <row r="48" spans="1:12" ht="12.75">
      <c r="A48" s="173" t="s">
        <v>222</v>
      </c>
      <c r="B48" s="140">
        <v>12</v>
      </c>
      <c r="C48" s="280"/>
      <c r="D48" s="20"/>
      <c r="E48" s="20"/>
      <c r="F48" s="20"/>
      <c r="G48" s="145"/>
      <c r="H48" s="145"/>
      <c r="I48" s="286">
        <f>K48-C48</f>
        <v>0</v>
      </c>
      <c r="J48" s="6"/>
      <c r="K48" s="269">
        <f>TAXREC!E113</f>
        <v>0</v>
      </c>
      <c r="L48" s="166"/>
    </row>
    <row r="49" spans="1:12" ht="12.75">
      <c r="A49" s="173" t="s">
        <v>221</v>
      </c>
      <c r="B49" s="140">
        <v>12</v>
      </c>
      <c r="C49" s="280"/>
      <c r="D49" s="20"/>
      <c r="E49" s="20"/>
      <c r="F49" s="20"/>
      <c r="G49" s="145"/>
      <c r="H49" s="145"/>
      <c r="I49" s="286">
        <f>K49-C49</f>
        <v>0</v>
      </c>
      <c r="J49" s="6"/>
      <c r="K49" s="269">
        <f>TAXREC!E114</f>
        <v>0</v>
      </c>
      <c r="L49" s="166"/>
    </row>
    <row r="50" spans="1:12" ht="12.75">
      <c r="A50" s="173"/>
      <c r="B50" s="140"/>
      <c r="C50" s="116"/>
      <c r="D50" s="20"/>
      <c r="E50" s="20"/>
      <c r="F50" s="20"/>
      <c r="G50" s="145"/>
      <c r="H50" s="145"/>
      <c r="I50" s="154"/>
      <c r="J50" s="6"/>
      <c r="K50" s="154"/>
      <c r="L50" s="166"/>
    </row>
    <row r="51" spans="1:12" ht="12.75">
      <c r="A51" s="167" t="s">
        <v>408</v>
      </c>
      <c r="B51" s="138"/>
      <c r="C51" s="282">
        <f>C15+SUM(C20:C30)-SUM(C33:C49)</f>
        <v>2513340.137100001</v>
      </c>
      <c r="D51" s="24"/>
      <c r="E51" s="24"/>
      <c r="F51" s="24"/>
      <c r="G51" s="112"/>
      <c r="H51" s="112"/>
      <c r="I51" s="282">
        <f>I15+SUM(I20:I30)-SUM(I33:I49)</f>
        <v>7292.8628999996</v>
      </c>
      <c r="J51" s="450" t="s">
        <v>446</v>
      </c>
      <c r="K51" s="282">
        <f>K15+SUM(K20:K30)-SUM(K33:K49)</f>
        <v>2520633</v>
      </c>
      <c r="L51" s="456"/>
    </row>
    <row r="52" spans="1:13" ht="12.75">
      <c r="A52" s="174"/>
      <c r="B52" s="138"/>
      <c r="C52" s="118"/>
      <c r="D52" s="20"/>
      <c r="E52" s="20"/>
      <c r="F52" s="20"/>
      <c r="G52" s="145"/>
      <c r="H52" s="145"/>
      <c r="I52" s="118"/>
      <c r="J52" s="6"/>
      <c r="K52" s="118"/>
      <c r="L52" s="166"/>
      <c r="M52" s="127"/>
    </row>
    <row r="53" spans="1:12" ht="12.75">
      <c r="A53" s="173" t="s">
        <v>417</v>
      </c>
      <c r="B53" s="140"/>
      <c r="C53" s="119"/>
      <c r="D53" s="20"/>
      <c r="E53" s="20"/>
      <c r="F53" s="20"/>
      <c r="G53" s="145"/>
      <c r="H53" s="145"/>
      <c r="I53" s="154"/>
      <c r="J53" s="6"/>
      <c r="K53" s="154"/>
      <c r="L53" s="166"/>
    </row>
    <row r="54" spans="1:12" ht="12.75">
      <c r="A54" s="173" t="s">
        <v>421</v>
      </c>
      <c r="B54" s="140">
        <v>13</v>
      </c>
      <c r="C54" s="281">
        <f>IF($C$51=0,'Tax Rates'!F34,IF($C$51&gt;'Tax Rates'!$E$11,'Tax Rates'!$F$16,IF($C$51&gt;'Tax Rates'!$C$11,'Tax Rates'!$E$16,'Tax Rates'!$C$16)))</f>
        <v>0.3612</v>
      </c>
      <c r="D54" s="111"/>
      <c r="E54" s="111"/>
      <c r="F54" s="111"/>
      <c r="G54" s="112"/>
      <c r="H54" s="112"/>
      <c r="I54" s="287">
        <f>+K54-C54</f>
        <v>0</v>
      </c>
      <c r="J54" s="450" t="s">
        <v>536</v>
      </c>
      <c r="K54" s="281">
        <f>IF(TAXREC!E154&gt;0,TAXREC!E154,'Tax Rates'!F34)</f>
        <v>0.3612</v>
      </c>
      <c r="L54" s="166"/>
    </row>
    <row r="55" spans="1:12" ht="12.75">
      <c r="A55" s="173"/>
      <c r="B55" s="140"/>
      <c r="C55" s="116"/>
      <c r="D55" s="20"/>
      <c r="E55" s="20"/>
      <c r="F55" s="20"/>
      <c r="G55" s="145"/>
      <c r="H55" s="145"/>
      <c r="I55" s="154"/>
      <c r="J55" s="6"/>
      <c r="K55" s="154"/>
      <c r="L55" s="166"/>
    </row>
    <row r="56" spans="1:12" ht="12.75">
      <c r="A56" s="173" t="s">
        <v>35</v>
      </c>
      <c r="B56" s="140"/>
      <c r="C56" s="283">
        <f>C51*C54</f>
        <v>907818.4575205203</v>
      </c>
      <c r="D56" s="24"/>
      <c r="E56" s="24"/>
      <c r="F56" s="24"/>
      <c r="G56" s="112"/>
      <c r="H56" s="112"/>
      <c r="I56" s="286">
        <f>K56-C56</f>
        <v>-224379.45752052031</v>
      </c>
      <c r="J56" s="450" t="s">
        <v>447</v>
      </c>
      <c r="K56" s="283">
        <f>TAXREC!E147</f>
        <v>683439</v>
      </c>
      <c r="L56" s="457"/>
    </row>
    <row r="57" spans="1:12" ht="12.75">
      <c r="A57" s="173"/>
      <c r="B57" s="140"/>
      <c r="C57" s="116"/>
      <c r="D57" s="20"/>
      <c r="E57" s="20"/>
      <c r="F57" s="20"/>
      <c r="G57" s="145"/>
      <c r="H57" s="145"/>
      <c r="I57" s="154"/>
      <c r="J57" s="125"/>
      <c r="K57" s="154"/>
      <c r="L57" s="166"/>
    </row>
    <row r="58" spans="1:12" ht="12.75">
      <c r="A58" s="173"/>
      <c r="B58" s="140"/>
      <c r="C58" s="116"/>
      <c r="D58" s="20"/>
      <c r="E58" s="20"/>
      <c r="F58" s="20"/>
      <c r="G58" s="145"/>
      <c r="H58" s="145"/>
      <c r="I58" s="154"/>
      <c r="J58" s="6" t="s">
        <v>169</v>
      </c>
      <c r="K58" s="154"/>
      <c r="L58" s="166"/>
    </row>
    <row r="59" spans="1:12" ht="12.75">
      <c r="A59" s="173" t="s">
        <v>43</v>
      </c>
      <c r="B59" s="140">
        <v>14</v>
      </c>
      <c r="C59" s="284"/>
      <c r="D59" s="20"/>
      <c r="E59" s="20"/>
      <c r="F59" s="20"/>
      <c r="G59" s="145"/>
      <c r="H59" s="145"/>
      <c r="I59" s="286">
        <f>+K59-C59</f>
        <v>0</v>
      </c>
      <c r="J59" s="450" t="s">
        <v>447</v>
      </c>
      <c r="K59" s="289">
        <f>TAXREC!E148</f>
        <v>0</v>
      </c>
      <c r="L59" s="166"/>
    </row>
    <row r="60" spans="1:12" ht="13.5" thickBot="1">
      <c r="A60" s="173"/>
      <c r="B60" s="140"/>
      <c r="C60" s="116"/>
      <c r="D60" s="20"/>
      <c r="E60" s="20"/>
      <c r="F60" s="20"/>
      <c r="G60" s="23"/>
      <c r="H60" s="23"/>
      <c r="I60" s="154"/>
      <c r="J60" s="6"/>
      <c r="K60" s="154"/>
      <c r="L60" s="166"/>
    </row>
    <row r="61" spans="1:12" ht="13.5" thickBot="1">
      <c r="A61" s="165" t="s">
        <v>44</v>
      </c>
      <c r="B61" s="148"/>
      <c r="C61" s="285">
        <f>+C56-C59</f>
        <v>907818.4575205203</v>
      </c>
      <c r="D61" s="146"/>
      <c r="E61" s="146"/>
      <c r="F61" s="146"/>
      <c r="G61" s="147"/>
      <c r="H61" s="147"/>
      <c r="I61" s="288">
        <f>+I56-I59</f>
        <v>-224379.45752052031</v>
      </c>
      <c r="J61" s="450" t="s">
        <v>447</v>
      </c>
      <c r="K61" s="288">
        <f>+K56-K59</f>
        <v>683439</v>
      </c>
      <c r="L61" s="456"/>
    </row>
    <row r="62" spans="1:12" ht="12.75">
      <c r="A62" s="173"/>
      <c r="B62" s="140"/>
      <c r="C62" s="116"/>
      <c r="D62" s="20"/>
      <c r="E62" s="20"/>
      <c r="F62" s="20"/>
      <c r="G62" s="23"/>
      <c r="H62" s="23"/>
      <c r="I62" s="154"/>
      <c r="J62" s="6"/>
      <c r="K62" s="154"/>
      <c r="L62" s="166"/>
    </row>
    <row r="63" spans="1:12" ht="12.75">
      <c r="A63" s="173"/>
      <c r="B63" s="135"/>
      <c r="C63" s="116"/>
      <c r="D63" s="20"/>
      <c r="E63" s="20"/>
      <c r="F63" s="20"/>
      <c r="G63" s="23"/>
      <c r="H63" s="23"/>
      <c r="I63" s="154"/>
      <c r="J63" s="6"/>
      <c r="K63" s="154"/>
      <c r="L63" s="166"/>
    </row>
    <row r="64" spans="1:12" ht="12.75">
      <c r="A64" s="169" t="s">
        <v>38</v>
      </c>
      <c r="B64" s="141"/>
      <c r="C64" s="116"/>
      <c r="D64" s="20"/>
      <c r="E64" s="20"/>
      <c r="F64" s="20"/>
      <c r="G64" s="23"/>
      <c r="H64" s="23"/>
      <c r="I64" s="154"/>
      <c r="J64" s="6"/>
      <c r="K64" s="154"/>
      <c r="L64" s="166"/>
    </row>
    <row r="65" spans="1:12" ht="12.75">
      <c r="A65" s="173"/>
      <c r="B65" s="140"/>
      <c r="C65" s="116"/>
      <c r="D65" s="20"/>
      <c r="E65" s="20"/>
      <c r="F65" s="20"/>
      <c r="G65" s="23"/>
      <c r="H65" s="23"/>
      <c r="I65" s="154"/>
      <c r="J65" s="6"/>
      <c r="K65" s="154"/>
      <c r="L65" s="166"/>
    </row>
    <row r="66" spans="1:12" ht="12.75">
      <c r="A66" s="171" t="s">
        <v>36</v>
      </c>
      <c r="B66" s="139"/>
      <c r="C66" s="116"/>
      <c r="D66" s="20"/>
      <c r="E66" s="20"/>
      <c r="F66" s="20"/>
      <c r="G66" s="23"/>
      <c r="H66" s="23"/>
      <c r="I66" s="154"/>
      <c r="J66" s="6"/>
      <c r="K66" s="154"/>
      <c r="L66" s="166"/>
    </row>
    <row r="67" spans="1:12" ht="12.75">
      <c r="A67" s="167" t="s">
        <v>24</v>
      </c>
      <c r="B67" s="138">
        <v>15</v>
      </c>
      <c r="C67" s="283">
        <f>Ratebase</f>
        <v>46980726</v>
      </c>
      <c r="D67" s="111"/>
      <c r="E67" s="111"/>
      <c r="F67" s="111"/>
      <c r="G67" s="112"/>
      <c r="H67" s="112"/>
      <c r="I67" s="286">
        <f>K67-C67</f>
        <v>8890957</v>
      </c>
      <c r="J67" s="6"/>
      <c r="K67" s="286">
        <f>TAXREC!E222</f>
        <v>55871683</v>
      </c>
      <c r="L67" s="166"/>
    </row>
    <row r="68" spans="1:12" ht="12.75">
      <c r="A68" s="167" t="s">
        <v>439</v>
      </c>
      <c r="B68" s="138">
        <v>16</v>
      </c>
      <c r="C68" s="279">
        <f>IF(C67&gt;0,'Tax Rates'!C21,0)</f>
        <v>6195000</v>
      </c>
      <c r="D68" s="111"/>
      <c r="E68" s="111"/>
      <c r="F68" s="111"/>
      <c r="G68" s="112"/>
      <c r="H68" s="112"/>
      <c r="I68" s="286">
        <f>K68-C68</f>
        <v>1004055</v>
      </c>
      <c r="J68" s="6"/>
      <c r="K68" s="286">
        <f>TAXREC!E225</f>
        <v>7199055</v>
      </c>
      <c r="L68" s="166"/>
    </row>
    <row r="69" spans="1:12" ht="12.75">
      <c r="A69" s="167" t="s">
        <v>50</v>
      </c>
      <c r="B69" s="138"/>
      <c r="C69" s="283">
        <f>IF((C67-C68)&gt;0,C67-C68,0)</f>
        <v>40785726</v>
      </c>
      <c r="D69" s="111"/>
      <c r="E69" s="111"/>
      <c r="F69" s="111"/>
      <c r="G69" s="112"/>
      <c r="H69" s="112"/>
      <c r="I69" s="286">
        <f>SUM(I67:I68)</f>
        <v>9895012</v>
      </c>
      <c r="J69" s="125"/>
      <c r="K69" s="283">
        <f>IF((K67-K68)&gt;0,K67-K68,0)</f>
        <v>48672628</v>
      </c>
      <c r="L69" s="456"/>
    </row>
    <row r="70" spans="1:12" ht="12.75">
      <c r="A70" s="167"/>
      <c r="B70" s="138"/>
      <c r="C70" s="121"/>
      <c r="D70" s="20"/>
      <c r="E70" s="20"/>
      <c r="F70" s="20"/>
      <c r="G70" s="23"/>
      <c r="H70" s="23"/>
      <c r="I70" s="154"/>
      <c r="J70" s="6"/>
      <c r="K70" s="154"/>
      <c r="L70" s="166"/>
    </row>
    <row r="71" spans="1:12" ht="12.75">
      <c r="A71" s="167" t="s">
        <v>440</v>
      </c>
      <c r="B71" s="138">
        <v>17</v>
      </c>
      <c r="C71" s="334">
        <f>'Tax Rates'!C18</f>
        <v>0.003</v>
      </c>
      <c r="D71" s="111"/>
      <c r="E71" s="111"/>
      <c r="F71" s="111"/>
      <c r="G71" s="112"/>
      <c r="H71" s="112"/>
      <c r="I71" s="287">
        <f>IF(K71&lt;C71,K71-C71,C71)</f>
        <v>0.003</v>
      </c>
      <c r="J71" s="6"/>
      <c r="K71" s="334">
        <f>TAXREC!E229</f>
        <v>0.003</v>
      </c>
      <c r="L71" s="166"/>
    </row>
    <row r="72" spans="1:12" ht="12.75">
      <c r="A72" s="167"/>
      <c r="B72" s="138"/>
      <c r="C72" s="198"/>
      <c r="D72" s="20"/>
      <c r="E72" s="20"/>
      <c r="F72" s="20"/>
      <c r="G72" s="23"/>
      <c r="H72" s="23"/>
      <c r="I72" s="155"/>
      <c r="J72" s="6"/>
      <c r="K72" s="198"/>
      <c r="L72" s="166"/>
    </row>
    <row r="73" spans="1:12" ht="12.75">
      <c r="A73" s="167" t="s">
        <v>399</v>
      </c>
      <c r="B73" s="138"/>
      <c r="C73" s="283">
        <f>IF(C69&gt;0,C69*C71,0)*REGINFO!$B$6/REGINFO!$B$7</f>
        <v>122357.178</v>
      </c>
      <c r="D73" s="109"/>
      <c r="E73" s="109"/>
      <c r="F73" s="109"/>
      <c r="G73" s="110"/>
      <c r="H73" s="110"/>
      <c r="I73" s="286">
        <f>+K73-C73</f>
        <v>23660.822</v>
      </c>
      <c r="J73" s="125"/>
      <c r="K73" s="283">
        <f>TAXREC!E236</f>
        <v>146018</v>
      </c>
      <c r="L73" s="457"/>
    </row>
    <row r="74" spans="1:12" ht="12.75">
      <c r="A74" s="165"/>
      <c r="B74" s="142"/>
      <c r="C74" s="121"/>
      <c r="D74" s="19"/>
      <c r="E74" s="19"/>
      <c r="F74" s="19"/>
      <c r="G74" s="149"/>
      <c r="H74" s="149"/>
      <c r="I74" s="154"/>
      <c r="J74" s="6"/>
      <c r="K74" s="154"/>
      <c r="L74" s="166"/>
    </row>
    <row r="75" spans="1:12" ht="12.75">
      <c r="A75" s="171" t="s">
        <v>302</v>
      </c>
      <c r="B75" s="139"/>
      <c r="C75" s="121"/>
      <c r="D75" s="20"/>
      <c r="E75" s="20"/>
      <c r="F75" s="20"/>
      <c r="G75" s="23"/>
      <c r="H75" s="23"/>
      <c r="I75" s="154"/>
      <c r="J75" s="6"/>
      <c r="K75" s="154"/>
      <c r="L75" s="166"/>
    </row>
    <row r="76" spans="1:12" ht="12.75">
      <c r="A76" s="167" t="s">
        <v>24</v>
      </c>
      <c r="B76" s="138">
        <v>18</v>
      </c>
      <c r="C76" s="283">
        <f>Ratebase</f>
        <v>46980726</v>
      </c>
      <c r="D76" s="111"/>
      <c r="E76" s="111"/>
      <c r="F76" s="111"/>
      <c r="G76" s="112"/>
      <c r="H76" s="112"/>
      <c r="I76" s="286">
        <f>+K76-C76</f>
        <v>13472091</v>
      </c>
      <c r="J76" s="6"/>
      <c r="K76" s="286">
        <f>TAXREC!E287</f>
        <v>60452817</v>
      </c>
      <c r="L76" s="166"/>
    </row>
    <row r="77" spans="1:12" ht="12.75">
      <c r="A77" s="167" t="s">
        <v>439</v>
      </c>
      <c r="B77" s="138">
        <v>19</v>
      </c>
      <c r="C77" s="279">
        <f>IF(C76&gt;0,'Tax Rates'!C22,0)</f>
        <v>41300000</v>
      </c>
      <c r="D77" s="20"/>
      <c r="E77" s="20"/>
      <c r="F77" s="20"/>
      <c r="G77" s="23"/>
      <c r="H77" s="23"/>
      <c r="I77" s="286">
        <f>+K77-C77</f>
        <v>6799683</v>
      </c>
      <c r="J77" s="6"/>
      <c r="K77" s="286">
        <f>TAXREC!E289</f>
        <v>48099683</v>
      </c>
      <c r="L77" s="166"/>
    </row>
    <row r="78" spans="1:12" ht="12.75">
      <c r="A78" s="167" t="s">
        <v>50</v>
      </c>
      <c r="B78" s="138"/>
      <c r="C78" s="283">
        <f>IF((C76-C77)&gt;0,C76-C77,0)</f>
        <v>5680726</v>
      </c>
      <c r="D78" s="24"/>
      <c r="E78" s="24"/>
      <c r="F78" s="24"/>
      <c r="G78" s="25"/>
      <c r="H78" s="25"/>
      <c r="I78" s="286">
        <f>SUM(I76:I77)</f>
        <v>20271774</v>
      </c>
      <c r="J78" s="125"/>
      <c r="K78" s="283">
        <f>IF((K76-K77)&gt;0,K76-K77,0)</f>
        <v>12353134</v>
      </c>
      <c r="L78" s="456"/>
    </row>
    <row r="79" spans="1:12" ht="12.75">
      <c r="A79" s="167"/>
      <c r="B79" s="138"/>
      <c r="C79" s="121"/>
      <c r="D79" s="20"/>
      <c r="E79" s="20"/>
      <c r="F79" s="150"/>
      <c r="G79" s="23"/>
      <c r="H79" s="23"/>
      <c r="I79" s="154"/>
      <c r="J79" s="6"/>
      <c r="K79" s="154"/>
      <c r="L79" s="166"/>
    </row>
    <row r="80" spans="1:12" ht="12.75">
      <c r="A80" s="167" t="s">
        <v>440</v>
      </c>
      <c r="B80" s="138">
        <v>20</v>
      </c>
      <c r="C80" s="334">
        <f>'Tax Rates'!C19</f>
        <v>0.00175</v>
      </c>
      <c r="D80" s="111"/>
      <c r="E80" s="111"/>
      <c r="F80" s="111"/>
      <c r="G80" s="112"/>
      <c r="H80" s="112"/>
      <c r="I80" s="287">
        <f>K80-C80</f>
        <v>0</v>
      </c>
      <c r="J80" s="6"/>
      <c r="K80" s="287">
        <f>TAXREC!E293</f>
        <v>0.00175</v>
      </c>
      <c r="L80" s="166"/>
    </row>
    <row r="81" spans="1:12" ht="12.75">
      <c r="A81" s="167"/>
      <c r="B81" s="138"/>
      <c r="C81" s="121"/>
      <c r="D81" s="20"/>
      <c r="E81" s="20"/>
      <c r="F81" s="20"/>
      <c r="G81" s="23"/>
      <c r="H81" s="23"/>
      <c r="I81" s="154"/>
      <c r="J81" s="6"/>
      <c r="K81" s="154"/>
      <c r="L81" s="166"/>
    </row>
    <row r="82" spans="1:12" ht="12.75">
      <c r="A82" s="167" t="s">
        <v>400</v>
      </c>
      <c r="B82" s="138"/>
      <c r="C82" s="283">
        <f>IF(C78&gt;0,C78*C80,0)*REGINFO!$B$6/REGINFO!$B$7</f>
        <v>9941.2705</v>
      </c>
      <c r="D82" s="111"/>
      <c r="E82" s="111"/>
      <c r="F82" s="111"/>
      <c r="G82" s="112"/>
      <c r="H82" s="112"/>
      <c r="I82" s="286">
        <f>+K82-C82</f>
        <v>11676.713999999998</v>
      </c>
      <c r="J82" s="6"/>
      <c r="K82" s="283">
        <f>TAXREC!E298</f>
        <v>21617.9845</v>
      </c>
      <c r="L82" s="166"/>
    </row>
    <row r="83" spans="1:12" ht="12.75">
      <c r="A83" s="167" t="s">
        <v>401</v>
      </c>
      <c r="B83" s="138">
        <v>21</v>
      </c>
      <c r="C83" s="333">
        <f>IF(C78&gt;0,IF(C61&gt;0,C51*'Tax Rates'!C20,0),0)</f>
        <v>28149.409535520008</v>
      </c>
      <c r="D83" s="111"/>
      <c r="E83" s="111"/>
      <c r="F83" s="111"/>
      <c r="G83" s="112"/>
      <c r="H83" s="112"/>
      <c r="I83" s="286">
        <f>+K83-C83</f>
        <v>-6531.409535520008</v>
      </c>
      <c r="J83" s="6"/>
      <c r="K83" s="283">
        <f>TAXREC!E302</f>
        <v>21618</v>
      </c>
      <c r="L83" s="166"/>
    </row>
    <row r="84" spans="1:12" ht="12.75">
      <c r="A84" s="167"/>
      <c r="B84" s="138"/>
      <c r="C84" s="121"/>
      <c r="D84" s="151"/>
      <c r="E84" s="20"/>
      <c r="F84" s="20"/>
      <c r="G84" s="23"/>
      <c r="H84" s="23"/>
      <c r="I84" s="154"/>
      <c r="J84" s="6"/>
      <c r="K84" s="154"/>
      <c r="L84" s="166"/>
    </row>
    <row r="85" spans="1:12" ht="12.75">
      <c r="A85" s="167" t="s">
        <v>39</v>
      </c>
      <c r="B85" s="138"/>
      <c r="C85" s="283">
        <f>IF(C82&gt;C83,C82-C83,0)</f>
        <v>0</v>
      </c>
      <c r="D85" s="21"/>
      <c r="E85" s="109"/>
      <c r="F85" s="21"/>
      <c r="G85" s="16"/>
      <c r="H85" s="16"/>
      <c r="I85" s="286">
        <f>+K85-C85</f>
        <v>0</v>
      </c>
      <c r="J85" s="113"/>
      <c r="K85" s="283">
        <f>IF(K82&gt;K83,K82-K83,0)</f>
        <v>0</v>
      </c>
      <c r="L85" s="457"/>
    </row>
    <row r="86" spans="1:12" ht="12.75">
      <c r="A86" s="167"/>
      <c r="B86" s="138"/>
      <c r="C86" s="116"/>
      <c r="D86" s="39"/>
      <c r="E86" s="39"/>
      <c r="F86" s="39"/>
      <c r="G86" s="11"/>
      <c r="H86" s="11"/>
      <c r="I86" s="156"/>
      <c r="J86" s="6"/>
      <c r="K86" s="156"/>
      <c r="L86" s="166"/>
    </row>
    <row r="87" spans="1:12" ht="12.75">
      <c r="A87" s="169" t="s">
        <v>183</v>
      </c>
      <c r="B87" s="141"/>
      <c r="C87" s="116"/>
      <c r="D87" s="108"/>
      <c r="E87" s="108"/>
      <c r="F87" s="108"/>
      <c r="G87" s="11"/>
      <c r="H87" s="11"/>
      <c r="I87" s="126"/>
      <c r="J87" s="3"/>
      <c r="K87" s="135"/>
      <c r="L87" s="166"/>
    </row>
    <row r="88" spans="1:12" ht="12.75">
      <c r="A88" s="169"/>
      <c r="B88" s="141"/>
      <c r="C88" s="116"/>
      <c r="D88" s="108"/>
      <c r="E88" s="108"/>
      <c r="F88" s="108"/>
      <c r="G88" s="11"/>
      <c r="H88" s="11"/>
      <c r="I88" s="125"/>
      <c r="J88" s="6"/>
      <c r="K88" s="212"/>
      <c r="L88" s="166"/>
    </row>
    <row r="89" spans="1:12" ht="12.75">
      <c r="A89" s="167" t="s">
        <v>517</v>
      </c>
      <c r="B89" s="138"/>
      <c r="C89" s="281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25"/>
      <c r="J89" s="6"/>
      <c r="K89" s="212"/>
      <c r="L89" s="166"/>
    </row>
    <row r="90" spans="1:12" ht="12.75">
      <c r="A90" s="165"/>
      <c r="B90" s="142"/>
      <c r="C90" s="121"/>
      <c r="D90" s="108"/>
      <c r="E90" s="108"/>
      <c r="F90" s="108"/>
      <c r="G90" s="11"/>
      <c r="H90" s="11"/>
      <c r="I90" s="125"/>
      <c r="J90" s="6"/>
      <c r="K90" s="212"/>
      <c r="L90" s="166"/>
    </row>
    <row r="91" spans="1:12" ht="12.75">
      <c r="A91" s="173" t="s">
        <v>448</v>
      </c>
      <c r="B91" s="140">
        <v>22</v>
      </c>
      <c r="C91" s="283">
        <f>C61/(1-C89)</f>
        <v>1421130.9604266128</v>
      </c>
      <c r="D91" s="108"/>
      <c r="E91" s="108"/>
      <c r="F91" s="108"/>
      <c r="G91" s="26"/>
      <c r="H91" s="26"/>
      <c r="I91" s="154"/>
      <c r="J91" s="449" t="s">
        <v>454</v>
      </c>
      <c r="K91" s="289">
        <f>TAXREC!E310</f>
        <v>683439</v>
      </c>
      <c r="L91" s="166"/>
    </row>
    <row r="92" spans="1:12" ht="12.75">
      <c r="A92" s="173" t="s">
        <v>449</v>
      </c>
      <c r="B92" s="140">
        <v>23</v>
      </c>
      <c r="C92" s="283">
        <f>C85/(1-C89)</f>
        <v>0</v>
      </c>
      <c r="D92" s="108"/>
      <c r="E92" s="108"/>
      <c r="F92" s="108"/>
      <c r="G92" s="26"/>
      <c r="H92" s="26"/>
      <c r="I92" s="154"/>
      <c r="J92" s="449" t="s">
        <v>454</v>
      </c>
      <c r="K92" s="289">
        <f>TAXREC!E312</f>
        <v>0</v>
      </c>
      <c r="L92" s="166"/>
    </row>
    <row r="93" spans="1:12" ht="12.75">
      <c r="A93" s="173" t="s">
        <v>426</v>
      </c>
      <c r="B93" s="140">
        <v>24</v>
      </c>
      <c r="C93" s="283">
        <f>C73</f>
        <v>122357.178</v>
      </c>
      <c r="D93" s="108"/>
      <c r="E93" s="108"/>
      <c r="F93" s="108"/>
      <c r="G93" s="26"/>
      <c r="H93" s="26"/>
      <c r="I93" s="154"/>
      <c r="J93" s="449" t="s">
        <v>454</v>
      </c>
      <c r="K93" s="289">
        <f>TAXREC!E311</f>
        <v>146018</v>
      </c>
      <c r="L93" s="166"/>
    </row>
    <row r="94" spans="1:12" ht="12.75">
      <c r="A94" s="173"/>
      <c r="B94" s="140"/>
      <c r="C94" s="121"/>
      <c r="D94" s="108"/>
      <c r="E94" s="108"/>
      <c r="F94" s="108"/>
      <c r="G94" s="11"/>
      <c r="H94" s="11"/>
      <c r="I94" s="154"/>
      <c r="J94" s="6"/>
      <c r="K94" s="154"/>
      <c r="L94" s="166"/>
    </row>
    <row r="95" spans="1:12" ht="13.5" thickBot="1">
      <c r="A95" s="173"/>
      <c r="B95" s="140"/>
      <c r="C95" s="121"/>
      <c r="D95" s="108"/>
      <c r="E95" s="108"/>
      <c r="F95" s="108"/>
      <c r="G95" s="11"/>
      <c r="H95" s="11"/>
      <c r="I95" s="154"/>
      <c r="J95" s="6"/>
      <c r="K95" s="154"/>
      <c r="L95" s="166"/>
    </row>
    <row r="96" spans="1:12" ht="13.5" thickBot="1">
      <c r="A96" s="171" t="s">
        <v>474</v>
      </c>
      <c r="B96" s="138">
        <v>25</v>
      </c>
      <c r="C96" s="288">
        <f>SUM(C91:C94)</f>
        <v>1543488.1384266128</v>
      </c>
      <c r="D96" s="94"/>
      <c r="E96" s="94"/>
      <c r="F96" s="94"/>
      <c r="G96" s="6"/>
      <c r="H96" s="6"/>
      <c r="I96" s="154"/>
      <c r="J96" s="449" t="s">
        <v>454</v>
      </c>
      <c r="K96" s="439">
        <f>SUM(K91:K95)</f>
        <v>829457</v>
      </c>
      <c r="L96" s="176"/>
    </row>
    <row r="97" spans="1:12" ht="12.75">
      <c r="A97" s="428" t="s">
        <v>392</v>
      </c>
      <c r="B97" s="138"/>
      <c r="C97" s="116"/>
      <c r="D97" s="6"/>
      <c r="E97" s="6"/>
      <c r="F97" s="6"/>
      <c r="G97" s="6"/>
      <c r="H97" s="6"/>
      <c r="I97" s="120"/>
      <c r="J97" s="6"/>
      <c r="K97" s="154"/>
      <c r="L97" s="176"/>
    </row>
    <row r="98" spans="1:12" ht="13.5" thickBot="1">
      <c r="A98" s="167"/>
      <c r="B98" s="138"/>
      <c r="C98" s="116"/>
      <c r="D98" s="6"/>
      <c r="E98" s="6"/>
      <c r="F98" s="6"/>
      <c r="G98" s="6"/>
      <c r="H98" s="6"/>
      <c r="I98" s="120"/>
      <c r="J98" s="6"/>
      <c r="K98" s="154"/>
      <c r="L98" s="195"/>
    </row>
    <row r="99" spans="1:12" ht="13.5" thickTop="1">
      <c r="A99" s="177"/>
      <c r="B99" s="136"/>
      <c r="C99" s="122"/>
      <c r="D99" s="7"/>
      <c r="E99" s="7"/>
      <c r="F99" s="7"/>
      <c r="G99" s="7"/>
      <c r="H99" s="7"/>
      <c r="I99" s="157"/>
      <c r="J99" s="7"/>
      <c r="K99" s="213"/>
      <c r="L99" s="176"/>
    </row>
    <row r="100" spans="1:12" ht="12.75">
      <c r="A100" s="171" t="s">
        <v>385</v>
      </c>
      <c r="B100" s="135"/>
      <c r="C100" s="123"/>
      <c r="D100" s="3"/>
      <c r="E100" s="3"/>
      <c r="F100" s="3"/>
      <c r="G100" s="3"/>
      <c r="H100" s="3"/>
      <c r="I100" s="123"/>
      <c r="J100" s="3"/>
      <c r="K100" s="214"/>
      <c r="L100" s="176"/>
    </row>
    <row r="101" spans="1:12" ht="15">
      <c r="A101" s="178" t="s">
        <v>332</v>
      </c>
      <c r="B101" s="135"/>
      <c r="C101" s="123"/>
      <c r="D101" s="3"/>
      <c r="E101" s="3"/>
      <c r="F101" s="3"/>
      <c r="G101" s="3"/>
      <c r="H101" s="3"/>
      <c r="I101" s="158" t="s">
        <v>334</v>
      </c>
      <c r="J101" s="43"/>
      <c r="K101" s="214"/>
      <c r="L101" s="176"/>
    </row>
    <row r="102" spans="1:12" ht="12.75">
      <c r="A102" s="171" t="s">
        <v>425</v>
      </c>
      <c r="B102" s="135"/>
      <c r="C102" s="123"/>
      <c r="D102" s="3"/>
      <c r="E102" s="3"/>
      <c r="F102" s="3"/>
      <c r="G102" s="3"/>
      <c r="H102" s="3"/>
      <c r="I102" s="123"/>
      <c r="J102" s="43"/>
      <c r="K102" s="214"/>
      <c r="L102" s="176"/>
    </row>
    <row r="103" spans="1:12" ht="12.75">
      <c r="A103" s="173" t="s">
        <v>125</v>
      </c>
      <c r="B103" s="140">
        <v>3</v>
      </c>
      <c r="C103" s="123"/>
      <c r="D103" s="3"/>
      <c r="E103" s="3"/>
      <c r="F103" s="3"/>
      <c r="G103" s="3"/>
      <c r="H103" s="3"/>
      <c r="I103" s="269">
        <f>I21</f>
        <v>0</v>
      </c>
      <c r="J103" s="43"/>
      <c r="K103" s="215"/>
      <c r="L103" s="176"/>
    </row>
    <row r="104" spans="1:12" ht="12.75">
      <c r="A104" s="173" t="s">
        <v>17</v>
      </c>
      <c r="B104" s="140">
        <v>4</v>
      </c>
      <c r="C104" s="123"/>
      <c r="D104" s="3"/>
      <c r="E104" s="3"/>
      <c r="F104" s="3"/>
      <c r="G104" s="3"/>
      <c r="H104" s="3"/>
      <c r="I104" s="269">
        <f>I22</f>
        <v>0</v>
      </c>
      <c r="J104" s="43"/>
      <c r="K104" s="215"/>
      <c r="L104" s="176"/>
    </row>
    <row r="105" spans="1:12" ht="12.75">
      <c r="A105" s="173" t="s">
        <v>167</v>
      </c>
      <c r="B105" s="140">
        <v>4</v>
      </c>
      <c r="C105" s="123"/>
      <c r="D105" s="3"/>
      <c r="E105" s="3"/>
      <c r="F105" s="3"/>
      <c r="G105" s="3"/>
      <c r="H105" s="3"/>
      <c r="I105" s="269">
        <f>I23</f>
        <v>821850</v>
      </c>
      <c r="J105" s="43"/>
      <c r="K105" s="215"/>
      <c r="L105" s="176"/>
    </row>
    <row r="106" spans="1:12" ht="12.75">
      <c r="A106" s="173" t="s">
        <v>52</v>
      </c>
      <c r="B106" s="140">
        <v>5</v>
      </c>
      <c r="C106" s="123"/>
      <c r="D106" s="3"/>
      <c r="E106" s="3"/>
      <c r="F106" s="3"/>
      <c r="G106" s="3"/>
      <c r="H106" s="3"/>
      <c r="I106" s="269">
        <f>I24</f>
        <v>0</v>
      </c>
      <c r="J106" s="43"/>
      <c r="K106" s="215"/>
      <c r="L106" s="176"/>
    </row>
    <row r="107" spans="1:12" ht="12.75">
      <c r="A107" s="173" t="s">
        <v>442</v>
      </c>
      <c r="B107" s="140">
        <v>6</v>
      </c>
      <c r="C107" s="123"/>
      <c r="D107" s="3"/>
      <c r="E107" s="3"/>
      <c r="F107" s="3"/>
      <c r="G107" s="3"/>
      <c r="H107" s="3"/>
      <c r="I107" s="269">
        <f>I27</f>
        <v>0</v>
      </c>
      <c r="J107" s="43"/>
      <c r="K107" s="215"/>
      <c r="L107" s="176"/>
    </row>
    <row r="108" spans="1:12" ht="12.75">
      <c r="A108" s="173" t="s">
        <v>443</v>
      </c>
      <c r="B108" s="140">
        <v>6</v>
      </c>
      <c r="C108" s="123"/>
      <c r="D108" s="3"/>
      <c r="E108" s="3"/>
      <c r="F108" s="3"/>
      <c r="G108" s="3"/>
      <c r="H108" s="3"/>
      <c r="I108" s="269">
        <f>I29</f>
        <v>0</v>
      </c>
      <c r="J108" s="43"/>
      <c r="K108" s="215"/>
      <c r="L108" s="176"/>
    </row>
    <row r="109" spans="1:12" ht="12.75">
      <c r="A109" s="171" t="s">
        <v>441</v>
      </c>
      <c r="B109" s="140"/>
      <c r="C109" s="123"/>
      <c r="D109" s="3"/>
      <c r="E109" s="3"/>
      <c r="F109" s="3"/>
      <c r="G109" s="3"/>
      <c r="H109" s="3"/>
      <c r="I109" s="36"/>
      <c r="J109" s="43"/>
      <c r="K109" s="215"/>
      <c r="L109" s="176"/>
    </row>
    <row r="110" spans="1:12" ht="12.75">
      <c r="A110" s="173" t="s">
        <v>126</v>
      </c>
      <c r="B110" s="140">
        <v>8</v>
      </c>
      <c r="C110" s="123"/>
      <c r="D110" s="3"/>
      <c r="E110" s="3"/>
      <c r="F110" s="3"/>
      <c r="G110" s="3"/>
      <c r="H110" s="3"/>
      <c r="I110" s="269">
        <f>I34</f>
        <v>0</v>
      </c>
      <c r="J110" s="43"/>
      <c r="K110" s="215"/>
      <c r="L110" s="176"/>
    </row>
    <row r="111" spans="1:12" ht="12.75">
      <c r="A111" s="173" t="s">
        <v>53</v>
      </c>
      <c r="B111" s="140">
        <v>9</v>
      </c>
      <c r="C111" s="123"/>
      <c r="D111" s="3"/>
      <c r="E111" s="3"/>
      <c r="F111" s="3"/>
      <c r="G111" s="3"/>
      <c r="H111" s="3"/>
      <c r="I111" s="269">
        <f>I35</f>
        <v>0</v>
      </c>
      <c r="J111" s="43"/>
      <c r="K111" s="215"/>
      <c r="L111" s="176"/>
    </row>
    <row r="112" spans="1:12" ht="12.75">
      <c r="A112" s="173" t="s">
        <v>52</v>
      </c>
      <c r="B112" s="140">
        <v>10</v>
      </c>
      <c r="C112" s="123"/>
      <c r="D112" s="3"/>
      <c r="E112" s="3"/>
      <c r="F112" s="3"/>
      <c r="G112" s="3"/>
      <c r="H112" s="3"/>
      <c r="I112" s="269">
        <f>I36</f>
        <v>0</v>
      </c>
      <c r="J112" s="43"/>
      <c r="K112" s="215"/>
      <c r="L112" s="176"/>
    </row>
    <row r="113" spans="1:12" ht="12.75">
      <c r="A113" s="170" t="s">
        <v>531</v>
      </c>
      <c r="B113" s="140">
        <v>11</v>
      </c>
      <c r="C113" s="123"/>
      <c r="D113" s="3"/>
      <c r="E113" s="3"/>
      <c r="F113" s="3"/>
      <c r="G113" s="3"/>
      <c r="H113" s="3"/>
      <c r="I113" s="269">
        <f>I207</f>
        <v>473973.6825000001</v>
      </c>
      <c r="J113" s="201"/>
      <c r="K113" s="215"/>
      <c r="L113" s="176"/>
    </row>
    <row r="114" spans="1:12" ht="12.75">
      <c r="A114" s="170" t="s">
        <v>22</v>
      </c>
      <c r="B114" s="138">
        <v>4</v>
      </c>
      <c r="C114" s="123"/>
      <c r="D114" s="3"/>
      <c r="E114" s="3"/>
      <c r="F114" s="3"/>
      <c r="G114" s="3"/>
      <c r="H114" s="3"/>
      <c r="I114" s="269">
        <f>I39</f>
        <v>0</v>
      </c>
      <c r="J114" s="43"/>
      <c r="K114" s="215"/>
      <c r="L114" s="176"/>
    </row>
    <row r="115" spans="1:12" ht="12.75">
      <c r="A115" s="170" t="s">
        <v>168</v>
      </c>
      <c r="B115" s="138">
        <v>4</v>
      </c>
      <c r="C115" s="123"/>
      <c r="D115" s="3"/>
      <c r="E115" s="3"/>
      <c r="F115" s="3"/>
      <c r="G115" s="3"/>
      <c r="H115" s="3"/>
      <c r="I115" s="269">
        <f>I40</f>
        <v>474521</v>
      </c>
      <c r="J115" s="43"/>
      <c r="K115" s="215"/>
      <c r="L115" s="176"/>
    </row>
    <row r="116" spans="1:12" ht="12.75">
      <c r="A116" s="170" t="s">
        <v>19</v>
      </c>
      <c r="B116" s="138">
        <v>3</v>
      </c>
      <c r="C116" s="123"/>
      <c r="D116" s="3"/>
      <c r="E116" s="3"/>
      <c r="F116" s="3"/>
      <c r="G116" s="3"/>
      <c r="H116" s="3"/>
      <c r="I116" s="269">
        <f>I41</f>
        <v>0</v>
      </c>
      <c r="J116" s="43"/>
      <c r="K116" s="215"/>
      <c r="L116" s="176"/>
    </row>
    <row r="117" spans="1:12" ht="12.75">
      <c r="A117" s="170" t="s">
        <v>20</v>
      </c>
      <c r="B117" s="138">
        <v>3</v>
      </c>
      <c r="C117" s="123"/>
      <c r="D117" s="3"/>
      <c r="E117" s="3"/>
      <c r="F117" s="3"/>
      <c r="G117" s="3"/>
      <c r="H117" s="3"/>
      <c r="I117" s="269">
        <f>I42</f>
        <v>0</v>
      </c>
      <c r="J117" s="43"/>
      <c r="K117" s="215"/>
      <c r="L117" s="176"/>
    </row>
    <row r="118" spans="1:12" ht="12.75">
      <c r="A118" s="173" t="s">
        <v>444</v>
      </c>
      <c r="B118" s="140">
        <v>12</v>
      </c>
      <c r="C118" s="123"/>
      <c r="D118" s="3"/>
      <c r="E118" s="3"/>
      <c r="F118" s="3"/>
      <c r="G118" s="3"/>
      <c r="H118" s="3"/>
      <c r="I118" s="269">
        <f>I46</f>
        <v>0</v>
      </c>
      <c r="J118" s="43"/>
      <c r="K118" s="215"/>
      <c r="L118" s="176"/>
    </row>
    <row r="119" spans="1:12" ht="12.75">
      <c r="A119" s="173" t="s">
        <v>445</v>
      </c>
      <c r="B119" s="140">
        <v>12</v>
      </c>
      <c r="C119" s="123"/>
      <c r="D119" s="3"/>
      <c r="E119" s="3"/>
      <c r="F119" s="3"/>
      <c r="G119" s="3"/>
      <c r="H119" s="3"/>
      <c r="I119" s="269">
        <f>I48</f>
        <v>0</v>
      </c>
      <c r="J119" s="43"/>
      <c r="K119" s="215"/>
      <c r="L119" s="176"/>
    </row>
    <row r="120" spans="1:12" ht="12.75">
      <c r="A120" s="173"/>
      <c r="B120" s="140"/>
      <c r="C120" s="123"/>
      <c r="D120" s="3"/>
      <c r="E120" s="3"/>
      <c r="F120" s="3"/>
      <c r="G120" s="3"/>
      <c r="H120" s="3"/>
      <c r="I120" s="121"/>
      <c r="J120" s="43"/>
      <c r="K120" s="215"/>
      <c r="L120" s="176"/>
    </row>
    <row r="121" spans="1:12" ht="12.75">
      <c r="A121" s="167" t="s">
        <v>304</v>
      </c>
      <c r="B121" s="140">
        <v>26</v>
      </c>
      <c r="C121" s="123"/>
      <c r="D121" s="3"/>
      <c r="E121" s="3"/>
      <c r="F121" s="3"/>
      <c r="G121" s="128"/>
      <c r="H121" s="128" t="s">
        <v>261</v>
      </c>
      <c r="I121" s="283">
        <f>SUM(I103:I108)-SUM(I110:I119)</f>
        <v>-126644.68250000011</v>
      </c>
      <c r="J121" s="43"/>
      <c r="K121" s="215"/>
      <c r="L121" s="176"/>
    </row>
    <row r="122" spans="1:12" ht="12.75">
      <c r="A122" s="167"/>
      <c r="B122" s="140"/>
      <c r="C122" s="123"/>
      <c r="D122" s="3"/>
      <c r="E122" s="3"/>
      <c r="F122" s="3"/>
      <c r="G122" s="128"/>
      <c r="H122" s="128"/>
      <c r="I122" s="121"/>
      <c r="J122" s="43"/>
      <c r="K122" s="215"/>
      <c r="L122" s="176"/>
    </row>
    <row r="123" spans="1:12" ht="12.75">
      <c r="A123" s="172" t="s">
        <v>487</v>
      </c>
      <c r="B123" s="140"/>
      <c r="C123" s="123"/>
      <c r="D123" s="3"/>
      <c r="E123" s="3"/>
      <c r="F123" s="3"/>
      <c r="G123" s="3"/>
      <c r="H123" s="3" t="s">
        <v>317</v>
      </c>
      <c r="I123" s="345">
        <f>K54</f>
        <v>0.3612</v>
      </c>
      <c r="J123" s="129"/>
      <c r="K123" s="215" t="s">
        <v>169</v>
      </c>
      <c r="L123" s="176"/>
    </row>
    <row r="124" spans="1:12" ht="12.75">
      <c r="A124" s="173"/>
      <c r="B124" s="140"/>
      <c r="C124" s="123"/>
      <c r="D124" s="3"/>
      <c r="E124" s="3"/>
      <c r="F124" s="3"/>
      <c r="G124" s="3"/>
      <c r="H124" s="3"/>
      <c r="I124" s="121"/>
      <c r="J124" s="43"/>
      <c r="K124" s="215" t="s">
        <v>169</v>
      </c>
      <c r="L124" s="176"/>
    </row>
    <row r="125" spans="1:12" ht="12.75">
      <c r="A125" s="173" t="s">
        <v>331</v>
      </c>
      <c r="B125" s="140"/>
      <c r="C125" s="123"/>
      <c r="D125" s="3"/>
      <c r="E125" s="3"/>
      <c r="F125" s="3"/>
      <c r="G125" s="3"/>
      <c r="H125" s="3" t="s">
        <v>261</v>
      </c>
      <c r="I125" s="283">
        <f>I121*I123</f>
        <v>-45744.05931900004</v>
      </c>
      <c r="J125" s="43"/>
      <c r="K125" s="215"/>
      <c r="L125" s="176"/>
    </row>
    <row r="126" spans="1:12" ht="12.75">
      <c r="A126" s="173"/>
      <c r="B126" s="140"/>
      <c r="C126" s="123"/>
      <c r="D126" s="3"/>
      <c r="E126" s="3"/>
      <c r="F126" s="3"/>
      <c r="G126" s="3"/>
      <c r="H126" s="3"/>
      <c r="I126" s="121"/>
      <c r="J126" s="43"/>
      <c r="K126" s="215"/>
      <c r="L126" s="176"/>
    </row>
    <row r="127" spans="1:12" ht="12.75">
      <c r="A127" s="173" t="s">
        <v>179</v>
      </c>
      <c r="B127" s="140">
        <v>14</v>
      </c>
      <c r="C127" s="123"/>
      <c r="D127" s="3"/>
      <c r="E127" s="3"/>
      <c r="F127" s="3"/>
      <c r="G127" s="3"/>
      <c r="H127" s="3"/>
      <c r="I127" s="283">
        <f>I59</f>
        <v>0</v>
      </c>
      <c r="J127" s="43"/>
      <c r="K127" s="215"/>
      <c r="L127" s="176"/>
    </row>
    <row r="128" spans="1:12" ht="12.75">
      <c r="A128" s="173"/>
      <c r="B128" s="140"/>
      <c r="C128" s="123"/>
      <c r="D128" s="3"/>
      <c r="E128" s="3"/>
      <c r="F128" s="3"/>
      <c r="G128" s="3"/>
      <c r="H128" s="3"/>
      <c r="I128" s="121"/>
      <c r="J128" s="43"/>
      <c r="K128" s="215"/>
      <c r="L128" s="176"/>
    </row>
    <row r="129" spans="1:12" ht="12.75">
      <c r="A129" s="173" t="s">
        <v>182</v>
      </c>
      <c r="B129" s="140"/>
      <c r="C129" s="123"/>
      <c r="D129" s="3"/>
      <c r="E129" s="3"/>
      <c r="F129" s="3"/>
      <c r="G129" s="3"/>
      <c r="H129" s="3"/>
      <c r="I129" s="283">
        <f>I125-I127</f>
        <v>-45744.05931900004</v>
      </c>
      <c r="J129" s="43"/>
      <c r="K129" s="215"/>
      <c r="L129" s="176"/>
    </row>
    <row r="130" spans="1:12" ht="12.75">
      <c r="A130" s="179"/>
      <c r="B130" s="140"/>
      <c r="C130" s="123"/>
      <c r="D130" s="3"/>
      <c r="E130" s="3"/>
      <c r="F130" s="3"/>
      <c r="G130" s="3"/>
      <c r="H130" s="3"/>
      <c r="I130" s="121"/>
      <c r="J130" s="43"/>
      <c r="K130" s="215"/>
      <c r="L130" s="176"/>
    </row>
    <row r="131" spans="1:12" ht="12.75">
      <c r="A131" s="167" t="s">
        <v>488</v>
      </c>
      <c r="B131" s="140"/>
      <c r="C131" s="123"/>
      <c r="D131" s="3"/>
      <c r="E131" s="3"/>
      <c r="F131" s="3"/>
      <c r="G131" s="3"/>
      <c r="H131" s="3"/>
      <c r="I131" s="345">
        <f>K54-1.12%</f>
        <v>0.35000000000000003</v>
      </c>
      <c r="J131" s="43"/>
      <c r="K131" s="215"/>
      <c r="L131" s="176"/>
    </row>
    <row r="132" spans="1:12" ht="12.75">
      <c r="A132" s="165"/>
      <c r="B132" s="140"/>
      <c r="C132" s="123"/>
      <c r="D132" s="3"/>
      <c r="E132" s="3"/>
      <c r="F132" s="3"/>
      <c r="G132" s="3"/>
      <c r="H132" s="3"/>
      <c r="I132" s="121"/>
      <c r="J132" s="43"/>
      <c r="K132" s="215"/>
      <c r="L132" s="176"/>
    </row>
    <row r="133" spans="1:12" ht="12.75">
      <c r="A133" s="180" t="s">
        <v>430</v>
      </c>
      <c r="B133" s="143"/>
      <c r="C133" s="123"/>
      <c r="D133" s="3"/>
      <c r="E133" s="3"/>
      <c r="F133" s="3"/>
      <c r="G133" s="3"/>
      <c r="H133" s="3"/>
      <c r="I133" s="282">
        <f>I129/(1-I131)</f>
        <v>-70375.4758753847</v>
      </c>
      <c r="J133" s="43"/>
      <c r="K133" s="215"/>
      <c r="L133" s="176"/>
    </row>
    <row r="134" spans="1:12" ht="12.75">
      <c r="A134" s="180"/>
      <c r="B134" s="143"/>
      <c r="C134" s="123"/>
      <c r="D134" s="3"/>
      <c r="E134" s="3"/>
      <c r="F134" s="3"/>
      <c r="G134" s="3"/>
      <c r="H134" s="3"/>
      <c r="I134" s="118"/>
      <c r="J134" s="43"/>
      <c r="K134" s="215"/>
      <c r="L134" s="176"/>
    </row>
    <row r="135" spans="1:12" ht="30">
      <c r="A135" s="181" t="s">
        <v>433</v>
      </c>
      <c r="B135" s="143"/>
      <c r="C135" s="123"/>
      <c r="D135" s="3"/>
      <c r="E135" s="3"/>
      <c r="F135" s="3"/>
      <c r="G135" s="3"/>
      <c r="H135" s="3"/>
      <c r="I135" s="118"/>
      <c r="J135" s="43"/>
      <c r="K135" s="215"/>
      <c r="L135" s="176"/>
    </row>
    <row r="136" spans="1:12" ht="12.75">
      <c r="A136" s="182"/>
      <c r="B136" s="143"/>
      <c r="C136" s="123"/>
      <c r="D136" s="3"/>
      <c r="E136" s="3"/>
      <c r="F136" s="3"/>
      <c r="G136" s="3"/>
      <c r="H136" s="3"/>
      <c r="I136" s="118"/>
      <c r="J136" s="43"/>
      <c r="K136" s="215"/>
      <c r="L136" s="176"/>
    </row>
    <row r="137" spans="1:12" ht="25.5">
      <c r="A137" s="183" t="s">
        <v>321</v>
      </c>
      <c r="B137" s="143"/>
      <c r="C137" s="123"/>
      <c r="D137" s="3"/>
      <c r="E137" s="3"/>
      <c r="F137" s="3"/>
      <c r="G137" s="130"/>
      <c r="H137" s="130" t="s">
        <v>261</v>
      </c>
      <c r="I137" s="335">
        <f>C51</f>
        <v>2513340.137100001</v>
      </c>
      <c r="J137" s="43"/>
      <c r="K137" s="215"/>
      <c r="L137" s="176"/>
    </row>
    <row r="138" spans="1:12" ht="12.75">
      <c r="A138" s="183"/>
      <c r="B138" s="143"/>
      <c r="C138" s="123"/>
      <c r="D138" s="3"/>
      <c r="E138" s="3"/>
      <c r="F138" s="3"/>
      <c r="G138" s="131"/>
      <c r="H138" s="131"/>
      <c r="I138" s="160"/>
      <c r="J138" s="43"/>
      <c r="K138" s="215"/>
      <c r="L138" s="176"/>
    </row>
    <row r="139" spans="1:12" ht="12.75">
      <c r="A139" s="183" t="s">
        <v>323</v>
      </c>
      <c r="B139" s="143"/>
      <c r="C139" s="123"/>
      <c r="D139" s="3"/>
      <c r="E139" s="3"/>
      <c r="F139" s="3"/>
      <c r="G139" s="131"/>
      <c r="H139" s="131" t="s">
        <v>317</v>
      </c>
      <c r="I139" s="345">
        <f>IF($C$51=0,'Tax Rates'!F52,IF((C51)&gt;'Tax Rates'!E47,'Tax Rates'!F52,IF((C51)&gt;'Tax Rates'!D47,'Tax Rates'!E52,IF((C51)&gt;'Tax Rates'!C47,'Tax Rates'!D52,'Tax Rates'!C52))))</f>
        <v>0.3612</v>
      </c>
      <c r="J139" s="211" t="s">
        <v>169</v>
      </c>
      <c r="K139" s="215"/>
      <c r="L139" s="176"/>
    </row>
    <row r="140" spans="1:12" ht="12.75">
      <c r="A140" s="183"/>
      <c r="B140" s="143"/>
      <c r="C140" s="123"/>
      <c r="D140" s="3"/>
      <c r="E140" s="3"/>
      <c r="F140" s="3"/>
      <c r="G140" s="131"/>
      <c r="H140" s="131"/>
      <c r="I140" s="159"/>
      <c r="J140" s="43"/>
      <c r="K140" s="215"/>
      <c r="L140" s="176"/>
    </row>
    <row r="141" spans="1:12" ht="12.75">
      <c r="A141" s="183" t="s">
        <v>315</v>
      </c>
      <c r="B141" s="143"/>
      <c r="C141" s="123"/>
      <c r="D141" s="3"/>
      <c r="E141" s="3"/>
      <c r="F141" s="3"/>
      <c r="G141" s="130"/>
      <c r="H141" s="130" t="s">
        <v>261</v>
      </c>
      <c r="I141" s="336">
        <f>IF(I137&gt;0,I137*I139,0)</f>
        <v>907818.4575205203</v>
      </c>
      <c r="J141" s="43"/>
      <c r="K141" s="215"/>
      <c r="L141" s="176"/>
    </row>
    <row r="142" spans="1:12" ht="12.75">
      <c r="A142" s="183"/>
      <c r="B142" s="143"/>
      <c r="C142" s="123"/>
      <c r="D142" s="3"/>
      <c r="E142" s="3"/>
      <c r="F142" s="3"/>
      <c r="G142" s="131"/>
      <c r="H142" s="131"/>
      <c r="I142" s="159"/>
      <c r="J142" s="43"/>
      <c r="K142" s="215"/>
      <c r="L142" s="176"/>
    </row>
    <row r="143" spans="1:12" ht="12.75">
      <c r="A143" s="183" t="s">
        <v>324</v>
      </c>
      <c r="B143" s="143"/>
      <c r="C143" s="123"/>
      <c r="D143" s="3"/>
      <c r="E143" s="3"/>
      <c r="F143" s="3"/>
      <c r="G143" s="130"/>
      <c r="H143" s="130" t="s">
        <v>259</v>
      </c>
      <c r="I143" s="337">
        <f>TAXREC!E148</f>
        <v>0</v>
      </c>
      <c r="J143" s="43"/>
      <c r="K143" s="215"/>
      <c r="L143" s="176"/>
    </row>
    <row r="144" spans="1:12" ht="12.75">
      <c r="A144" s="183"/>
      <c r="B144" s="143"/>
      <c r="C144" s="123"/>
      <c r="D144" s="3"/>
      <c r="E144" s="3"/>
      <c r="F144" s="3"/>
      <c r="G144" s="131"/>
      <c r="H144" s="131"/>
      <c r="I144" s="159"/>
      <c r="J144" s="43"/>
      <c r="K144" s="215"/>
      <c r="L144" s="176"/>
    </row>
    <row r="145" spans="1:12" ht="12.75">
      <c r="A145" s="183" t="s">
        <v>316</v>
      </c>
      <c r="B145" s="143"/>
      <c r="C145" s="123"/>
      <c r="D145" s="3"/>
      <c r="E145" s="3"/>
      <c r="F145" s="3"/>
      <c r="G145" s="131"/>
      <c r="H145" s="131" t="s">
        <v>261</v>
      </c>
      <c r="I145" s="335">
        <f>I141-I143</f>
        <v>907818.4575205203</v>
      </c>
      <c r="J145" s="43"/>
      <c r="K145" s="215"/>
      <c r="L145" s="176"/>
    </row>
    <row r="146" spans="1:12" ht="12.75">
      <c r="A146" s="183"/>
      <c r="B146" s="143"/>
      <c r="C146" s="123"/>
      <c r="D146" s="3"/>
      <c r="E146" s="3"/>
      <c r="F146" s="3"/>
      <c r="G146" s="131"/>
      <c r="H146" s="131"/>
      <c r="I146" s="159"/>
      <c r="J146" s="43"/>
      <c r="K146" s="215"/>
      <c r="L146" s="176"/>
    </row>
    <row r="147" spans="1:12" ht="25.5">
      <c r="A147" s="183" t="s">
        <v>533</v>
      </c>
      <c r="B147" s="143"/>
      <c r="C147" s="123"/>
      <c r="D147" s="3"/>
      <c r="E147" s="3"/>
      <c r="F147" s="3"/>
      <c r="G147" s="130"/>
      <c r="H147" s="130" t="s">
        <v>259</v>
      </c>
      <c r="I147" s="335">
        <f>C61</f>
        <v>907818.4575205203</v>
      </c>
      <c r="J147" s="43"/>
      <c r="K147" s="215"/>
      <c r="L147" s="176"/>
    </row>
    <row r="148" spans="1:12" ht="12.75">
      <c r="A148" s="183"/>
      <c r="B148" s="143"/>
      <c r="C148" s="123"/>
      <c r="D148" s="3"/>
      <c r="E148" s="3"/>
      <c r="F148" s="3"/>
      <c r="G148" s="131"/>
      <c r="H148" s="131"/>
      <c r="I148" s="159"/>
      <c r="J148" s="43"/>
      <c r="K148" s="215"/>
      <c r="L148" s="176"/>
    </row>
    <row r="149" spans="1:12" ht="12.75">
      <c r="A149" s="183" t="s">
        <v>318</v>
      </c>
      <c r="B149" s="143"/>
      <c r="C149" s="123"/>
      <c r="D149" s="3"/>
      <c r="E149" s="3"/>
      <c r="F149" s="3"/>
      <c r="G149" s="130"/>
      <c r="H149" s="130" t="s">
        <v>261</v>
      </c>
      <c r="I149" s="335">
        <f>I145-I147</f>
        <v>0</v>
      </c>
      <c r="J149" s="43"/>
      <c r="K149" s="215"/>
      <c r="L149" s="176"/>
    </row>
    <row r="150" spans="1:12" ht="12.75">
      <c r="A150" s="183"/>
      <c r="B150" s="143"/>
      <c r="C150" s="123"/>
      <c r="D150" s="3"/>
      <c r="E150" s="3"/>
      <c r="F150" s="3"/>
      <c r="G150" s="131"/>
      <c r="H150" s="131"/>
      <c r="I150" s="159"/>
      <c r="J150" s="43"/>
      <c r="K150" s="215"/>
      <c r="L150" s="176"/>
    </row>
    <row r="151" spans="1:12" ht="12.75">
      <c r="A151" s="418" t="s">
        <v>27</v>
      </c>
      <c r="B151" s="143"/>
      <c r="C151" s="123"/>
      <c r="D151" s="3"/>
      <c r="E151" s="3"/>
      <c r="F151" s="3"/>
      <c r="G151" s="131"/>
      <c r="H151" s="131"/>
      <c r="I151" s="337"/>
      <c r="J151" s="43"/>
      <c r="K151" s="215"/>
      <c r="L151" s="176"/>
    </row>
    <row r="152" spans="1:12" ht="12.75">
      <c r="A152" s="183" t="s">
        <v>24</v>
      </c>
      <c r="B152" s="143"/>
      <c r="C152" s="123"/>
      <c r="D152" s="3"/>
      <c r="E152" s="3"/>
      <c r="F152" s="3"/>
      <c r="G152" s="131"/>
      <c r="H152" s="131" t="s">
        <v>261</v>
      </c>
      <c r="I152" s="335">
        <f>C67</f>
        <v>46980726</v>
      </c>
      <c r="J152" s="43"/>
      <c r="K152" s="215"/>
      <c r="L152" s="176"/>
    </row>
    <row r="153" spans="1:12" ht="12.75">
      <c r="A153" s="183" t="s">
        <v>437</v>
      </c>
      <c r="B153" s="143"/>
      <c r="C153" s="123"/>
      <c r="D153" s="3"/>
      <c r="E153" s="3"/>
      <c r="F153" s="3"/>
      <c r="G153" s="130"/>
      <c r="H153" s="130" t="s">
        <v>259</v>
      </c>
      <c r="I153" s="338">
        <f>IF(I152&gt;0,'Tax Rates'!C39,0)</f>
        <v>7500000</v>
      </c>
      <c r="J153" s="43"/>
      <c r="K153" s="215"/>
      <c r="L153" s="176"/>
    </row>
    <row r="154" spans="1:12" ht="12.75">
      <c r="A154" s="183" t="s">
        <v>319</v>
      </c>
      <c r="B154" s="143"/>
      <c r="C154" s="123"/>
      <c r="D154" s="3"/>
      <c r="E154" s="3"/>
      <c r="F154" s="3"/>
      <c r="G154" s="130"/>
      <c r="H154" s="130" t="s">
        <v>261</v>
      </c>
      <c r="I154" s="335">
        <f>I152-I153</f>
        <v>39480726</v>
      </c>
      <c r="J154" s="43"/>
      <c r="K154" s="215"/>
      <c r="L154" s="176"/>
    </row>
    <row r="155" spans="1:12" ht="12.75">
      <c r="A155" s="183"/>
      <c r="B155" s="143"/>
      <c r="C155" s="123"/>
      <c r="D155" s="3"/>
      <c r="E155" s="3"/>
      <c r="F155" s="3"/>
      <c r="G155" s="131"/>
      <c r="H155" s="131"/>
      <c r="I155" s="159"/>
      <c r="J155" s="43"/>
      <c r="K155" s="215"/>
      <c r="L155" s="176"/>
    </row>
    <row r="156" spans="1:12" ht="12.75">
      <c r="A156" s="183" t="s">
        <v>438</v>
      </c>
      <c r="B156" s="143"/>
      <c r="C156" s="123"/>
      <c r="D156" s="3"/>
      <c r="E156" s="3"/>
      <c r="F156" s="3"/>
      <c r="G156" s="131"/>
      <c r="H156" s="131" t="s">
        <v>317</v>
      </c>
      <c r="I156" s="339">
        <f>'Tax Rates'!C54</f>
        <v>0.003</v>
      </c>
      <c r="J156" s="43"/>
      <c r="K156" s="215"/>
      <c r="L156" s="176"/>
    </row>
    <row r="157" spans="1:12" ht="12.75">
      <c r="A157" s="183"/>
      <c r="B157" s="143"/>
      <c r="C157" s="123"/>
      <c r="D157" s="3"/>
      <c r="E157" s="3"/>
      <c r="F157" s="3"/>
      <c r="G157" s="131"/>
      <c r="H157" s="131"/>
      <c r="I157" s="159"/>
      <c r="J157" s="43"/>
      <c r="K157" s="215"/>
      <c r="L157" s="176"/>
    </row>
    <row r="158" spans="1:12" ht="12.75">
      <c r="A158" s="183" t="s">
        <v>320</v>
      </c>
      <c r="B158" s="143"/>
      <c r="C158" s="123"/>
      <c r="D158" s="3"/>
      <c r="E158" s="3"/>
      <c r="F158" s="3"/>
      <c r="G158" s="131"/>
      <c r="H158" s="131" t="s">
        <v>261</v>
      </c>
      <c r="I158" s="335">
        <f>IF(I154&gt;0,I154*I156,0)</f>
        <v>118442.178</v>
      </c>
      <c r="J158" s="43"/>
      <c r="K158" s="215"/>
      <c r="L158" s="176"/>
    </row>
    <row r="159" spans="1:12" ht="25.5">
      <c r="A159" s="183" t="s">
        <v>534</v>
      </c>
      <c r="B159" s="143"/>
      <c r="C159" s="123"/>
      <c r="D159" s="3"/>
      <c r="E159" s="3"/>
      <c r="F159" s="3"/>
      <c r="G159" s="130"/>
      <c r="H159" s="130" t="s">
        <v>259</v>
      </c>
      <c r="I159" s="338">
        <f>C73</f>
        <v>122357.178</v>
      </c>
      <c r="J159" s="43"/>
      <c r="K159" s="215"/>
      <c r="L159" s="176"/>
    </row>
    <row r="160" spans="1:12" ht="12.75" customHeight="1">
      <c r="A160" s="184" t="s">
        <v>329</v>
      </c>
      <c r="B160" s="143"/>
      <c r="C160" s="123"/>
      <c r="D160" s="3"/>
      <c r="E160" s="3"/>
      <c r="F160" s="3"/>
      <c r="G160" s="130"/>
      <c r="H160" s="130" t="s">
        <v>261</v>
      </c>
      <c r="I160" s="335">
        <f>I158-I159</f>
        <v>-3915</v>
      </c>
      <c r="J160" s="43"/>
      <c r="K160" s="215"/>
      <c r="L160" s="176"/>
    </row>
    <row r="161" spans="1:12" ht="12.75">
      <c r="A161" s="183"/>
      <c r="B161" s="143"/>
      <c r="C161" s="123"/>
      <c r="D161" s="3"/>
      <c r="E161" s="3"/>
      <c r="F161" s="3"/>
      <c r="G161" s="131"/>
      <c r="H161" s="131"/>
      <c r="I161" s="159"/>
      <c r="J161" s="43"/>
      <c r="K161" s="215"/>
      <c r="L161" s="176"/>
    </row>
    <row r="162" spans="1:12" ht="12.75">
      <c r="A162" s="418" t="s">
        <v>322</v>
      </c>
      <c r="B162" s="143"/>
      <c r="C162" s="123"/>
      <c r="D162" s="3"/>
      <c r="E162" s="3"/>
      <c r="F162" s="3"/>
      <c r="G162" s="131"/>
      <c r="H162" s="131"/>
      <c r="I162" s="466"/>
      <c r="J162" s="43"/>
      <c r="K162" s="215"/>
      <c r="L162" s="176"/>
    </row>
    <row r="163" spans="1:12" ht="12.75">
      <c r="A163" s="183" t="s">
        <v>24</v>
      </c>
      <c r="B163" s="143"/>
      <c r="C163" s="123"/>
      <c r="D163" s="3"/>
      <c r="E163" s="3"/>
      <c r="F163" s="3"/>
      <c r="G163" s="131"/>
      <c r="H163" s="131"/>
      <c r="I163" s="335">
        <f>C76</f>
        <v>46980726</v>
      </c>
      <c r="J163" s="43"/>
      <c r="K163" s="215"/>
      <c r="L163" s="176"/>
    </row>
    <row r="164" spans="1:12" ht="12.75">
      <c r="A164" s="183" t="s">
        <v>436</v>
      </c>
      <c r="B164" s="143"/>
      <c r="C164" s="123"/>
      <c r="D164" s="3"/>
      <c r="E164" s="3"/>
      <c r="F164" s="3"/>
      <c r="G164" s="130"/>
      <c r="H164" s="130" t="s">
        <v>259</v>
      </c>
      <c r="I164" s="338">
        <f>IF(I163&gt;0,'Tax Rates'!C40,0)</f>
        <v>50000000</v>
      </c>
      <c r="J164" s="43"/>
      <c r="K164" s="215"/>
      <c r="L164" s="176"/>
    </row>
    <row r="165" spans="1:12" ht="12.75">
      <c r="A165" s="183" t="s">
        <v>325</v>
      </c>
      <c r="B165" s="143"/>
      <c r="C165" s="123"/>
      <c r="D165" s="3"/>
      <c r="E165" s="3"/>
      <c r="F165" s="3"/>
      <c r="G165" s="131"/>
      <c r="H165" s="131" t="s">
        <v>261</v>
      </c>
      <c r="I165" s="335">
        <f>I163-I164</f>
        <v>-3019274</v>
      </c>
      <c r="J165" s="43"/>
      <c r="K165" s="215"/>
      <c r="L165" s="176"/>
    </row>
    <row r="166" spans="1:12" ht="12.75">
      <c r="A166" s="183"/>
      <c r="B166" s="143"/>
      <c r="C166" s="123"/>
      <c r="D166" s="3"/>
      <c r="E166" s="3"/>
      <c r="F166" s="3"/>
      <c r="G166" s="131"/>
      <c r="H166" s="131"/>
      <c r="I166" s="159"/>
      <c r="J166" s="43"/>
      <c r="K166" s="215"/>
      <c r="L166" s="176"/>
    </row>
    <row r="167" spans="1:12" ht="12.75">
      <c r="A167" s="183" t="s">
        <v>481</v>
      </c>
      <c r="B167" s="143"/>
      <c r="C167" s="123"/>
      <c r="D167" s="3"/>
      <c r="E167" s="3"/>
      <c r="F167" s="3"/>
      <c r="G167" s="131"/>
      <c r="H167" s="131"/>
      <c r="I167" s="339">
        <f>'Tax Rates'!C55</f>
        <v>0.00175</v>
      </c>
      <c r="J167" s="43"/>
      <c r="K167" s="215"/>
      <c r="L167" s="176"/>
    </row>
    <row r="168" spans="1:12" ht="12.75">
      <c r="A168" s="183"/>
      <c r="B168" s="143"/>
      <c r="C168" s="123"/>
      <c r="D168" s="3"/>
      <c r="E168" s="3"/>
      <c r="F168" s="3"/>
      <c r="G168" s="131"/>
      <c r="H168" s="131"/>
      <c r="I168" s="159"/>
      <c r="J168" s="43"/>
      <c r="K168" s="215"/>
      <c r="L168" s="176"/>
    </row>
    <row r="169" spans="1:12" ht="12.75">
      <c r="A169" s="183" t="s">
        <v>326</v>
      </c>
      <c r="B169" s="143"/>
      <c r="C169" s="123"/>
      <c r="D169" s="3"/>
      <c r="E169" s="3"/>
      <c r="F169" s="3"/>
      <c r="G169" s="131"/>
      <c r="H169" s="131"/>
      <c r="I169" s="335">
        <f>IF(I165&gt;0,I165*I167,0)</f>
        <v>0</v>
      </c>
      <c r="J169" s="43"/>
      <c r="K169" s="215"/>
      <c r="L169" s="176"/>
    </row>
    <row r="170" spans="1:12" ht="12.75">
      <c r="A170" s="183" t="s">
        <v>402</v>
      </c>
      <c r="B170" s="143"/>
      <c r="C170" s="123"/>
      <c r="D170" s="3"/>
      <c r="E170" s="3"/>
      <c r="F170" s="3"/>
      <c r="G170" s="130"/>
      <c r="H170" s="130" t="s">
        <v>259</v>
      </c>
      <c r="I170" s="340">
        <f>IF(I165&gt;0,IF(I145&gt;0,I137*'Tax Rates'!C56,0),0)</f>
        <v>0</v>
      </c>
      <c r="J170" s="43"/>
      <c r="K170" s="215"/>
      <c r="L170" s="176"/>
    </row>
    <row r="171" spans="1:12" ht="12.75">
      <c r="A171" s="183" t="s">
        <v>327</v>
      </c>
      <c r="B171" s="143"/>
      <c r="C171" s="123"/>
      <c r="D171" s="3"/>
      <c r="E171" s="3"/>
      <c r="F171" s="3"/>
      <c r="G171" s="131"/>
      <c r="H171" s="131" t="s">
        <v>261</v>
      </c>
      <c r="I171" s="335">
        <f>IF(I169&gt;I170,I169-I170,0)</f>
        <v>0</v>
      </c>
      <c r="J171" s="43"/>
      <c r="K171" s="215"/>
      <c r="L171" s="176"/>
    </row>
    <row r="172" spans="1:12" ht="12.75">
      <c r="A172" s="183"/>
      <c r="B172" s="143"/>
      <c r="C172" s="123"/>
      <c r="D172" s="3"/>
      <c r="E172" s="3"/>
      <c r="F172" s="3"/>
      <c r="G172" s="131"/>
      <c r="H172" s="131"/>
      <c r="I172" s="259"/>
      <c r="J172" s="43"/>
      <c r="K172" s="215"/>
      <c r="L172" s="176"/>
    </row>
    <row r="173" spans="1:12" ht="12.75">
      <c r="A173" s="440" t="s">
        <v>490</v>
      </c>
      <c r="B173" s="143"/>
      <c r="C173" s="123"/>
      <c r="D173" s="3"/>
      <c r="E173" s="3"/>
      <c r="F173" s="3"/>
      <c r="G173" s="130"/>
      <c r="H173" s="130" t="s">
        <v>259</v>
      </c>
      <c r="I173" s="338">
        <f>C85</f>
        <v>0</v>
      </c>
      <c r="J173" s="43"/>
      <c r="K173" s="215"/>
      <c r="L173" s="176"/>
    </row>
    <row r="174" spans="1:12" ht="12.75">
      <c r="A174" s="170" t="s">
        <v>330</v>
      </c>
      <c r="B174" s="143"/>
      <c r="C174" s="123"/>
      <c r="D174" s="3"/>
      <c r="E174" s="3"/>
      <c r="F174" s="3"/>
      <c r="G174" s="131"/>
      <c r="H174" s="131" t="s">
        <v>261</v>
      </c>
      <c r="I174" s="335">
        <f>I171-I173</f>
        <v>0</v>
      </c>
      <c r="J174" s="43"/>
      <c r="K174" s="215"/>
      <c r="L174" s="176"/>
    </row>
    <row r="175" spans="1:12" ht="12.75">
      <c r="A175" s="170"/>
      <c r="B175" s="143"/>
      <c r="C175" s="123"/>
      <c r="D175" s="3"/>
      <c r="E175" s="3"/>
      <c r="F175" s="3"/>
      <c r="G175" s="131"/>
      <c r="H175" s="131"/>
      <c r="I175" s="159"/>
      <c r="J175" s="43"/>
      <c r="K175" s="215"/>
      <c r="L175" s="176"/>
    </row>
    <row r="176" spans="1:12" ht="12.75">
      <c r="A176" s="170" t="s">
        <v>489</v>
      </c>
      <c r="B176" s="143"/>
      <c r="C176" s="123"/>
      <c r="D176" s="3"/>
      <c r="E176" s="3"/>
      <c r="F176" s="3"/>
      <c r="G176" s="131"/>
      <c r="H176" s="131"/>
      <c r="I176" s="345">
        <f>K54-1.12%</f>
        <v>0.35000000000000003</v>
      </c>
      <c r="J176" s="43"/>
      <c r="K176" s="215"/>
      <c r="L176" s="176"/>
    </row>
    <row r="177" spans="1:12" ht="12.75">
      <c r="A177" s="170"/>
      <c r="B177" s="143"/>
      <c r="C177" s="123"/>
      <c r="D177" s="3"/>
      <c r="E177" s="3"/>
      <c r="F177" s="3"/>
      <c r="G177" s="131"/>
      <c r="H177" s="131"/>
      <c r="I177" s="159"/>
      <c r="J177" s="43"/>
      <c r="K177" s="215"/>
      <c r="L177" s="176"/>
    </row>
    <row r="178" spans="1:12" ht="12.75">
      <c r="A178" s="170" t="s">
        <v>328</v>
      </c>
      <c r="B178" s="143"/>
      <c r="C178" s="123"/>
      <c r="D178" s="3"/>
      <c r="E178" s="3"/>
      <c r="F178" s="3"/>
      <c r="G178" s="131"/>
      <c r="H178" s="131" t="s">
        <v>258</v>
      </c>
      <c r="I178" s="335">
        <f>I149/(1-I176)</f>
        <v>0</v>
      </c>
      <c r="J178" s="43"/>
      <c r="K178" s="215"/>
      <c r="L178" s="176"/>
    </row>
    <row r="179" spans="1:12" ht="12.75">
      <c r="A179" s="170" t="s">
        <v>40</v>
      </c>
      <c r="B179" s="143"/>
      <c r="C179" s="123"/>
      <c r="D179" s="3"/>
      <c r="E179" s="3"/>
      <c r="F179" s="3"/>
      <c r="G179" s="131"/>
      <c r="H179" s="131" t="s">
        <v>258</v>
      </c>
      <c r="I179" s="335">
        <f>IF(I171=0,-C92,IF(I171&gt;0,I174/(1-I176)))</f>
        <v>0</v>
      </c>
      <c r="J179" s="43"/>
      <c r="K179" s="215"/>
      <c r="L179" s="176"/>
    </row>
    <row r="180" spans="1:12" ht="12.75">
      <c r="A180" s="170" t="s">
        <v>27</v>
      </c>
      <c r="B180" s="143"/>
      <c r="C180" s="123"/>
      <c r="D180" s="3"/>
      <c r="E180" s="3"/>
      <c r="F180" s="3"/>
      <c r="G180" s="131"/>
      <c r="H180" s="131" t="s">
        <v>258</v>
      </c>
      <c r="I180" s="335">
        <f>I160</f>
        <v>-3915</v>
      </c>
      <c r="J180" s="43"/>
      <c r="K180" s="215"/>
      <c r="L180" s="176"/>
    </row>
    <row r="181" spans="1:12" ht="12.75">
      <c r="A181" s="170"/>
      <c r="B181" s="143"/>
      <c r="C181" s="123"/>
      <c r="D181" s="3"/>
      <c r="E181" s="3"/>
      <c r="F181" s="3"/>
      <c r="G181" s="131"/>
      <c r="H181" s="131"/>
      <c r="I181" s="159"/>
      <c r="J181" s="43"/>
      <c r="K181" s="215"/>
      <c r="L181" s="176"/>
    </row>
    <row r="182" spans="1:12" ht="12.75">
      <c r="A182" s="180" t="s">
        <v>431</v>
      </c>
      <c r="B182" s="143"/>
      <c r="C182" s="123"/>
      <c r="D182" s="3"/>
      <c r="E182" s="3"/>
      <c r="F182" s="3"/>
      <c r="G182" s="131"/>
      <c r="H182" s="131" t="s">
        <v>261</v>
      </c>
      <c r="I182" s="335">
        <f>SUM(I178:I180)</f>
        <v>-3915</v>
      </c>
      <c r="J182" s="43"/>
      <c r="K182" s="215"/>
      <c r="L182" s="176"/>
    </row>
    <row r="183" spans="1:12" ht="12.75">
      <c r="A183" s="170"/>
      <c r="B183" s="143"/>
      <c r="C183" s="123"/>
      <c r="D183" s="3"/>
      <c r="E183" s="3"/>
      <c r="F183" s="3"/>
      <c r="G183" s="131"/>
      <c r="H183" s="131"/>
      <c r="I183" s="159"/>
      <c r="J183" s="43"/>
      <c r="K183" s="215"/>
      <c r="L183" s="176"/>
    </row>
    <row r="184" spans="1:12" ht="12.75">
      <c r="A184" s="180" t="s">
        <v>535</v>
      </c>
      <c r="B184" s="143"/>
      <c r="C184" s="123"/>
      <c r="D184" s="3"/>
      <c r="E184" s="3"/>
      <c r="F184" s="3"/>
      <c r="G184" s="131"/>
      <c r="H184" s="131" t="s">
        <v>258</v>
      </c>
      <c r="I184" s="335">
        <f>I133</f>
        <v>-70375.4758753847</v>
      </c>
      <c r="J184" s="43" t="s">
        <v>169</v>
      </c>
      <c r="K184" s="215"/>
      <c r="L184" s="176"/>
    </row>
    <row r="185" spans="1:12" ht="12.75">
      <c r="A185" s="180"/>
      <c r="B185" s="143"/>
      <c r="C185" s="123"/>
      <c r="D185" s="3"/>
      <c r="E185" s="3"/>
      <c r="F185" s="3"/>
      <c r="G185" s="131"/>
      <c r="H185" s="131"/>
      <c r="I185" s="159"/>
      <c r="J185" s="43"/>
      <c r="K185" s="215"/>
      <c r="L185" s="176"/>
    </row>
    <row r="186" spans="1:12" ht="15">
      <c r="A186" s="185" t="s">
        <v>432</v>
      </c>
      <c r="B186" s="143"/>
      <c r="C186" s="123"/>
      <c r="D186" s="3"/>
      <c r="E186" s="3"/>
      <c r="F186" s="3"/>
      <c r="G186" s="131"/>
      <c r="H186" s="131" t="s">
        <v>261</v>
      </c>
      <c r="I186" s="335">
        <f>I182+I184</f>
        <v>-74290.4758753847</v>
      </c>
      <c r="J186" s="43"/>
      <c r="K186" s="215"/>
      <c r="L186" s="176"/>
    </row>
    <row r="187" spans="1:12" ht="12.75">
      <c r="A187" s="175" t="s">
        <v>333</v>
      </c>
      <c r="B187" s="140"/>
      <c r="C187" s="123"/>
      <c r="D187" s="3"/>
      <c r="E187" s="3"/>
      <c r="F187" s="3"/>
      <c r="G187" s="131"/>
      <c r="H187" s="131"/>
      <c r="I187" s="161"/>
      <c r="J187" s="43"/>
      <c r="K187" s="215"/>
      <c r="L187" s="176"/>
    </row>
    <row r="188" spans="1:12" ht="12.75">
      <c r="A188" s="175"/>
      <c r="B188" s="140"/>
      <c r="C188" s="123"/>
      <c r="D188" s="3"/>
      <c r="E188" s="3"/>
      <c r="F188" s="3"/>
      <c r="G188" s="131"/>
      <c r="H188" s="131"/>
      <c r="I188" s="162"/>
      <c r="J188" s="43"/>
      <c r="K188" s="215"/>
      <c r="L188" s="176"/>
    </row>
    <row r="189" spans="1:12" ht="13.5" thickBot="1">
      <c r="A189" s="165"/>
      <c r="B189" s="140"/>
      <c r="C189" s="123"/>
      <c r="D189" s="3"/>
      <c r="E189" s="3"/>
      <c r="F189" s="3"/>
      <c r="G189" s="131"/>
      <c r="H189" s="131"/>
      <c r="I189" s="162"/>
      <c r="J189" s="43"/>
      <c r="K189" s="215"/>
      <c r="L189" s="176"/>
    </row>
    <row r="190" spans="1:12" ht="13.5" thickTop="1">
      <c r="A190" s="186"/>
      <c r="B190" s="144"/>
      <c r="C190" s="124"/>
      <c r="D190" s="7"/>
      <c r="E190" s="7"/>
      <c r="F190" s="7"/>
      <c r="G190" s="106"/>
      <c r="H190" s="106"/>
      <c r="I190" s="163"/>
      <c r="J190" s="7"/>
      <c r="K190" s="136"/>
      <c r="L190" s="187"/>
    </row>
    <row r="191" spans="1:12" ht="12.75">
      <c r="A191" s="180" t="s">
        <v>127</v>
      </c>
      <c r="B191" s="140"/>
      <c r="C191" s="125"/>
      <c r="D191" s="3"/>
      <c r="E191" s="3"/>
      <c r="F191" s="3"/>
      <c r="G191" s="131"/>
      <c r="H191" s="131"/>
      <c r="I191" s="161"/>
      <c r="J191" s="3"/>
      <c r="K191" s="135"/>
      <c r="L191" s="176"/>
    </row>
    <row r="192" spans="1:12" ht="12.75">
      <c r="A192" s="169" t="s">
        <v>152</v>
      </c>
      <c r="B192" s="135"/>
      <c r="C192" s="126"/>
      <c r="D192" s="3"/>
      <c r="E192" s="3"/>
      <c r="F192" s="3"/>
      <c r="G192" s="131"/>
      <c r="H192" s="131"/>
      <c r="I192" s="162"/>
      <c r="J192" s="3"/>
      <c r="K192" s="135"/>
      <c r="L192" s="176"/>
    </row>
    <row r="193" spans="1:12" ht="12.75">
      <c r="A193" s="169"/>
      <c r="B193" s="135"/>
      <c r="C193" s="126"/>
      <c r="D193" s="3"/>
      <c r="E193" s="3"/>
      <c r="F193" s="3"/>
      <c r="G193" s="131"/>
      <c r="H193" s="131"/>
      <c r="I193" s="162"/>
      <c r="J193" s="3"/>
      <c r="K193" s="135"/>
      <c r="L193" s="176"/>
    </row>
    <row r="194" spans="1:12" ht="12.75">
      <c r="A194" s="170" t="s">
        <v>311</v>
      </c>
      <c r="B194" s="140"/>
      <c r="C194" s="123"/>
      <c r="D194" s="113"/>
      <c r="E194" s="113"/>
      <c r="F194" s="113"/>
      <c r="G194" s="132"/>
      <c r="H194" s="132"/>
      <c r="I194" s="341">
        <f>REGINFO!D62</f>
        <v>1703051.3175</v>
      </c>
      <c r="J194" s="3"/>
      <c r="K194" s="135"/>
      <c r="L194" s="176"/>
    </row>
    <row r="195" spans="1:12" ht="12.75">
      <c r="A195" s="170" t="s">
        <v>482</v>
      </c>
      <c r="B195" s="140"/>
      <c r="C195" s="123"/>
      <c r="D195" s="113"/>
      <c r="E195" s="113"/>
      <c r="F195" s="113"/>
      <c r="G195" s="132"/>
      <c r="H195" s="132"/>
      <c r="I195" s="341">
        <f>C38</f>
        <v>1703051.3175</v>
      </c>
      <c r="J195" s="3"/>
      <c r="K195" s="135"/>
      <c r="L195" s="176"/>
    </row>
    <row r="196" spans="1:12" ht="12.75">
      <c r="A196" s="170"/>
      <c r="B196" s="140"/>
      <c r="C196" s="123"/>
      <c r="D196" s="113"/>
      <c r="E196" s="113"/>
      <c r="F196" s="113"/>
      <c r="G196" s="132"/>
      <c r="H196" s="132"/>
      <c r="I196" s="164"/>
      <c r="J196" s="3"/>
      <c r="K196" s="135"/>
      <c r="L196" s="176"/>
    </row>
    <row r="197" spans="1:12" ht="12.75">
      <c r="A197" s="170" t="s">
        <v>423</v>
      </c>
      <c r="B197" s="140"/>
      <c r="C197" s="123"/>
      <c r="D197" s="113"/>
      <c r="E197" s="113"/>
      <c r="F197" s="113"/>
      <c r="G197" s="132"/>
      <c r="H197" s="132"/>
      <c r="I197" s="341">
        <f>I194-I195</f>
        <v>0</v>
      </c>
      <c r="J197" s="3"/>
      <c r="K197" s="135"/>
      <c r="L197" s="176"/>
    </row>
    <row r="198" spans="1:12" ht="12.75">
      <c r="A198" s="170" t="s">
        <v>424</v>
      </c>
      <c r="B198" s="140"/>
      <c r="C198" s="123"/>
      <c r="D198" s="113"/>
      <c r="E198" s="113"/>
      <c r="F198" s="113"/>
      <c r="G198" s="132"/>
      <c r="H198" s="132"/>
      <c r="I198" s="162"/>
      <c r="J198" s="3"/>
      <c r="K198" s="135"/>
      <c r="L198" s="176"/>
    </row>
    <row r="199" spans="1:12" ht="12.75">
      <c r="A199" s="170"/>
      <c r="B199" s="140"/>
      <c r="C199" s="123"/>
      <c r="D199" s="113"/>
      <c r="E199" s="113"/>
      <c r="F199" s="113"/>
      <c r="G199" s="132"/>
      <c r="H199" s="132"/>
      <c r="I199" s="162"/>
      <c r="J199" s="3"/>
      <c r="K199" s="135"/>
      <c r="L199" s="176"/>
    </row>
    <row r="200" spans="1:12" ht="12.75">
      <c r="A200" s="180" t="s">
        <v>342</v>
      </c>
      <c r="B200" s="140"/>
      <c r="C200" s="123"/>
      <c r="D200" s="113"/>
      <c r="E200" s="113"/>
      <c r="F200" s="113"/>
      <c r="G200" s="132"/>
      <c r="H200" s="132"/>
      <c r="I200" s="162"/>
      <c r="J200" s="3"/>
      <c r="K200" s="135"/>
      <c r="L200" s="176"/>
    </row>
    <row r="201" spans="1:12" ht="12.75">
      <c r="A201" s="188" t="s">
        <v>154</v>
      </c>
      <c r="B201" s="140"/>
      <c r="C201" s="123"/>
      <c r="D201" s="113"/>
      <c r="E201" s="113"/>
      <c r="F201" s="113"/>
      <c r="G201" s="132"/>
      <c r="H201" s="132"/>
      <c r="I201" s="162"/>
      <c r="J201" s="3"/>
      <c r="K201" s="135"/>
      <c r="L201" s="176"/>
    </row>
    <row r="202" spans="1:12" ht="12.75">
      <c r="A202" s="170" t="s">
        <v>483</v>
      </c>
      <c r="B202" s="140"/>
      <c r="C202" s="123"/>
      <c r="D202" s="113"/>
      <c r="E202" s="113"/>
      <c r="F202" s="113"/>
      <c r="G202" s="132"/>
      <c r="H202" s="132"/>
      <c r="I202" s="341">
        <f>K38+K43</f>
        <v>2177025</v>
      </c>
      <c r="J202" s="3"/>
      <c r="K202" s="135"/>
      <c r="L202" s="176"/>
    </row>
    <row r="203" spans="1:12" ht="12.75">
      <c r="A203" s="170" t="s">
        <v>484</v>
      </c>
      <c r="B203" s="140"/>
      <c r="C203" s="123"/>
      <c r="D203" s="113"/>
      <c r="E203" s="113"/>
      <c r="F203" s="113"/>
      <c r="G203" s="132"/>
      <c r="H203" s="132"/>
      <c r="I203" s="341">
        <f>REGINFO!D62</f>
        <v>1703051.3175</v>
      </c>
      <c r="J203" s="3"/>
      <c r="K203" s="135"/>
      <c r="L203" s="176"/>
    </row>
    <row r="204" spans="1:12" ht="12.75">
      <c r="A204" s="170"/>
      <c r="B204" s="140"/>
      <c r="C204" s="123"/>
      <c r="D204" s="113"/>
      <c r="E204" s="113"/>
      <c r="F204" s="113"/>
      <c r="G204" s="132"/>
      <c r="H204" s="132"/>
      <c r="I204" s="164"/>
      <c r="J204" s="3"/>
      <c r="K204" s="135"/>
      <c r="L204" s="176"/>
    </row>
    <row r="205" spans="1:12" ht="12.75">
      <c r="A205" s="170" t="s">
        <v>153</v>
      </c>
      <c r="B205" s="140"/>
      <c r="C205" s="123"/>
      <c r="D205" s="113"/>
      <c r="E205" s="113"/>
      <c r="F205" s="113"/>
      <c r="G205" s="132"/>
      <c r="H205" s="132"/>
      <c r="I205" s="336">
        <f>IF((I202-I203)&gt;0,I202-I203,0)</f>
        <v>473973.6825000001</v>
      </c>
      <c r="J205" s="3"/>
      <c r="K205" s="135"/>
      <c r="L205" s="176"/>
    </row>
    <row r="206" spans="1:12" ht="12.75">
      <c r="A206" s="170"/>
      <c r="B206" s="140"/>
      <c r="C206" s="123"/>
      <c r="D206" s="113"/>
      <c r="E206" s="113"/>
      <c r="F206" s="113"/>
      <c r="G206" s="132"/>
      <c r="H206" s="132"/>
      <c r="I206" s="164"/>
      <c r="J206" s="3"/>
      <c r="K206" s="135"/>
      <c r="L206" s="176"/>
    </row>
    <row r="207" spans="1:12" ht="12.75">
      <c r="A207" s="180" t="s">
        <v>532</v>
      </c>
      <c r="B207" s="140"/>
      <c r="C207" s="123"/>
      <c r="D207" s="113"/>
      <c r="E207" s="113"/>
      <c r="F207" s="113"/>
      <c r="G207" s="132"/>
      <c r="H207" s="132"/>
      <c r="I207" s="336">
        <f>IF((I202-I203)&gt;0,I202-I203,0)</f>
        <v>473973.6825000001</v>
      </c>
      <c r="J207" s="3"/>
      <c r="K207" s="135"/>
      <c r="L207" s="176"/>
    </row>
    <row r="208" spans="1:12" ht="12.75">
      <c r="A208" s="170"/>
      <c r="B208" s="140"/>
      <c r="C208" s="123"/>
      <c r="D208" s="113"/>
      <c r="E208" s="113"/>
      <c r="F208" s="113"/>
      <c r="G208" s="132"/>
      <c r="H208" s="132"/>
      <c r="I208" s="164"/>
      <c r="J208" s="3"/>
      <c r="K208" s="135"/>
      <c r="L208" s="176"/>
    </row>
    <row r="209" spans="1:12" ht="13.5" thickBot="1">
      <c r="A209" s="189" t="s">
        <v>312</v>
      </c>
      <c r="B209" s="190"/>
      <c r="C209" s="191"/>
      <c r="D209" s="192"/>
      <c r="E209" s="192"/>
      <c r="F209" s="192"/>
      <c r="G209" s="193"/>
      <c r="H209" s="193"/>
      <c r="I209" s="342">
        <f>+I197-I205</f>
        <v>-473973.6825000001</v>
      </c>
      <c r="J209" s="81"/>
      <c r="K209" s="216"/>
      <c r="L209" s="194"/>
    </row>
    <row r="210" spans="1:9" ht="12.75">
      <c r="A210" s="41"/>
      <c r="B210" s="8"/>
      <c r="C210" s="28"/>
      <c r="D210" s="28"/>
      <c r="E210" s="28"/>
      <c r="F210" s="28"/>
      <c r="G210" s="107"/>
      <c r="H210" s="107"/>
      <c r="I210" s="103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2"/>
    </row>
    <row r="213" spans="2:9" ht="12.75">
      <c r="B213" s="8"/>
      <c r="C213" s="28"/>
      <c r="D213" s="28"/>
      <c r="E213" s="28"/>
      <c r="F213" s="28"/>
      <c r="G213" s="107"/>
      <c r="H213" s="107"/>
      <c r="I213" s="102"/>
    </row>
    <row r="214" spans="2:9" ht="12.75">
      <c r="B214" s="8"/>
      <c r="C214" s="5"/>
      <c r="G214" s="91"/>
      <c r="H214" s="91"/>
      <c r="I214" s="104"/>
    </row>
    <row r="215" spans="2:9" ht="12.75">
      <c r="B215" s="8"/>
      <c r="C215" s="6"/>
      <c r="G215" s="91"/>
      <c r="H215" s="91"/>
      <c r="I215" s="101"/>
    </row>
    <row r="216" spans="2:9" ht="12.75">
      <c r="B216" s="8"/>
      <c r="C216" s="5"/>
      <c r="G216" s="91"/>
      <c r="H216" s="91"/>
      <c r="I216" s="100"/>
    </row>
    <row r="217" spans="2:9" ht="12.75">
      <c r="B217" s="8"/>
      <c r="C217" s="5"/>
      <c r="G217" s="91"/>
      <c r="H217" s="91"/>
      <c r="I217" s="104"/>
    </row>
    <row r="218" spans="2:9" ht="12.75">
      <c r="B218" s="8"/>
      <c r="C218" s="5"/>
      <c r="G218" s="91"/>
      <c r="H218" s="91"/>
      <c r="I218" s="100"/>
    </row>
    <row r="219" spans="7:9" ht="12.75">
      <c r="G219" s="91"/>
      <c r="H219" s="91"/>
      <c r="I219" s="105"/>
    </row>
    <row r="220" spans="7:9" ht="12.75">
      <c r="G220" s="91"/>
      <c r="H220" s="91"/>
      <c r="I220" s="79"/>
    </row>
    <row r="221" spans="7:9" ht="12.75">
      <c r="G221" s="91"/>
      <c r="H221" s="91"/>
      <c r="I221" s="79"/>
    </row>
    <row r="222" spans="3:9" ht="12.75">
      <c r="C222" t="s">
        <v>169</v>
      </c>
      <c r="G222" s="91"/>
      <c r="H222" s="91"/>
      <c r="I222" s="79"/>
    </row>
    <row r="223" spans="3:9" ht="12.75">
      <c r="C223" t="s">
        <v>169</v>
      </c>
      <c r="G223" s="91"/>
      <c r="H223" s="91"/>
      <c r="I223" s="79"/>
    </row>
    <row r="224" spans="3:9" ht="12.75">
      <c r="C224" t="s">
        <v>169</v>
      </c>
      <c r="G224" s="91"/>
      <c r="H224" s="91"/>
      <c r="I224" s="79"/>
    </row>
    <row r="225" spans="7:9" ht="12.75">
      <c r="G225" s="91"/>
      <c r="H225" s="91"/>
      <c r="I225" s="79"/>
    </row>
    <row r="226" spans="7:9" ht="12.75">
      <c r="G226" s="91"/>
      <c r="H226" s="91"/>
      <c r="I226" s="79"/>
    </row>
    <row r="227" spans="7:9" ht="12.75">
      <c r="G227" s="91"/>
      <c r="H227" s="91"/>
      <c r="I227" s="79"/>
    </row>
    <row r="228" spans="7:9" ht="12.75">
      <c r="G228" s="91"/>
      <c r="H228" s="91"/>
      <c r="I228" s="79"/>
    </row>
    <row r="229" spans="7:9" ht="12.75">
      <c r="G229" s="91"/>
      <c r="H229" s="91"/>
      <c r="I229" s="79"/>
    </row>
    <row r="230" spans="7:9" ht="12.75">
      <c r="G230" s="91"/>
      <c r="H230" s="91"/>
      <c r="I230" s="79"/>
    </row>
    <row r="231" spans="7:9" ht="12.75">
      <c r="G231" s="91"/>
      <c r="H231" s="91"/>
      <c r="I231" s="79"/>
    </row>
    <row r="232" spans="7:9" ht="12.75">
      <c r="G232" s="91"/>
      <c r="H232" s="91"/>
      <c r="I232" s="79"/>
    </row>
    <row r="233" spans="7:9" ht="12.75">
      <c r="G233" s="91"/>
      <c r="H233" s="91"/>
      <c r="I233" s="79"/>
    </row>
    <row r="234" spans="7:9" ht="12.75">
      <c r="G234" s="91"/>
      <c r="H234" s="91"/>
      <c r="I234" s="79"/>
    </row>
    <row r="235" spans="7:9" ht="12.75">
      <c r="G235" s="91"/>
      <c r="H235" s="91"/>
      <c r="I235" s="79"/>
    </row>
    <row r="236" spans="7:9" ht="12.75">
      <c r="G236" s="91"/>
      <c r="H236" s="91"/>
      <c r="I236" s="79"/>
    </row>
    <row r="237" spans="7:9" ht="12.75">
      <c r="G237" s="91"/>
      <c r="H237" s="91"/>
      <c r="I237" s="79"/>
    </row>
    <row r="238" spans="7:9" ht="12.75">
      <c r="G238" s="91"/>
      <c r="H238" s="91"/>
      <c r="I238" s="79"/>
    </row>
    <row r="239" spans="7:9" ht="12.75">
      <c r="G239" s="91"/>
      <c r="H239" s="91"/>
      <c r="I239" s="79"/>
    </row>
    <row r="240" spans="7:9" ht="12.75">
      <c r="G240" s="91"/>
      <c r="H240" s="91"/>
      <c r="I240" s="79"/>
    </row>
    <row r="241" spans="7:9" ht="12.75">
      <c r="G241" s="91"/>
      <c r="H241" s="91"/>
      <c r="I241" s="79"/>
    </row>
    <row r="242" spans="7:9" ht="12.75">
      <c r="G242" s="91"/>
      <c r="H242" s="91"/>
      <c r="I242" s="79"/>
    </row>
    <row r="243" spans="7:9" ht="12.75">
      <c r="G243" s="91"/>
      <c r="H243" s="91"/>
      <c r="I243" s="79"/>
    </row>
    <row r="244" spans="7:9" ht="12.75">
      <c r="G244" s="91"/>
      <c r="H244" s="91"/>
      <c r="I244" s="79"/>
    </row>
    <row r="245" spans="7:9" ht="12.75">
      <c r="G245" s="91"/>
      <c r="H245" s="91"/>
      <c r="I245" s="79"/>
    </row>
    <row r="246" spans="7:9" ht="12.75">
      <c r="G246" s="91"/>
      <c r="H246" s="91"/>
      <c r="I246" s="79"/>
    </row>
    <row r="247" spans="7:9" ht="12.75">
      <c r="G247" s="91"/>
      <c r="H247" s="91"/>
      <c r="I247" s="79"/>
    </row>
    <row r="248" spans="7:9" ht="12.75">
      <c r="G248" s="91"/>
      <c r="H248" s="91"/>
      <c r="I248" s="79"/>
    </row>
    <row r="249" spans="7:9" ht="12.75">
      <c r="G249" s="91"/>
      <c r="H249" s="91"/>
      <c r="I249" s="79"/>
    </row>
    <row r="250" spans="7:9" ht="12.75">
      <c r="G250" s="91"/>
      <c r="H250" s="91"/>
      <c r="I250" s="79"/>
    </row>
    <row r="251" spans="7:9" ht="12.75">
      <c r="G251" s="91"/>
      <c r="H251" s="91"/>
      <c r="I251" s="79"/>
    </row>
  </sheetData>
  <sheetProtection/>
  <printOptions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8"/>
  <sheetViews>
    <sheetView zoomScalePageLayoutView="0" workbookViewId="0" topLeftCell="A61">
      <selection activeCell="D68" sqref="D68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51</v>
      </c>
      <c r="C1" s="8" t="s">
        <v>30</v>
      </c>
      <c r="D1" s="477" t="s">
        <v>560</v>
      </c>
      <c r="E1" s="27" t="s">
        <v>8</v>
      </c>
      <c r="F1" s="8"/>
      <c r="G1" s="8"/>
      <c r="H1" s="27"/>
      <c r="I1" s="27"/>
      <c r="J1" s="8"/>
      <c r="K1" s="8"/>
    </row>
    <row r="2" spans="1:11" ht="12.75">
      <c r="A2" s="2" t="s">
        <v>112</v>
      </c>
      <c r="B2" s="8"/>
      <c r="C2" s="8" t="s">
        <v>110</v>
      </c>
      <c r="D2" s="478" t="s">
        <v>561</v>
      </c>
      <c r="E2" s="27" t="s">
        <v>10</v>
      </c>
      <c r="F2" s="8"/>
      <c r="G2" s="8"/>
      <c r="H2" s="27"/>
      <c r="I2" s="27"/>
      <c r="J2" s="8"/>
      <c r="K2" s="8"/>
    </row>
    <row r="3" spans="1:11" ht="12.75">
      <c r="A3" s="4" t="s">
        <v>48</v>
      </c>
      <c r="B3" s="8"/>
      <c r="C3" s="8" t="s">
        <v>10</v>
      </c>
      <c r="D3" s="478" t="s">
        <v>47</v>
      </c>
      <c r="E3" s="27" t="s">
        <v>9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9</v>
      </c>
      <c r="D4" s="478" t="s">
        <v>562</v>
      </c>
      <c r="E4" s="8"/>
      <c r="F4" s="8"/>
      <c r="G4" s="8"/>
      <c r="H4" s="8"/>
      <c r="I4" s="8"/>
      <c r="J4" s="8"/>
      <c r="K4" s="8"/>
    </row>
    <row r="5" spans="1:11" ht="13.5" thickBot="1">
      <c r="A5" s="57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245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32" t="str">
        <f>REGINFO!A3</f>
        <v>Utility Name:  Brantford Power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32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299</v>
      </c>
      <c r="B9" s="26"/>
      <c r="C9" s="471" t="s">
        <v>546</v>
      </c>
      <c r="D9" s="31"/>
      <c r="E9" s="31"/>
      <c r="F9" s="26"/>
      <c r="G9" s="3"/>
      <c r="H9" s="3"/>
      <c r="I9" s="3"/>
    </row>
    <row r="10" spans="1:9" ht="12.75">
      <c r="A10" s="2" t="s">
        <v>300</v>
      </c>
      <c r="B10" s="26"/>
      <c r="C10" s="471" t="s">
        <v>547</v>
      </c>
      <c r="D10" s="31"/>
      <c r="E10" s="31"/>
      <c r="F10" s="26"/>
      <c r="G10" s="3"/>
      <c r="H10" s="3"/>
      <c r="I10" s="3"/>
    </row>
    <row r="11" spans="1:9" ht="13.5" thickBot="1">
      <c r="A11" s="2" t="s">
        <v>187</v>
      </c>
      <c r="B11" s="26"/>
      <c r="C11" s="453">
        <f>REGINFO!B6</f>
        <v>365</v>
      </c>
      <c r="D11" s="43" t="s">
        <v>192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301</v>
      </c>
      <c r="C13" s="277">
        <f>Ratebase*REGINFO!D33*0.25%</f>
        <v>58725.9075</v>
      </c>
      <c r="D13" s="89" t="s">
        <v>253</v>
      </c>
      <c r="E13" s="31"/>
      <c r="F13" s="26"/>
      <c r="G13" s="3"/>
      <c r="H13" s="3"/>
      <c r="I13" s="3"/>
    </row>
    <row r="14" spans="1:9" ht="12.75">
      <c r="A14" s="2" t="s">
        <v>185</v>
      </c>
      <c r="B14" s="26" t="s">
        <v>133</v>
      </c>
      <c r="C14" s="305" t="s">
        <v>471</v>
      </c>
      <c r="D14" s="31"/>
      <c r="E14" s="31"/>
      <c r="F14" s="26"/>
      <c r="G14" s="3"/>
      <c r="H14" s="3"/>
      <c r="I14" s="3"/>
    </row>
    <row r="15" spans="1:9" ht="12.75">
      <c r="A15" s="2" t="s">
        <v>186</v>
      </c>
      <c r="B15" s="26" t="s">
        <v>133</v>
      </c>
      <c r="C15" s="305" t="s">
        <v>472</v>
      </c>
      <c r="D15" s="31"/>
      <c r="E15" s="31"/>
      <c r="F15" s="26"/>
      <c r="G15" s="3"/>
      <c r="H15" s="3"/>
      <c r="I15" s="3"/>
    </row>
    <row r="16" spans="1:9" ht="12.75">
      <c r="A16" s="332" t="s">
        <v>314</v>
      </c>
      <c r="B16" s="26" t="s">
        <v>133</v>
      </c>
      <c r="C16" s="305" t="s">
        <v>472</v>
      </c>
      <c r="D16" s="31"/>
      <c r="E16" s="31"/>
      <c r="F16" s="26"/>
      <c r="G16" s="3"/>
      <c r="H16" s="3"/>
      <c r="I16" s="3"/>
    </row>
    <row r="17" spans="1:6" ht="12.75">
      <c r="A17" s="2" t="s">
        <v>371</v>
      </c>
      <c r="B17" s="26" t="s">
        <v>133</v>
      </c>
      <c r="C17" s="305" t="s">
        <v>471</v>
      </c>
      <c r="E17" s="32"/>
      <c r="F17" s="8"/>
    </row>
    <row r="18" spans="1:6" ht="12.75">
      <c r="A18" s="58" t="s">
        <v>343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217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1" t="s">
        <v>541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24" t="s">
        <v>407</v>
      </c>
      <c r="B23" s="425"/>
      <c r="C23" s="426"/>
      <c r="D23" s="427"/>
      <c r="E23" s="34"/>
      <c r="F23" s="11"/>
      <c r="G23" s="11"/>
      <c r="H23" s="6"/>
      <c r="I23" s="6"/>
    </row>
    <row r="24" spans="1:9" ht="12.75">
      <c r="A24" s="424" t="s">
        <v>344</v>
      </c>
      <c r="B24" s="425"/>
      <c r="C24" s="426"/>
      <c r="D24" s="427"/>
      <c r="E24" s="34"/>
      <c r="F24" s="11"/>
      <c r="G24" s="11"/>
      <c r="H24" s="6"/>
      <c r="I24" s="6"/>
    </row>
    <row r="25" spans="1:9" ht="12.75">
      <c r="A25" s="424" t="s">
        <v>310</v>
      </c>
      <c r="B25" s="425"/>
      <c r="C25" s="426"/>
      <c r="D25" s="427"/>
      <c r="E25" s="34"/>
      <c r="F25" s="11"/>
      <c r="G25" s="11"/>
      <c r="H25" s="6"/>
      <c r="I25" s="6"/>
    </row>
    <row r="26" spans="1:9" ht="12.75">
      <c r="A26" s="62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24" t="s">
        <v>405</v>
      </c>
      <c r="B27" s="425"/>
      <c r="C27" s="426"/>
      <c r="D27" s="427"/>
      <c r="E27" s="34"/>
      <c r="F27" s="11"/>
      <c r="G27" s="11"/>
      <c r="H27" s="6"/>
      <c r="I27" s="6"/>
    </row>
    <row r="28" spans="1:9" ht="12.75">
      <c r="A28" s="424" t="s">
        <v>406</v>
      </c>
      <c r="B28" s="425"/>
      <c r="C28" s="426"/>
      <c r="D28" s="427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246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66" t="s">
        <v>363</v>
      </c>
      <c r="B31" s="29" t="s">
        <v>258</v>
      </c>
      <c r="C31" s="305">
        <v>91924315</v>
      </c>
      <c r="D31" s="306"/>
      <c r="E31" s="304">
        <f>C31-D31</f>
        <v>91924315</v>
      </c>
      <c r="F31" s="11"/>
      <c r="G31" s="11"/>
      <c r="H31" s="6"/>
      <c r="I31" s="6"/>
    </row>
    <row r="32" spans="1:9" ht="12.75">
      <c r="A32" s="4" t="s">
        <v>308</v>
      </c>
      <c r="B32" s="29" t="s">
        <v>258</v>
      </c>
      <c r="C32" s="305"/>
      <c r="D32" s="306"/>
      <c r="E32" s="304">
        <f>C32-D32</f>
        <v>0</v>
      </c>
      <c r="F32" s="11"/>
      <c r="G32" s="11"/>
      <c r="H32" s="6"/>
      <c r="I32" s="6"/>
    </row>
    <row r="33" spans="1:9" ht="12.75">
      <c r="A33" s="4" t="s">
        <v>296</v>
      </c>
      <c r="B33" s="29" t="s">
        <v>258</v>
      </c>
      <c r="C33" s="305">
        <v>868279</v>
      </c>
      <c r="D33" s="306"/>
      <c r="E33" s="304">
        <f>C33-D33</f>
        <v>868279</v>
      </c>
      <c r="F33" s="11"/>
      <c r="G33" s="11"/>
      <c r="H33" s="6"/>
      <c r="I33" s="6"/>
    </row>
    <row r="34" spans="1:9" ht="12.75">
      <c r="A34" s="4" t="s">
        <v>313</v>
      </c>
      <c r="B34" s="29" t="s">
        <v>258</v>
      </c>
      <c r="C34" s="305"/>
      <c r="D34" s="306"/>
      <c r="E34" s="304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258</v>
      </c>
      <c r="C35" s="305"/>
      <c r="D35" s="306"/>
      <c r="E35" s="304">
        <f>C35-D35</f>
        <v>0</v>
      </c>
      <c r="F35" s="11"/>
      <c r="G35" s="11"/>
      <c r="H35" s="6"/>
      <c r="I35" s="6"/>
    </row>
    <row r="36" spans="1:9" ht="12.75">
      <c r="A36" s="60" t="s">
        <v>248</v>
      </c>
      <c r="B36" s="29"/>
      <c r="C36" s="48"/>
      <c r="D36" s="48"/>
      <c r="E36" s="25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97"/>
      <c r="F37" s="11"/>
      <c r="G37" s="11"/>
      <c r="H37" s="6"/>
      <c r="I37" s="6"/>
    </row>
    <row r="38" spans="1:9" ht="12.75">
      <c r="A38" s="2" t="s">
        <v>372</v>
      </c>
      <c r="B38" s="29"/>
      <c r="C38" s="48"/>
      <c r="D38" s="48"/>
      <c r="E38" s="97"/>
      <c r="F38" s="11"/>
      <c r="G38" s="11"/>
      <c r="H38" s="6"/>
      <c r="I38" s="6"/>
    </row>
    <row r="39" spans="1:9" ht="12.75">
      <c r="A39" s="52" t="s">
        <v>295</v>
      </c>
      <c r="B39" s="29" t="s">
        <v>259</v>
      </c>
      <c r="C39" s="305">
        <v>78083275</v>
      </c>
      <c r="D39" s="306"/>
      <c r="E39" s="304">
        <f>C39-D39</f>
        <v>78083275</v>
      </c>
      <c r="F39" s="11"/>
      <c r="G39" s="11"/>
      <c r="H39" s="6"/>
      <c r="I39" s="6"/>
    </row>
    <row r="40" spans="1:9" ht="12.75">
      <c r="A40" s="472" t="s">
        <v>558</v>
      </c>
      <c r="B40" s="29" t="s">
        <v>259</v>
      </c>
      <c r="C40" s="305">
        <v>5491889</v>
      </c>
      <c r="D40" s="306"/>
      <c r="E40" s="304">
        <f aca="true" t="shared" si="0" ref="E40:E51">C40-D40</f>
        <v>5491889</v>
      </c>
      <c r="F40" s="11"/>
      <c r="G40" s="11"/>
      <c r="H40" s="6"/>
      <c r="I40" s="6"/>
    </row>
    <row r="41" spans="1:9" ht="12.75">
      <c r="A41" s="473" t="s">
        <v>559</v>
      </c>
      <c r="B41" s="29" t="s">
        <v>259</v>
      </c>
      <c r="C41" s="305">
        <f>2227993</f>
        <v>2227993</v>
      </c>
      <c r="D41" s="306"/>
      <c r="E41" s="304">
        <f t="shared" si="0"/>
        <v>2227993</v>
      </c>
      <c r="F41" s="11"/>
      <c r="G41" s="11"/>
      <c r="H41" s="6"/>
      <c r="I41" s="6"/>
    </row>
    <row r="42" spans="1:9" ht="12.75">
      <c r="A42" s="473" t="s">
        <v>548</v>
      </c>
      <c r="B42" s="29" t="s">
        <v>259</v>
      </c>
      <c r="C42" s="305"/>
      <c r="D42" s="306"/>
      <c r="E42" s="304">
        <f t="shared" si="0"/>
        <v>0</v>
      </c>
      <c r="F42" s="11"/>
      <c r="G42" s="11"/>
      <c r="H42" s="6"/>
      <c r="I42" s="6"/>
    </row>
    <row r="43" spans="1:9" ht="12.75">
      <c r="A43" s="461" t="s">
        <v>513</v>
      </c>
      <c r="B43" s="29" t="s">
        <v>259</v>
      </c>
      <c r="C43" s="305">
        <v>2497700</v>
      </c>
      <c r="D43" s="306"/>
      <c r="E43" s="304">
        <f t="shared" si="0"/>
        <v>2497700</v>
      </c>
      <c r="F43" s="11"/>
      <c r="G43" s="11"/>
      <c r="H43" s="6"/>
      <c r="I43" s="6"/>
    </row>
    <row r="44" spans="1:9" ht="12.75">
      <c r="A44" s="4" t="s">
        <v>364</v>
      </c>
      <c r="B44" s="29" t="s">
        <v>259</v>
      </c>
      <c r="C44" s="305"/>
      <c r="D44" s="306"/>
      <c r="E44" s="304">
        <f t="shared" si="0"/>
        <v>0</v>
      </c>
      <c r="F44" s="11"/>
      <c r="G44" s="11"/>
      <c r="H44" s="6"/>
      <c r="I44" s="6"/>
    </row>
    <row r="45" spans="1:11" ht="12.75">
      <c r="A45" s="461" t="s">
        <v>512</v>
      </c>
      <c r="B45" s="29" t="s">
        <v>259</v>
      </c>
      <c r="C45" s="305"/>
      <c r="D45" s="306"/>
      <c r="E45" s="304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74" t="s">
        <v>549</v>
      </c>
      <c r="B46" s="29" t="s">
        <v>259</v>
      </c>
      <c r="C46" s="305"/>
      <c r="D46" s="306"/>
      <c r="E46" s="304">
        <f t="shared" si="0"/>
        <v>0</v>
      </c>
      <c r="F46" s="11"/>
      <c r="G46" s="90"/>
      <c r="H46" s="39"/>
      <c r="I46" s="39"/>
      <c r="J46" s="38"/>
      <c r="K46" s="38"/>
    </row>
    <row r="47" spans="1:11" ht="12.75">
      <c r="A47" s="474" t="s">
        <v>550</v>
      </c>
      <c r="B47" s="29" t="s">
        <v>259</v>
      </c>
      <c r="C47" s="305">
        <f>112523+163975</f>
        <v>276498</v>
      </c>
      <c r="D47" s="306"/>
      <c r="E47" s="304">
        <f t="shared" si="0"/>
        <v>276498</v>
      </c>
      <c r="F47" s="11"/>
      <c r="G47" s="90"/>
      <c r="H47" s="39"/>
      <c r="I47" s="39"/>
      <c r="J47" s="38"/>
      <c r="K47" s="38"/>
    </row>
    <row r="48" spans="1:11" ht="12.75">
      <c r="A48" s="474" t="s">
        <v>551</v>
      </c>
      <c r="B48" s="29" t="s">
        <v>259</v>
      </c>
      <c r="C48" s="305"/>
      <c r="D48" s="306"/>
      <c r="E48" s="304">
        <f t="shared" si="0"/>
        <v>0</v>
      </c>
      <c r="F48" s="11"/>
      <c r="G48" s="90"/>
      <c r="H48" s="39"/>
      <c r="I48" s="39"/>
      <c r="J48" s="38"/>
      <c r="K48" s="38"/>
    </row>
    <row r="49" spans="1:11" ht="12.75">
      <c r="A49" s="474" t="s">
        <v>553</v>
      </c>
      <c r="B49" s="29" t="s">
        <v>259</v>
      </c>
      <c r="C49" s="305"/>
      <c r="D49" s="306"/>
      <c r="E49" s="304">
        <f t="shared" si="0"/>
        <v>0</v>
      </c>
      <c r="F49" s="11"/>
      <c r="G49" s="90"/>
      <c r="H49" s="39"/>
      <c r="I49" s="39"/>
      <c r="J49" s="38"/>
      <c r="K49" s="38"/>
    </row>
    <row r="50" spans="1:11" ht="12.75">
      <c r="A50" s="474" t="s">
        <v>552</v>
      </c>
      <c r="B50" s="29" t="s">
        <v>259</v>
      </c>
      <c r="C50" s="305"/>
      <c r="D50" s="306"/>
      <c r="E50" s="304">
        <f t="shared" si="0"/>
        <v>0</v>
      </c>
      <c r="F50" s="11"/>
      <c r="G50" s="90"/>
      <c r="H50" s="39"/>
      <c r="I50" s="39"/>
      <c r="J50" s="38"/>
      <c r="K50" s="38"/>
    </row>
    <row r="51" spans="1:11" ht="13.5" thickBot="1">
      <c r="A51" s="54"/>
      <c r="B51" s="29" t="s">
        <v>259</v>
      </c>
      <c r="C51" s="305"/>
      <c r="D51" s="306"/>
      <c r="E51" s="304">
        <f t="shared" si="0"/>
        <v>0</v>
      </c>
      <c r="F51" s="11"/>
      <c r="G51" s="11"/>
      <c r="H51" s="39"/>
      <c r="I51" s="39"/>
      <c r="J51" s="38"/>
      <c r="K51" s="38"/>
    </row>
    <row r="52" spans="1:9" ht="12.75">
      <c r="A52" s="60"/>
      <c r="B52" s="29"/>
      <c r="C52" s="48"/>
      <c r="D52" s="49"/>
      <c r="E52" s="66"/>
      <c r="F52" s="11"/>
      <c r="G52" s="11"/>
      <c r="H52" s="6"/>
      <c r="I52" s="6"/>
    </row>
    <row r="53" spans="1:9" ht="12.75">
      <c r="A53" s="2" t="s">
        <v>151</v>
      </c>
      <c r="B53" s="29" t="s">
        <v>261</v>
      </c>
      <c r="C53" s="301">
        <f>SUM(C31:C36)-SUM(C39:C52)</f>
        <v>4215239</v>
      </c>
      <c r="D53" s="301">
        <f>SUM(D31:D36)-SUM(D39:D52)</f>
        <v>0</v>
      </c>
      <c r="E53" s="301">
        <f>SUM(E31:E35)-SUM(E39:E51)</f>
        <v>4215239</v>
      </c>
      <c r="F53" s="11"/>
      <c r="G53" s="11"/>
      <c r="H53" s="6"/>
      <c r="I53" s="6"/>
    </row>
    <row r="54" spans="1:9" ht="12.75">
      <c r="A54" s="4" t="s">
        <v>160</v>
      </c>
      <c r="B54" s="29" t="s">
        <v>259</v>
      </c>
      <c r="C54" s="305">
        <v>2177025</v>
      </c>
      <c r="D54" s="305"/>
      <c r="E54" s="302">
        <f>+C54-D54</f>
        <v>2177025</v>
      </c>
      <c r="F54" s="11"/>
      <c r="G54" s="11"/>
      <c r="H54" s="6"/>
      <c r="I54" s="6"/>
    </row>
    <row r="55" spans="1:6" ht="12.75">
      <c r="A55" t="s">
        <v>249</v>
      </c>
      <c r="B55" s="8" t="s">
        <v>259</v>
      </c>
      <c r="C55" s="305">
        <v>650513</v>
      </c>
      <c r="D55" s="305"/>
      <c r="E55" s="303">
        <f>+C55-D55</f>
        <v>650513</v>
      </c>
      <c r="F55" s="8"/>
    </row>
    <row r="56" spans="1:6" ht="12.75">
      <c r="A56" s="2" t="s">
        <v>196</v>
      </c>
      <c r="B56" s="8" t="s">
        <v>261</v>
      </c>
      <c r="C56" s="301">
        <f>C53-C54-C55</f>
        <v>1387701</v>
      </c>
      <c r="D56" s="301">
        <f>D53-D54-D55</f>
        <v>0</v>
      </c>
      <c r="E56" s="301">
        <f>E53-E54-E55</f>
        <v>1387701</v>
      </c>
      <c r="F56" s="8"/>
    </row>
    <row r="57" spans="1:6" ht="36">
      <c r="A57" s="93" t="s">
        <v>538</v>
      </c>
      <c r="B57" s="8"/>
      <c r="C57" s="35"/>
      <c r="D57" s="35"/>
      <c r="E57" s="35"/>
      <c r="F57" s="8"/>
    </row>
    <row r="58" spans="1:6" ht="12.75">
      <c r="A58" s="88"/>
      <c r="B58" s="8"/>
      <c r="C58" s="35"/>
      <c r="D58" s="35"/>
      <c r="E58" s="35"/>
      <c r="F58" s="8"/>
    </row>
    <row r="59" spans="1:6" ht="12.75">
      <c r="A59" s="14" t="s">
        <v>244</v>
      </c>
      <c r="B59" s="8"/>
      <c r="C59" s="35"/>
      <c r="D59" s="35"/>
      <c r="E59" s="35"/>
      <c r="F59" s="8"/>
    </row>
    <row r="60" spans="1:6" ht="12.75">
      <c r="A60" s="15" t="s">
        <v>232</v>
      </c>
      <c r="B60" s="8"/>
      <c r="C60" s="35"/>
      <c r="D60" s="35"/>
      <c r="E60" s="35"/>
      <c r="F60" s="8"/>
    </row>
    <row r="61" spans="1:6" ht="12.75">
      <c r="A61" s="2" t="s">
        <v>233</v>
      </c>
      <c r="B61" s="8"/>
      <c r="C61" s="50"/>
      <c r="D61" s="50"/>
      <c r="E61" s="50"/>
      <c r="F61" s="8"/>
    </row>
    <row r="62" spans="1:6" ht="12.75">
      <c r="A62" s="4" t="s">
        <v>165</v>
      </c>
      <c r="B62" s="8" t="s">
        <v>258</v>
      </c>
      <c r="C62" s="307">
        <f>C55</f>
        <v>650513</v>
      </c>
      <c r="D62" s="307">
        <f>D55</f>
        <v>0</v>
      </c>
      <c r="E62" s="291">
        <f>+C62-D62</f>
        <v>650513</v>
      </c>
      <c r="F62" s="8"/>
    </row>
    <row r="63" spans="1:6" ht="12.75">
      <c r="A63" s="4" t="s">
        <v>542</v>
      </c>
      <c r="B63" s="8" t="s">
        <v>258</v>
      </c>
      <c r="C63" s="351"/>
      <c r="D63" s="351"/>
      <c r="E63" s="291">
        <f>+C63-D63</f>
        <v>0</v>
      </c>
      <c r="F63" s="8"/>
    </row>
    <row r="64" spans="1:6" ht="12.75">
      <c r="A64" t="s">
        <v>11</v>
      </c>
      <c r="B64" s="8" t="s">
        <v>258</v>
      </c>
      <c r="C64" s="307">
        <f>C43</f>
        <v>2497700</v>
      </c>
      <c r="D64" s="307">
        <f>D43</f>
        <v>0</v>
      </c>
      <c r="E64" s="291">
        <f>+C64-D64</f>
        <v>2497700</v>
      </c>
      <c r="F64" s="8"/>
    </row>
    <row r="65" spans="1:6" ht="12.75">
      <c r="A65" t="s">
        <v>13</v>
      </c>
      <c r="B65" s="8" t="s">
        <v>258</v>
      </c>
      <c r="C65" s="351"/>
      <c r="D65" s="307">
        <v>0</v>
      </c>
      <c r="E65" s="291">
        <f>+C65-D65</f>
        <v>0</v>
      </c>
      <c r="F65" s="8"/>
    </row>
    <row r="66" spans="1:6" ht="12.75">
      <c r="A66" s="37" t="s">
        <v>365</v>
      </c>
      <c r="B66" s="8" t="s">
        <v>258</v>
      </c>
      <c r="C66" s="349">
        <f>'Tax Reserves'!C22</f>
        <v>0</v>
      </c>
      <c r="D66" s="350">
        <f>'Tax Reserves'!D22</f>
        <v>0</v>
      </c>
      <c r="E66" s="291">
        <f>C66-D66</f>
        <v>0</v>
      </c>
      <c r="F66" s="8"/>
    </row>
    <row r="67" spans="1:6" ht="12.75">
      <c r="A67" s="4" t="s">
        <v>119</v>
      </c>
      <c r="B67" s="8" t="s">
        <v>258</v>
      </c>
      <c r="C67" s="349">
        <f>'Tax Reserves'!C63</f>
        <v>821850</v>
      </c>
      <c r="D67" s="350">
        <f>'Tax Reserves'!D63</f>
        <v>0</v>
      </c>
      <c r="E67" s="291">
        <f>+C67-D67</f>
        <v>821850</v>
      </c>
      <c r="F67" s="8"/>
    </row>
    <row r="68" spans="1:6" ht="12.75">
      <c r="A68" t="s">
        <v>346</v>
      </c>
      <c r="B68" s="8" t="s">
        <v>258</v>
      </c>
      <c r="C68" s="306">
        <f>5426518+717254+2485905+1444456</f>
        <v>10074133</v>
      </c>
      <c r="D68" s="306">
        <v>10074133</v>
      </c>
      <c r="E68" s="291">
        <f>+C68-D68</f>
        <v>0</v>
      </c>
      <c r="F68" s="8"/>
    </row>
    <row r="69" spans="1:6" ht="12.75">
      <c r="A69" t="s">
        <v>480</v>
      </c>
      <c r="B69" s="8" t="s">
        <v>258</v>
      </c>
      <c r="C69" s="306"/>
      <c r="D69" s="306"/>
      <c r="E69" s="291">
        <f>+C69-D69</f>
        <v>0</v>
      </c>
      <c r="F69" s="8"/>
    </row>
    <row r="70" spans="1:6" ht="12.75">
      <c r="A70" t="s">
        <v>227</v>
      </c>
      <c r="B70" s="8" t="s">
        <v>258</v>
      </c>
      <c r="C70" s="269">
        <f>'TAXREC 2'!C95</f>
        <v>0</v>
      </c>
      <c r="D70" s="269">
        <f>'TAXREC 2'!D95</f>
        <v>0</v>
      </c>
      <c r="E70" s="291">
        <f>+C70-D70</f>
        <v>0</v>
      </c>
      <c r="F70" s="8"/>
    </row>
    <row r="71" spans="1:11" ht="12.75">
      <c r="A71" t="s">
        <v>228</v>
      </c>
      <c r="B71" s="8" t="s">
        <v>258</v>
      </c>
      <c r="C71" s="269">
        <f>'TAXREC 2'!C96</f>
        <v>0</v>
      </c>
      <c r="D71" s="269">
        <f>'TAXREC 2'!D96</f>
        <v>0</v>
      </c>
      <c r="E71" s="291">
        <f>+C71-D71</f>
        <v>0</v>
      </c>
      <c r="F71" s="8"/>
      <c r="G71" s="51"/>
      <c r="H71" s="51"/>
      <c r="I71" s="29"/>
      <c r="J71" s="29"/>
      <c r="K71" s="82"/>
    </row>
    <row r="72" spans="3:11" ht="12.75">
      <c r="C72" s="28"/>
      <c r="D72" s="28"/>
      <c r="E72" s="326"/>
      <c r="F72" s="8"/>
      <c r="G72" s="51"/>
      <c r="H72" s="51"/>
      <c r="I72" s="29"/>
      <c r="J72" s="29"/>
      <c r="K72" s="82"/>
    </row>
    <row r="73" spans="1:11" ht="12.75">
      <c r="A73" s="10" t="s">
        <v>171</v>
      </c>
      <c r="B73" s="8"/>
      <c r="C73" s="291">
        <f>SUM(C62:C71)</f>
        <v>14044196</v>
      </c>
      <c r="D73" s="291">
        <f>SUM(D62:D71)</f>
        <v>10074133</v>
      </c>
      <c r="E73" s="291">
        <f>SUM(E62:E71)</f>
        <v>3970063</v>
      </c>
      <c r="F73" s="8"/>
      <c r="G73" s="51"/>
      <c r="H73" s="51"/>
      <c r="I73" s="29"/>
      <c r="J73" s="51"/>
      <c r="K73" s="82"/>
    </row>
    <row r="74" spans="1:11" ht="12.75">
      <c r="A74" s="10"/>
      <c r="B74" s="8"/>
      <c r="C74" s="48"/>
      <c r="D74" s="48"/>
      <c r="E74" s="48"/>
      <c r="F74" s="8"/>
      <c r="G74" s="51"/>
      <c r="H74" s="51"/>
      <c r="I74" s="29"/>
      <c r="J74" s="51"/>
      <c r="K74" s="29"/>
    </row>
    <row r="75" spans="1:11" ht="12.75">
      <c r="A75" s="10" t="s">
        <v>293</v>
      </c>
      <c r="B75" s="8"/>
      <c r="C75" s="5"/>
      <c r="D75" s="5"/>
      <c r="E75" s="5"/>
      <c r="F75" s="8"/>
      <c r="G75" s="51"/>
      <c r="H75" s="51"/>
      <c r="I75" s="29"/>
      <c r="J75" s="29"/>
      <c r="K75" s="29"/>
    </row>
    <row r="76" spans="1:11" ht="12.75">
      <c r="A76" t="s">
        <v>12</v>
      </c>
      <c r="B76" s="8" t="s">
        <v>258</v>
      </c>
      <c r="C76" s="316"/>
      <c r="D76" s="316"/>
      <c r="E76" s="291">
        <f aca="true" t="shared" si="1" ref="E76:E82">+C76-D76</f>
        <v>0</v>
      </c>
      <c r="F76" s="8"/>
      <c r="G76" s="83"/>
      <c r="H76" s="84"/>
      <c r="I76" s="85"/>
      <c r="J76" s="85"/>
      <c r="K76" s="85"/>
    </row>
    <row r="77" spans="1:11" ht="12.75">
      <c r="A77" t="s">
        <v>216</v>
      </c>
      <c r="B77" s="8" t="s">
        <v>258</v>
      </c>
      <c r="C77" s="316">
        <v>5748</v>
      </c>
      <c r="D77" s="316"/>
      <c r="E77" s="291">
        <f t="shared" si="1"/>
        <v>5748</v>
      </c>
      <c r="F77" s="8"/>
      <c r="G77" s="83"/>
      <c r="H77" s="84"/>
      <c r="I77" s="85"/>
      <c r="J77" s="84"/>
      <c r="K77" s="84"/>
    </row>
    <row r="78" spans="1:11" ht="12.75">
      <c r="A78" t="s">
        <v>14</v>
      </c>
      <c r="B78" s="8" t="s">
        <v>258</v>
      </c>
      <c r="C78" s="316"/>
      <c r="D78" s="316"/>
      <c r="E78" s="291">
        <f t="shared" si="1"/>
        <v>0</v>
      </c>
      <c r="F78" s="8"/>
      <c r="G78" s="83"/>
      <c r="H78" s="84"/>
      <c r="I78" s="85"/>
      <c r="J78" s="84"/>
      <c r="K78" s="84"/>
    </row>
    <row r="79" spans="1:11" ht="12.75">
      <c r="A79" s="71" t="s">
        <v>201</v>
      </c>
      <c r="B79" s="8" t="s">
        <v>258</v>
      </c>
      <c r="C79" s="316"/>
      <c r="D79" s="316"/>
      <c r="E79" s="291">
        <f t="shared" si="1"/>
        <v>0</v>
      </c>
      <c r="F79" s="8"/>
      <c r="G79" s="83"/>
      <c r="H79" s="84"/>
      <c r="I79" s="85"/>
      <c r="J79" s="84"/>
      <c r="K79" s="84"/>
    </row>
    <row r="80" spans="1:11" ht="12.75">
      <c r="A80" s="75" t="s">
        <v>494</v>
      </c>
      <c r="B80" s="8" t="s">
        <v>258</v>
      </c>
      <c r="C80" s="316"/>
      <c r="D80" s="316"/>
      <c r="E80" s="291">
        <f t="shared" si="1"/>
        <v>0</v>
      </c>
      <c r="F80" s="8"/>
      <c r="G80" s="83"/>
      <c r="H80" s="84"/>
      <c r="I80" s="85"/>
      <c r="J80" s="84"/>
      <c r="K80" s="84"/>
    </row>
    <row r="81" spans="1:11" ht="12.75">
      <c r="A81" s="71" t="s">
        <v>554</v>
      </c>
      <c r="B81" s="8" t="s">
        <v>258</v>
      </c>
      <c r="C81" s="316">
        <v>-1342</v>
      </c>
      <c r="D81" s="316"/>
      <c r="E81" s="291">
        <f t="shared" si="1"/>
        <v>-1342</v>
      </c>
      <c r="F81" s="8"/>
      <c r="G81" s="83"/>
      <c r="H81" s="84"/>
      <c r="I81" s="85"/>
      <c r="J81" s="84"/>
      <c r="K81" s="84"/>
    </row>
    <row r="82" spans="1:11" ht="12.75">
      <c r="A82" s="476" t="s">
        <v>556</v>
      </c>
      <c r="B82" s="8" t="s">
        <v>258</v>
      </c>
      <c r="C82" s="316"/>
      <c r="D82" s="316"/>
      <c r="E82" s="291">
        <f t="shared" si="1"/>
        <v>0</v>
      </c>
      <c r="F82" s="8"/>
      <c r="G82" s="83"/>
      <c r="H82" s="84"/>
      <c r="I82" s="85"/>
      <c r="J82" s="84"/>
      <c r="K82" s="84"/>
    </row>
    <row r="83" spans="1:11" ht="12.75">
      <c r="A83" s="70" t="s">
        <v>115</v>
      </c>
      <c r="B83" s="8" t="s">
        <v>261</v>
      </c>
      <c r="C83" s="269">
        <f>SUM(C76:C82)</f>
        <v>4406</v>
      </c>
      <c r="D83" s="269">
        <f>SUM(D76:D82)</f>
        <v>0</v>
      </c>
      <c r="E83" s="269">
        <f>SUM(E76:E82)</f>
        <v>4406</v>
      </c>
      <c r="F83" s="8"/>
      <c r="G83" s="86"/>
      <c r="H83" s="84"/>
      <c r="I83" s="85"/>
      <c r="J83" s="85"/>
      <c r="K83" s="84"/>
    </row>
    <row r="84" spans="1:11" ht="12.75">
      <c r="A84" s="10"/>
      <c r="C84" s="28"/>
      <c r="D84" s="28"/>
      <c r="E84" s="28"/>
      <c r="F84" s="8"/>
      <c r="G84" s="84"/>
      <c r="H84" s="84"/>
      <c r="I84" s="80"/>
      <c r="J84" s="80"/>
      <c r="K84" s="80"/>
    </row>
    <row r="85" spans="1:11" ht="12.75">
      <c r="A85" s="4" t="s">
        <v>25</v>
      </c>
      <c r="B85" s="8" t="s">
        <v>261</v>
      </c>
      <c r="C85" s="269">
        <f>C73+C83</f>
        <v>14048602</v>
      </c>
      <c r="D85" s="269">
        <f>D73+D83</f>
        <v>10074133</v>
      </c>
      <c r="E85" s="269">
        <f>E73+E83</f>
        <v>3974469</v>
      </c>
      <c r="F85" s="8"/>
      <c r="G85" s="51"/>
      <c r="H85" s="51"/>
      <c r="I85" s="51"/>
      <c r="J85" s="51"/>
      <c r="K85" s="51"/>
    </row>
    <row r="86" spans="1:11" ht="12.75">
      <c r="A86" s="4"/>
      <c r="B86" s="8"/>
      <c r="C86" s="80"/>
      <c r="D86" s="80"/>
      <c r="E86" s="80"/>
      <c r="F86" s="8"/>
      <c r="G86" s="51"/>
      <c r="H86" s="51"/>
      <c r="I86" s="51"/>
      <c r="J86" s="51"/>
      <c r="K86" s="51"/>
    </row>
    <row r="87" spans="1:11" ht="12.75">
      <c r="A87" s="300" t="s">
        <v>242</v>
      </c>
      <c r="B87" s="51"/>
      <c r="C87" s="29"/>
      <c r="D87" s="29"/>
      <c r="E87" s="29"/>
      <c r="F87" s="8"/>
      <c r="G87" s="51"/>
      <c r="H87" s="51"/>
      <c r="I87" s="51"/>
      <c r="J87" s="51"/>
      <c r="K87" s="51"/>
    </row>
    <row r="88" spans="1:11" ht="12.75">
      <c r="A88" s="294"/>
      <c r="B88" s="292"/>
      <c r="C88" s="310">
        <f aca="true" t="shared" si="2" ref="C88:E92">IF($E76&gt;$C$13,C76,)</f>
        <v>0</v>
      </c>
      <c r="D88" s="310">
        <f t="shared" si="2"/>
        <v>0</v>
      </c>
      <c r="E88" s="310">
        <f t="shared" si="2"/>
        <v>0</v>
      </c>
      <c r="F88" s="8"/>
      <c r="G88" s="51"/>
      <c r="H88" s="51"/>
      <c r="I88" s="51"/>
      <c r="J88" s="51"/>
      <c r="K88" s="51"/>
    </row>
    <row r="89" spans="1:11" ht="12.75">
      <c r="A89" s="308" t="str">
        <f aca="true" t="shared" si="3" ref="A89:A94">IF($E77&gt;$C$13,A77," ")</f>
        <v> </v>
      </c>
      <c r="B89" s="292"/>
      <c r="C89" s="310">
        <f t="shared" si="2"/>
        <v>0</v>
      </c>
      <c r="D89" s="310">
        <f t="shared" si="2"/>
        <v>0</v>
      </c>
      <c r="E89" s="310">
        <f t="shared" si="2"/>
        <v>0</v>
      </c>
      <c r="F89" s="8"/>
      <c r="G89" s="51"/>
      <c r="H89" s="51"/>
      <c r="I89" s="51"/>
      <c r="J89" s="51"/>
      <c r="K89" s="51"/>
    </row>
    <row r="90" spans="1:11" ht="12.75">
      <c r="A90" s="308" t="str">
        <f t="shared" si="3"/>
        <v> </v>
      </c>
      <c r="B90" s="292"/>
      <c r="C90" s="310">
        <f t="shared" si="2"/>
        <v>0</v>
      </c>
      <c r="D90" s="310">
        <f t="shared" si="2"/>
        <v>0</v>
      </c>
      <c r="E90" s="310">
        <f t="shared" si="2"/>
        <v>0</v>
      </c>
      <c r="F90" s="8"/>
      <c r="G90" s="51"/>
      <c r="H90" s="51"/>
      <c r="I90" s="51"/>
      <c r="J90" s="51"/>
      <c r="K90" s="51"/>
    </row>
    <row r="91" spans="1:11" ht="12.75">
      <c r="A91" s="308" t="str">
        <f t="shared" si="3"/>
        <v> </v>
      </c>
      <c r="B91" s="292"/>
      <c r="C91" s="310">
        <f t="shared" si="2"/>
        <v>0</v>
      </c>
      <c r="D91" s="310">
        <f t="shared" si="2"/>
        <v>0</v>
      </c>
      <c r="E91" s="310">
        <f t="shared" si="2"/>
        <v>0</v>
      </c>
      <c r="F91" s="8"/>
      <c r="G91" s="51"/>
      <c r="H91" s="51"/>
      <c r="I91" s="51"/>
      <c r="J91" s="51"/>
      <c r="K91" s="51"/>
    </row>
    <row r="92" spans="1:11" ht="12.75">
      <c r="A92" s="308" t="str">
        <f t="shared" si="3"/>
        <v> </v>
      </c>
      <c r="B92" s="292"/>
      <c r="C92" s="310">
        <f t="shared" si="2"/>
        <v>0</v>
      </c>
      <c r="D92" s="310">
        <f t="shared" si="2"/>
        <v>0</v>
      </c>
      <c r="E92" s="310">
        <f t="shared" si="2"/>
        <v>0</v>
      </c>
      <c r="F92" s="8"/>
      <c r="G92" s="51"/>
      <c r="H92" s="51"/>
      <c r="I92" s="51"/>
      <c r="J92" s="51"/>
      <c r="K92" s="51"/>
    </row>
    <row r="93" spans="1:11" ht="12.75">
      <c r="A93" s="308" t="str">
        <f t="shared" si="3"/>
        <v> </v>
      </c>
      <c r="B93" s="292"/>
      <c r="C93" s="310">
        <f aca="true" t="shared" si="4" ref="C93:E94">IF($E81&gt;$C$13,C81,)</f>
        <v>0</v>
      </c>
      <c r="D93" s="310">
        <f t="shared" si="4"/>
        <v>0</v>
      </c>
      <c r="E93" s="310">
        <f t="shared" si="4"/>
        <v>0</v>
      </c>
      <c r="F93" s="8"/>
      <c r="G93" s="51"/>
      <c r="H93" s="51"/>
      <c r="I93" s="51"/>
      <c r="J93" s="51"/>
      <c r="K93" s="51"/>
    </row>
    <row r="94" spans="1:11" ht="12.75">
      <c r="A94" s="308" t="str">
        <f t="shared" si="3"/>
        <v> </v>
      </c>
      <c r="B94" s="292"/>
      <c r="C94" s="310">
        <f t="shared" si="4"/>
        <v>0</v>
      </c>
      <c r="D94" s="310">
        <f t="shared" si="4"/>
        <v>0</v>
      </c>
      <c r="E94" s="310">
        <f t="shared" si="4"/>
        <v>0</v>
      </c>
      <c r="F94" s="8"/>
      <c r="G94" s="51"/>
      <c r="H94" s="51"/>
      <c r="I94" s="51"/>
      <c r="J94" s="51"/>
      <c r="K94" s="51"/>
    </row>
    <row r="95" spans="1:11" ht="12.75">
      <c r="A95" s="309" t="s">
        <v>218</v>
      </c>
      <c r="B95" s="292"/>
      <c r="C95" s="299">
        <f>SUM(C88:C94)</f>
        <v>0</v>
      </c>
      <c r="D95" s="299">
        <f>SUM(D88:D94)</f>
        <v>0</v>
      </c>
      <c r="E95" s="299">
        <f>SUM(E88:E94)</f>
        <v>0</v>
      </c>
      <c r="F95" s="8"/>
      <c r="G95" s="51"/>
      <c r="H95" s="51"/>
      <c r="I95" s="51"/>
      <c r="J95" s="51"/>
      <c r="K95" s="51"/>
    </row>
    <row r="96" spans="1:11" ht="12.75">
      <c r="A96" s="292" t="s">
        <v>282</v>
      </c>
      <c r="B96" s="292"/>
      <c r="C96" s="269">
        <f>C83-C95</f>
        <v>4406</v>
      </c>
      <c r="D96" s="269">
        <f>D83-D95</f>
        <v>0</v>
      </c>
      <c r="E96" s="269">
        <f>E83-E95</f>
        <v>4406</v>
      </c>
      <c r="F96" s="8"/>
      <c r="G96" s="51"/>
      <c r="H96" s="51"/>
      <c r="I96" s="51"/>
      <c r="J96" s="51"/>
      <c r="K96" s="51"/>
    </row>
    <row r="97" spans="1:11" ht="12.75">
      <c r="A97" s="292" t="s">
        <v>283</v>
      </c>
      <c r="B97" s="292"/>
      <c r="C97" s="269">
        <f>C95+C96</f>
        <v>4406</v>
      </c>
      <c r="D97" s="269">
        <f>D95+D96</f>
        <v>0</v>
      </c>
      <c r="E97" s="269">
        <f>E95+E96</f>
        <v>4406</v>
      </c>
      <c r="F97" s="8"/>
      <c r="G97" s="51"/>
      <c r="H97" s="51"/>
      <c r="I97" s="51"/>
      <c r="J97" s="51"/>
      <c r="K97" s="51"/>
    </row>
    <row r="98" spans="1:11" ht="12.75">
      <c r="A98" s="2"/>
      <c r="B98" s="8"/>
      <c r="C98" s="5"/>
      <c r="D98" s="5"/>
      <c r="E98" s="5"/>
      <c r="F98" s="8"/>
      <c r="G98" s="51"/>
      <c r="H98" s="51"/>
      <c r="I98" s="51"/>
      <c r="J98" s="51"/>
      <c r="K98" s="51"/>
    </row>
    <row r="99" spans="1:11" ht="12.75">
      <c r="A99" s="12" t="s">
        <v>124</v>
      </c>
      <c r="B99" s="8"/>
      <c r="C99" s="5"/>
      <c r="D99" s="5"/>
      <c r="E99" s="5"/>
      <c r="F99" s="8"/>
      <c r="G99" s="51"/>
      <c r="H99" s="51"/>
      <c r="I99" s="51"/>
      <c r="J99" s="51"/>
      <c r="K99" s="51"/>
    </row>
    <row r="100" spans="1:11" ht="12.75">
      <c r="A100" t="s">
        <v>34</v>
      </c>
      <c r="B100" s="8" t="s">
        <v>259</v>
      </c>
      <c r="C100" s="316">
        <v>2294351</v>
      </c>
      <c r="D100" s="316"/>
      <c r="E100" s="291">
        <f>+C100-D100</f>
        <v>2294351</v>
      </c>
      <c r="F100" s="8"/>
      <c r="G100" s="51"/>
      <c r="H100" s="51"/>
      <c r="I100" s="51"/>
      <c r="J100" s="51"/>
      <c r="K100" s="51"/>
    </row>
    <row r="101" spans="1:11" ht="12.75">
      <c r="A101" t="s">
        <v>21</v>
      </c>
      <c r="B101" s="8" t="s">
        <v>259</v>
      </c>
      <c r="C101" s="316">
        <v>72665</v>
      </c>
      <c r="D101" s="316"/>
      <c r="E101" s="291">
        <f>+C101-D101</f>
        <v>72665</v>
      </c>
      <c r="F101" s="8"/>
      <c r="G101" s="51"/>
      <c r="H101" s="51"/>
      <c r="I101" s="51"/>
      <c r="J101" s="51"/>
      <c r="K101" s="51"/>
    </row>
    <row r="102" spans="1:11" ht="12.75">
      <c r="A102" t="s">
        <v>18</v>
      </c>
      <c r="B102" s="8" t="s">
        <v>259</v>
      </c>
      <c r="C102" s="316"/>
      <c r="D102" s="316"/>
      <c r="E102" s="291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t="s">
        <v>46</v>
      </c>
      <c r="B103" s="8" t="s">
        <v>259</v>
      </c>
      <c r="C103" s="316"/>
      <c r="D103" s="316"/>
      <c r="E103" s="291">
        <f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161</v>
      </c>
      <c r="B104" s="8" t="s">
        <v>259</v>
      </c>
      <c r="C104" s="316"/>
      <c r="D104" s="316"/>
      <c r="E104" s="307">
        <f>+C104-D104</f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162</v>
      </c>
      <c r="B105" s="8" t="s">
        <v>259</v>
      </c>
      <c r="C105" s="316"/>
      <c r="D105" s="316"/>
      <c r="E105" s="291">
        <f aca="true" t="shared" si="5" ref="E105:E112">+C105-D105</f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163</v>
      </c>
      <c r="B106" s="8" t="s">
        <v>259</v>
      </c>
      <c r="C106" s="316"/>
      <c r="D106" s="316"/>
      <c r="E106" s="30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t="s">
        <v>480</v>
      </c>
      <c r="B107" s="8"/>
      <c r="C107" s="316">
        <f>3415405+2407521+759932+168473+3142516</f>
        <v>9893847</v>
      </c>
      <c r="D107" s="316">
        <v>9893847</v>
      </c>
      <c r="E107" s="303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350</v>
      </c>
      <c r="B108" s="8" t="s">
        <v>259</v>
      </c>
      <c r="C108" s="352">
        <f>'Tax Reserves'!C35</f>
        <v>0</v>
      </c>
      <c r="D108" s="352">
        <f>'Tax Reserves'!D35</f>
        <v>0</v>
      </c>
      <c r="E108" s="291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10" t="s">
        <v>366</v>
      </c>
      <c r="B109" s="8" t="s">
        <v>259</v>
      </c>
      <c r="C109" s="352">
        <f>'Tax Reserves'!C50</f>
        <v>474521</v>
      </c>
      <c r="D109" s="352">
        <f>'Tax Reserves'!D50</f>
        <v>0</v>
      </c>
      <c r="E109" s="302">
        <f t="shared" si="5"/>
        <v>474521</v>
      </c>
      <c r="F109" s="8"/>
      <c r="G109" s="51"/>
      <c r="H109" s="51"/>
      <c r="I109" s="51"/>
      <c r="J109" s="51"/>
      <c r="K109" s="51"/>
    </row>
    <row r="110" spans="1:11" ht="12.75">
      <c r="A110" s="10" t="s">
        <v>19</v>
      </c>
      <c r="B110" s="8" t="s">
        <v>259</v>
      </c>
      <c r="C110" s="316"/>
      <c r="D110" s="316"/>
      <c r="E110" s="291">
        <f t="shared" si="5"/>
        <v>0</v>
      </c>
      <c r="F110" s="8"/>
      <c r="G110" s="51"/>
      <c r="H110" s="51"/>
      <c r="I110" s="51"/>
      <c r="J110" s="51"/>
      <c r="K110" s="51"/>
    </row>
    <row r="111" spans="1:11" ht="12.75">
      <c r="A111" s="10" t="s">
        <v>20</v>
      </c>
      <c r="B111" s="8" t="s">
        <v>259</v>
      </c>
      <c r="C111" s="316"/>
      <c r="D111" s="316"/>
      <c r="E111" s="291">
        <f t="shared" si="5"/>
        <v>0</v>
      </c>
      <c r="F111" s="8"/>
      <c r="G111" s="51"/>
      <c r="H111" s="51"/>
      <c r="I111" s="51"/>
      <c r="J111" s="51"/>
      <c r="K111" s="51"/>
    </row>
    <row r="112" spans="1:11" ht="12.75">
      <c r="A112" s="37" t="s">
        <v>250</v>
      </c>
      <c r="B112" s="8" t="s">
        <v>259</v>
      </c>
      <c r="C112" s="316"/>
      <c r="D112" s="316"/>
      <c r="E112" s="303">
        <f t="shared" si="5"/>
        <v>0</v>
      </c>
      <c r="F112" s="8"/>
      <c r="G112" s="51"/>
      <c r="H112" s="51"/>
      <c r="I112" s="51"/>
      <c r="J112" s="51"/>
      <c r="K112" s="51"/>
    </row>
    <row r="113" spans="1:11" ht="12.75">
      <c r="A113" t="s">
        <v>229</v>
      </c>
      <c r="B113" s="8" t="s">
        <v>259</v>
      </c>
      <c r="C113" s="269">
        <f>'TAXREC 2'!C146</f>
        <v>0</v>
      </c>
      <c r="D113" s="269">
        <f>'TAXREC 2'!D146</f>
        <v>0</v>
      </c>
      <c r="E113" s="269">
        <f>'TAXREC 2'!E146</f>
        <v>0</v>
      </c>
      <c r="F113" s="8"/>
      <c r="G113" s="51"/>
      <c r="H113" s="51"/>
      <c r="I113" s="51"/>
      <c r="J113" s="51"/>
      <c r="K113" s="51"/>
    </row>
    <row r="114" spans="1:11" ht="12.75">
      <c r="A114" t="s">
        <v>230</v>
      </c>
      <c r="B114" s="8" t="s">
        <v>259</v>
      </c>
      <c r="C114" s="269">
        <f>'TAXREC 2'!C147</f>
        <v>0</v>
      </c>
      <c r="D114" s="269">
        <f>'TAXREC 2'!D147</f>
        <v>0</v>
      </c>
      <c r="E114" s="269">
        <f>'TAXREC 2'!E147</f>
        <v>0</v>
      </c>
      <c r="F114" s="8"/>
      <c r="G114" s="51"/>
      <c r="H114" s="51"/>
      <c r="I114" s="29"/>
      <c r="J114" s="29"/>
      <c r="K114" s="82"/>
    </row>
    <row r="115" spans="1:11" ht="12.75">
      <c r="A115" s="4"/>
      <c r="B115" s="8"/>
      <c r="C115" s="28"/>
      <c r="D115" s="28"/>
      <c r="E115" s="325"/>
      <c r="F115" s="8"/>
      <c r="G115" s="51"/>
      <c r="H115" s="51"/>
      <c r="I115" s="29"/>
      <c r="J115" s="51"/>
      <c r="K115" s="82"/>
    </row>
    <row r="116" spans="1:11" ht="12.75">
      <c r="A116" s="4" t="s">
        <v>231</v>
      </c>
      <c r="B116" s="8" t="s">
        <v>261</v>
      </c>
      <c r="C116" s="269">
        <f>SUM(C100:C114)</f>
        <v>12735384</v>
      </c>
      <c r="D116" s="269">
        <f>SUM(D100:D114)</f>
        <v>9893847</v>
      </c>
      <c r="E116" s="269">
        <f>SUM(E100:E114)</f>
        <v>2841537</v>
      </c>
      <c r="F116" s="8"/>
      <c r="G116" s="51"/>
      <c r="H116" s="51"/>
      <c r="I116" s="29"/>
      <c r="J116" s="51"/>
      <c r="K116" s="29"/>
    </row>
    <row r="117" spans="1:11" ht="12.75">
      <c r="A117" s="10" t="s">
        <v>292</v>
      </c>
      <c r="B117" s="8"/>
      <c r="C117" s="5"/>
      <c r="D117" s="5"/>
      <c r="E117" s="5"/>
      <c r="F117" s="8"/>
      <c r="G117" s="51"/>
      <c r="H117" s="51"/>
      <c r="I117" s="29"/>
      <c r="J117" s="29"/>
      <c r="K117" s="29"/>
    </row>
    <row r="118" spans="1:11" ht="12.75">
      <c r="A118" t="s">
        <v>23</v>
      </c>
      <c r="B118" s="8" t="s">
        <v>259</v>
      </c>
      <c r="C118" s="316"/>
      <c r="D118" s="316"/>
      <c r="E118" s="291">
        <f>+C118-D118</f>
        <v>0</v>
      </c>
      <c r="F118" s="8"/>
      <c r="G118" s="83"/>
      <c r="H118" s="84"/>
      <c r="I118" s="85"/>
      <c r="J118" s="85"/>
      <c r="K118" s="85"/>
    </row>
    <row r="119" spans="1:11" ht="12.75">
      <c r="A119" s="75" t="s">
        <v>309</v>
      </c>
      <c r="B119" s="8" t="s">
        <v>259</v>
      </c>
      <c r="C119" s="316"/>
      <c r="D119" s="316"/>
      <c r="E119" s="291">
        <f>+C119-D119</f>
        <v>0</v>
      </c>
      <c r="F119" s="8"/>
      <c r="G119" s="83"/>
      <c r="H119" s="84"/>
      <c r="I119" s="84"/>
      <c r="J119" s="84"/>
      <c r="K119" s="84"/>
    </row>
    <row r="120" spans="1:11" ht="12.75">
      <c r="A120" s="475" t="s">
        <v>556</v>
      </c>
      <c r="B120" s="8" t="s">
        <v>259</v>
      </c>
      <c r="C120" s="316"/>
      <c r="D120" s="316"/>
      <c r="E120" s="291">
        <f>+C120-D120</f>
        <v>0</v>
      </c>
      <c r="F120" s="8"/>
      <c r="G120" s="83"/>
      <c r="H120" s="84"/>
      <c r="I120" s="84"/>
      <c r="J120" s="84"/>
      <c r="K120" s="84"/>
    </row>
    <row r="121" spans="1:11" ht="12.75">
      <c r="A121" s="75" t="s">
        <v>495</v>
      </c>
      <c r="B121" s="8"/>
      <c r="C121" s="316"/>
      <c r="D121" s="316"/>
      <c r="E121" s="291">
        <f>+C121-D121</f>
        <v>0</v>
      </c>
      <c r="F121" s="8"/>
      <c r="G121" s="83"/>
      <c r="H121" s="84"/>
      <c r="I121" s="84"/>
      <c r="J121" s="84"/>
      <c r="K121" s="84"/>
    </row>
    <row r="122" spans="1:11" ht="12.75">
      <c r="A122" s="459"/>
      <c r="B122" s="8" t="s">
        <v>259</v>
      </c>
      <c r="C122" s="316"/>
      <c r="D122" s="316"/>
      <c r="E122" s="291">
        <f>+C122-D122</f>
        <v>0</v>
      </c>
      <c r="F122" s="8"/>
      <c r="G122" s="83"/>
      <c r="H122" s="84"/>
      <c r="I122" s="84"/>
      <c r="J122" s="84"/>
      <c r="K122" s="84"/>
    </row>
    <row r="123" spans="1:11" ht="12.75">
      <c r="A123" s="10" t="s">
        <v>116</v>
      </c>
      <c r="B123" s="8" t="s">
        <v>261</v>
      </c>
      <c r="C123" s="269">
        <f>SUM(C117:C122)</f>
        <v>0</v>
      </c>
      <c r="D123" s="269">
        <f>SUM(D117:D122)</f>
        <v>0</v>
      </c>
      <c r="E123" s="269">
        <f>SUM(E117:E122)</f>
        <v>0</v>
      </c>
      <c r="F123" s="8"/>
      <c r="G123" s="86"/>
      <c r="H123" s="84"/>
      <c r="I123" s="84"/>
      <c r="J123" s="84"/>
      <c r="K123" s="84"/>
    </row>
    <row r="124" spans="2:11" ht="12.75">
      <c r="B124" s="8"/>
      <c r="C124" s="28"/>
      <c r="D124" s="28"/>
      <c r="E124" s="28"/>
      <c r="F124" s="8"/>
      <c r="G124" s="84"/>
      <c r="H124" s="84"/>
      <c r="I124" s="80"/>
      <c r="J124" s="80"/>
      <c r="K124" s="80"/>
    </row>
    <row r="125" spans="1:11" ht="12.75">
      <c r="A125" s="4" t="s">
        <v>26</v>
      </c>
      <c r="B125" s="8" t="s">
        <v>261</v>
      </c>
      <c r="C125" s="269">
        <f>C116+C123</f>
        <v>12735384</v>
      </c>
      <c r="D125" s="269">
        <f>D116+D123</f>
        <v>9893847</v>
      </c>
      <c r="E125" s="269">
        <f>+E116+E123</f>
        <v>2841537</v>
      </c>
      <c r="F125" s="8"/>
      <c r="G125" s="51"/>
      <c r="H125" s="51"/>
      <c r="I125" s="51"/>
      <c r="J125" s="51"/>
      <c r="K125" s="51"/>
    </row>
    <row r="126" spans="2:11" ht="12.75">
      <c r="B126" s="8"/>
      <c r="C126" s="28"/>
      <c r="D126" s="28"/>
      <c r="E126" s="28"/>
      <c r="F126" s="8"/>
      <c r="G126" s="51"/>
      <c r="H126" s="51"/>
      <c r="I126" s="51"/>
      <c r="J126" s="51"/>
      <c r="K126" s="51"/>
    </row>
    <row r="127" spans="1:11" ht="12.75">
      <c r="A127" s="311" t="s">
        <v>243</v>
      </c>
      <c r="C127" s="8"/>
      <c r="D127" s="8"/>
      <c r="E127" s="8"/>
      <c r="F127" s="8"/>
      <c r="G127" s="51"/>
      <c r="H127" s="51"/>
      <c r="I127" s="51"/>
      <c r="J127" s="51"/>
      <c r="K127" s="51"/>
    </row>
    <row r="128" spans="1:11" ht="12.75">
      <c r="A128" s="294"/>
      <c r="B128" s="292"/>
      <c r="C128" s="310"/>
      <c r="D128" s="310">
        <f>IF($E118&gt;$C$13,D118,)</f>
        <v>0</v>
      </c>
      <c r="E128" s="310">
        <f>IF($E118&gt;$C$13,E118,)</f>
        <v>0</v>
      </c>
      <c r="F128" s="8"/>
      <c r="G128" s="51"/>
      <c r="H128" s="51"/>
      <c r="I128" s="51"/>
      <c r="J128" s="51"/>
      <c r="K128" s="51"/>
    </row>
    <row r="129" spans="1:11" ht="12.75">
      <c r="A129" s="308" t="str">
        <f>IF($E119&gt;$C$13,A119," ")</f>
        <v> </v>
      </c>
      <c r="B129" s="292"/>
      <c r="C129" s="310">
        <f aca="true" t="shared" si="6" ref="C129:E132">IF($E119&gt;$C$13,C119,)</f>
        <v>0</v>
      </c>
      <c r="D129" s="310">
        <f>IF($E119&gt;$C$13,D119,)</f>
        <v>0</v>
      </c>
      <c r="E129" s="310">
        <f>IF($E119&gt;$C$13,E119,)</f>
        <v>0</v>
      </c>
      <c r="F129" s="8"/>
      <c r="G129" s="51"/>
      <c r="H129" s="51"/>
      <c r="I129" s="51"/>
      <c r="J129" s="51"/>
      <c r="K129" s="51"/>
    </row>
    <row r="130" spans="1:11" ht="12.75">
      <c r="A130" s="308" t="str">
        <f>IF($E120&gt;$C$13,A120," ")</f>
        <v> </v>
      </c>
      <c r="B130" s="292"/>
      <c r="C130" s="310">
        <f t="shared" si="6"/>
        <v>0</v>
      </c>
      <c r="D130" s="310">
        <f t="shared" si="6"/>
        <v>0</v>
      </c>
      <c r="E130" s="310">
        <f t="shared" si="6"/>
        <v>0</v>
      </c>
      <c r="F130" s="8"/>
      <c r="G130" s="51"/>
      <c r="H130" s="51"/>
      <c r="I130" s="51"/>
      <c r="J130" s="51"/>
      <c r="K130" s="51"/>
    </row>
    <row r="131" spans="1:11" ht="12.75">
      <c r="A131" s="308"/>
      <c r="B131" s="292"/>
      <c r="C131" s="310">
        <f t="shared" si="6"/>
        <v>0</v>
      </c>
      <c r="D131" s="310">
        <f t="shared" si="6"/>
        <v>0</v>
      </c>
      <c r="E131" s="310">
        <f t="shared" si="6"/>
        <v>0</v>
      </c>
      <c r="F131" s="8"/>
      <c r="G131" s="51"/>
      <c r="H131" s="51"/>
      <c r="I131" s="51"/>
      <c r="J131" s="51"/>
      <c r="K131" s="51"/>
    </row>
    <row r="132" spans="1:11" ht="12.75">
      <c r="A132" s="308" t="str">
        <f>IF($E122&gt;$C$13,A122," ")</f>
        <v> </v>
      </c>
      <c r="B132" s="292"/>
      <c r="C132" s="310">
        <f t="shared" si="6"/>
        <v>0</v>
      </c>
      <c r="D132" s="310">
        <f t="shared" si="6"/>
        <v>0</v>
      </c>
      <c r="E132" s="310">
        <f t="shared" si="6"/>
        <v>0</v>
      </c>
      <c r="F132" s="8"/>
      <c r="G132" s="51"/>
      <c r="H132" s="51"/>
      <c r="I132" s="51"/>
      <c r="J132" s="51"/>
      <c r="K132" s="51"/>
    </row>
    <row r="133" spans="1:11" ht="12.75">
      <c r="A133" s="309" t="s">
        <v>285</v>
      </c>
      <c r="B133" s="292"/>
      <c r="C133" s="269">
        <f>SUM(C128:C132)</f>
        <v>0</v>
      </c>
      <c r="D133" s="269">
        <f>SUM(D128:D132)</f>
        <v>0</v>
      </c>
      <c r="E133" s="269">
        <f>SUM(E128:E132)</f>
        <v>0</v>
      </c>
      <c r="F133" s="8"/>
      <c r="G133" s="51"/>
      <c r="H133" s="51"/>
      <c r="I133" s="51"/>
      <c r="J133" s="51"/>
      <c r="K133" s="51"/>
    </row>
    <row r="134" spans="1:11" ht="12.75">
      <c r="A134" s="292" t="s">
        <v>286</v>
      </c>
      <c r="B134" s="292"/>
      <c r="C134" s="269">
        <f>C123-C133</f>
        <v>0</v>
      </c>
      <c r="D134" s="269">
        <f>D123-D133</f>
        <v>0</v>
      </c>
      <c r="E134" s="269">
        <f>E123-E133</f>
        <v>0</v>
      </c>
      <c r="F134" s="8"/>
      <c r="G134" s="51"/>
      <c r="H134" s="51"/>
      <c r="I134" s="51"/>
      <c r="J134" s="51"/>
      <c r="K134" s="51"/>
    </row>
    <row r="135" spans="1:11" ht="12.75">
      <c r="A135" s="292" t="s">
        <v>284</v>
      </c>
      <c r="B135" s="292"/>
      <c r="C135" s="269">
        <f>C133+C134</f>
        <v>0</v>
      </c>
      <c r="D135" s="269">
        <f>D133+D134</f>
        <v>0</v>
      </c>
      <c r="E135" s="269">
        <f>E133+E134</f>
        <v>0</v>
      </c>
      <c r="F135" s="8"/>
      <c r="G135" s="51"/>
      <c r="H135" s="51"/>
      <c r="I135" s="51"/>
      <c r="J135" s="51"/>
      <c r="K135" s="51"/>
    </row>
    <row r="136" spans="2:11" ht="12.75">
      <c r="B136" s="8"/>
      <c r="C136" s="28"/>
      <c r="D136" s="28"/>
      <c r="E136" s="28"/>
      <c r="F136" s="8"/>
      <c r="G136" s="51"/>
      <c r="H136" s="51"/>
      <c r="I136" s="51"/>
      <c r="J136" s="51"/>
      <c r="K136" s="51"/>
    </row>
    <row r="137" spans="1:11" ht="12.75">
      <c r="A137" s="13" t="s">
        <v>150</v>
      </c>
      <c r="B137" s="8" t="s">
        <v>261</v>
      </c>
      <c r="C137" s="269">
        <f>+C56+C85-C125</f>
        <v>2700919</v>
      </c>
      <c r="D137" s="269">
        <f>D56+D85-D125</f>
        <v>180286</v>
      </c>
      <c r="E137" s="269">
        <f>E56+E85-E125</f>
        <v>2520633</v>
      </c>
      <c r="F137" s="8"/>
      <c r="G137" s="51"/>
      <c r="H137" s="51"/>
      <c r="I137" s="51"/>
      <c r="J137" s="51"/>
      <c r="K137" s="51"/>
    </row>
    <row r="138" spans="1:11" ht="12.75">
      <c r="A138" s="12" t="s">
        <v>98</v>
      </c>
      <c r="B138" s="8"/>
      <c r="D138" s="36"/>
      <c r="E138" s="36"/>
      <c r="F138" s="8"/>
      <c r="G138" s="51"/>
      <c r="H138" s="51"/>
      <c r="I138" s="51"/>
      <c r="J138" s="51"/>
      <c r="K138" s="51"/>
    </row>
    <row r="139" spans="1:11" ht="12.75">
      <c r="A139" s="12" t="s">
        <v>524</v>
      </c>
      <c r="B139" s="8" t="s">
        <v>259</v>
      </c>
      <c r="C139" s="316">
        <v>399534</v>
      </c>
      <c r="D139" s="316">
        <v>180286</v>
      </c>
      <c r="E139" s="283">
        <f>C139-D139</f>
        <v>219248</v>
      </c>
      <c r="F139" s="8"/>
      <c r="G139" s="51"/>
      <c r="H139" s="51"/>
      <c r="I139" s="51"/>
      <c r="J139" s="51"/>
      <c r="K139" s="51"/>
    </row>
    <row r="140" spans="1:11" ht="12.75">
      <c r="A140" s="52" t="s">
        <v>537</v>
      </c>
      <c r="B140" s="8" t="s">
        <v>259</v>
      </c>
      <c r="C140" s="343"/>
      <c r="D140" s="343"/>
      <c r="E140" s="42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472" t="s">
        <v>555</v>
      </c>
      <c r="B141" s="8"/>
      <c r="C141" s="343"/>
      <c r="D141" s="343"/>
      <c r="E141" s="422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164</v>
      </c>
      <c r="B142" s="8" t="s">
        <v>261</v>
      </c>
      <c r="C142" s="270">
        <f>C137-C139-C140-C141</f>
        <v>2301385</v>
      </c>
      <c r="D142" s="270">
        <f>D137-D139-D140-D141</f>
        <v>0</v>
      </c>
      <c r="E142" s="270">
        <f>E137-E139-E140-E141</f>
        <v>2301385</v>
      </c>
      <c r="F142" s="8"/>
      <c r="G142" s="51"/>
      <c r="H142" s="51"/>
      <c r="I142" s="51"/>
      <c r="J142" s="51"/>
      <c r="K142" s="51"/>
    </row>
    <row r="143" spans="1:11" ht="12.75">
      <c r="A143" s="52"/>
      <c r="B143" s="8"/>
      <c r="C143" s="94"/>
      <c r="D143" s="94"/>
      <c r="E143" s="94"/>
      <c r="F143" s="8"/>
      <c r="G143" s="51"/>
      <c r="H143" s="51"/>
      <c r="I143" s="51"/>
      <c r="J143" s="51"/>
      <c r="K143" s="51"/>
    </row>
    <row r="144" spans="1:11" ht="12.75">
      <c r="A144" s="96" t="s">
        <v>389</v>
      </c>
      <c r="B144" s="8"/>
      <c r="C144" s="5"/>
      <c r="D144" s="5"/>
      <c r="E144" s="5"/>
      <c r="F144" s="8"/>
      <c r="G144" s="51"/>
      <c r="H144" s="51"/>
      <c r="I144" s="51"/>
      <c r="J144" s="51"/>
      <c r="K144" s="51"/>
    </row>
    <row r="145" spans="1:11" ht="12.75">
      <c r="A145" s="52" t="s">
        <v>525</v>
      </c>
      <c r="B145" s="8" t="s">
        <v>258</v>
      </c>
      <c r="C145" s="327">
        <v>509065</v>
      </c>
      <c r="D145" s="327"/>
      <c r="E145" s="270">
        <f>C145-D145</f>
        <v>509065</v>
      </c>
      <c r="F145" s="8"/>
      <c r="G145" s="51"/>
      <c r="H145" s="51"/>
      <c r="I145" s="51"/>
      <c r="J145" s="51"/>
      <c r="K145" s="51"/>
    </row>
    <row r="146" spans="1:11" ht="12.75">
      <c r="A146" s="52" t="s">
        <v>526</v>
      </c>
      <c r="B146" s="8" t="s">
        <v>258</v>
      </c>
      <c r="C146" s="327">
        <v>174374</v>
      </c>
      <c r="D146" s="327"/>
      <c r="E146" s="312">
        <f>C146-D146</f>
        <v>174374</v>
      </c>
      <c r="F146" s="8"/>
      <c r="G146" s="51"/>
      <c r="H146" s="51"/>
      <c r="I146" s="51"/>
      <c r="J146" s="51"/>
      <c r="K146" s="51"/>
    </row>
    <row r="147" spans="1:11" ht="12.75">
      <c r="A147" s="52" t="s">
        <v>240</v>
      </c>
      <c r="B147" s="8" t="s">
        <v>261</v>
      </c>
      <c r="C147" s="270">
        <f>C145+C146</f>
        <v>683439</v>
      </c>
      <c r="D147" s="270">
        <f>D145+D146</f>
        <v>0</v>
      </c>
      <c r="E147" s="270">
        <f>E145+E146</f>
        <v>683439</v>
      </c>
      <c r="F147" s="8"/>
      <c r="G147" s="51"/>
      <c r="H147" s="51"/>
      <c r="I147" s="51"/>
      <c r="J147" s="51"/>
      <c r="K147" s="51"/>
    </row>
    <row r="148" spans="1:11" ht="12.75">
      <c r="A148" s="52" t="s">
        <v>527</v>
      </c>
      <c r="B148" s="8" t="s">
        <v>259</v>
      </c>
      <c r="C148" s="327"/>
      <c r="D148" s="327"/>
      <c r="E148" s="313">
        <f>C148-D148</f>
        <v>0</v>
      </c>
      <c r="F148" s="8"/>
      <c r="G148" s="51"/>
      <c r="H148" s="51"/>
      <c r="I148" s="51"/>
      <c r="J148" s="51"/>
      <c r="K148" s="51"/>
    </row>
    <row r="149" spans="1:11" ht="12.75">
      <c r="A149" s="96" t="s">
        <v>166</v>
      </c>
      <c r="B149" s="8" t="s">
        <v>261</v>
      </c>
      <c r="C149" s="270">
        <f>C147-C148</f>
        <v>683439</v>
      </c>
      <c r="D149" s="270">
        <f>D147-D148</f>
        <v>0</v>
      </c>
      <c r="E149" s="270">
        <f>E147-E148</f>
        <v>683439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96" t="s">
        <v>496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52" t="s">
        <v>528</v>
      </c>
      <c r="B152" s="8"/>
      <c r="C152" s="429">
        <v>0.2212</v>
      </c>
      <c r="D152" s="5"/>
      <c r="E152" s="430">
        <f>C152</f>
        <v>0.2212</v>
      </c>
      <c r="F152" s="8"/>
      <c r="G152" s="51"/>
      <c r="H152" s="51"/>
      <c r="I152" s="51"/>
      <c r="J152" s="51"/>
      <c r="K152" s="51"/>
    </row>
    <row r="153" spans="1:11" ht="12.75">
      <c r="A153" s="52" t="s">
        <v>529</v>
      </c>
      <c r="B153" s="8"/>
      <c r="C153" s="429">
        <v>0.14</v>
      </c>
      <c r="D153" s="5"/>
      <c r="E153" s="430">
        <f>C153</f>
        <v>0.14</v>
      </c>
      <c r="F153" s="8"/>
      <c r="G153" s="51"/>
      <c r="H153" s="51"/>
      <c r="I153" s="51"/>
      <c r="J153" s="51"/>
      <c r="K153" s="51"/>
    </row>
    <row r="154" spans="1:11" ht="12.75">
      <c r="A154" t="s">
        <v>409</v>
      </c>
      <c r="B154" s="8"/>
      <c r="C154" s="430">
        <f>SUM(C152:C153)</f>
        <v>0.3612</v>
      </c>
      <c r="D154" s="5"/>
      <c r="E154" s="430">
        <f>SUM(E152:E153)</f>
        <v>0.3612</v>
      </c>
      <c r="F154" s="8"/>
      <c r="G154" s="51"/>
      <c r="H154" s="51"/>
      <c r="I154" s="51"/>
      <c r="J154" s="51"/>
      <c r="K154" s="51"/>
    </row>
    <row r="155" spans="2:11" ht="12.75"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14" t="s">
        <v>434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/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14" t="s">
        <v>306</v>
      </c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s="2" t="s">
        <v>307</v>
      </c>
      <c r="B159" s="8"/>
      <c r="C159" s="5"/>
      <c r="D159" s="5"/>
      <c r="E159" s="5"/>
      <c r="F159" s="8"/>
      <c r="G159" s="51"/>
      <c r="H159" s="51"/>
      <c r="I159" s="51"/>
      <c r="J159" s="51"/>
      <c r="K159" s="51"/>
    </row>
    <row r="160" spans="1:11" ht="12.75">
      <c r="A160" s="14" t="s">
        <v>54</v>
      </c>
      <c r="B160" s="8"/>
      <c r="C160" s="5"/>
      <c r="D160" s="5"/>
      <c r="E160" s="5"/>
      <c r="F160" s="8"/>
      <c r="G160" s="51"/>
      <c r="H160" s="51"/>
      <c r="I160" s="51"/>
      <c r="J160" s="51"/>
      <c r="K160" s="51"/>
    </row>
    <row r="161" spans="1:11" ht="12.75">
      <c r="A161" s="2"/>
      <c r="B161" s="8"/>
      <c r="C161" s="5"/>
      <c r="D161" s="5"/>
      <c r="E161" s="5"/>
      <c r="F161" s="8"/>
      <c r="G161" s="51"/>
      <c r="H161" s="51"/>
      <c r="I161" s="51"/>
      <c r="J161" s="51"/>
      <c r="K161" s="51"/>
    </row>
    <row r="162" spans="1:11" ht="12.75">
      <c r="A162" t="s">
        <v>55</v>
      </c>
      <c r="B162" s="72" t="s">
        <v>258</v>
      </c>
      <c r="C162" s="316">
        <v>22437505</v>
      </c>
      <c r="D162" s="316"/>
      <c r="E162" s="291">
        <f>C162-D162</f>
        <v>22437505</v>
      </c>
      <c r="F162" s="8"/>
      <c r="G162" s="51"/>
      <c r="H162" s="51"/>
      <c r="I162" s="51"/>
      <c r="J162" s="51"/>
      <c r="K162" s="51"/>
    </row>
    <row r="163" spans="1:11" ht="12.75">
      <c r="A163" t="s">
        <v>56</v>
      </c>
      <c r="B163" s="72" t="s">
        <v>264</v>
      </c>
      <c r="C163" s="316">
        <v>4294113</v>
      </c>
      <c r="D163" s="316"/>
      <c r="E163" s="291">
        <f aca="true" t="shared" si="7" ref="E163:E175">C163-D163</f>
        <v>4294113</v>
      </c>
      <c r="F163" s="8"/>
      <c r="G163" s="51"/>
      <c r="H163" s="51"/>
      <c r="I163" s="51"/>
      <c r="J163" s="51"/>
      <c r="K163" s="51"/>
    </row>
    <row r="164" spans="1:11" ht="12.75">
      <c r="A164" t="s">
        <v>57</v>
      </c>
      <c r="B164" s="72" t="s">
        <v>258</v>
      </c>
      <c r="C164" s="316"/>
      <c r="D164" s="316"/>
      <c r="E164" s="291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58</v>
      </c>
      <c r="B165" s="72" t="s">
        <v>258</v>
      </c>
      <c r="C165" s="316"/>
      <c r="D165" s="316"/>
      <c r="E165" s="291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59</v>
      </c>
      <c r="B166" s="72" t="s">
        <v>258</v>
      </c>
      <c r="C166" s="316">
        <v>27799349</v>
      </c>
      <c r="D166" s="316"/>
      <c r="E166" s="291">
        <f t="shared" si="7"/>
        <v>27799349</v>
      </c>
      <c r="F166" s="8"/>
      <c r="G166" s="51"/>
      <c r="H166" s="51"/>
      <c r="I166" s="51"/>
      <c r="J166" s="51"/>
      <c r="K166" s="51"/>
    </row>
    <row r="167" spans="1:11" ht="12.75">
      <c r="A167" t="s">
        <v>60</v>
      </c>
      <c r="B167" s="72" t="s">
        <v>258</v>
      </c>
      <c r="C167" s="316">
        <v>5100000</v>
      </c>
      <c r="D167" s="316"/>
      <c r="E167" s="291">
        <f t="shared" si="7"/>
        <v>5100000</v>
      </c>
      <c r="F167" s="8"/>
      <c r="G167" s="51"/>
      <c r="H167" s="51"/>
      <c r="I167" s="51"/>
      <c r="J167" s="51"/>
      <c r="K167" s="51"/>
    </row>
    <row r="168" spans="1:11" ht="12.75">
      <c r="A168" t="s">
        <v>61</v>
      </c>
      <c r="B168" s="72" t="s">
        <v>258</v>
      </c>
      <c r="C168" s="316"/>
      <c r="D168" s="316"/>
      <c r="E168" s="291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62</v>
      </c>
      <c r="B169" s="72" t="s">
        <v>258</v>
      </c>
      <c r="C169" s="316"/>
      <c r="D169" s="316"/>
      <c r="E169" s="291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345</v>
      </c>
      <c r="B170" s="72" t="s">
        <v>258</v>
      </c>
      <c r="C170" s="316"/>
      <c r="D170" s="316"/>
      <c r="E170" s="291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63</v>
      </c>
      <c r="B171" s="72" t="s">
        <v>258</v>
      </c>
      <c r="C171" s="316"/>
      <c r="D171" s="316"/>
      <c r="E171" s="291">
        <f t="shared" si="7"/>
        <v>0</v>
      </c>
      <c r="F171" s="8"/>
      <c r="G171" s="51"/>
      <c r="H171" s="51"/>
      <c r="I171" s="51"/>
      <c r="J171" s="51"/>
      <c r="K171" s="51"/>
    </row>
    <row r="172" spans="1:11" ht="12.75">
      <c r="A172" t="s">
        <v>64</v>
      </c>
      <c r="B172" s="72" t="s">
        <v>258</v>
      </c>
      <c r="C172" s="316"/>
      <c r="D172" s="316"/>
      <c r="E172" s="291">
        <f t="shared" si="7"/>
        <v>0</v>
      </c>
      <c r="F172" s="8"/>
      <c r="G172" s="51"/>
      <c r="H172" s="51"/>
      <c r="I172" s="51"/>
      <c r="J172" s="51"/>
      <c r="K172" s="51"/>
    </row>
    <row r="173" spans="1:11" ht="12.75">
      <c r="A173" t="s">
        <v>267</v>
      </c>
      <c r="B173" s="72" t="s">
        <v>258</v>
      </c>
      <c r="C173" s="316"/>
      <c r="D173" s="316"/>
      <c r="E173" s="291">
        <f t="shared" si="7"/>
        <v>0</v>
      </c>
      <c r="F173" s="8"/>
      <c r="G173" s="51"/>
      <c r="H173" s="51"/>
      <c r="I173" s="51"/>
      <c r="J173" s="51"/>
      <c r="K173" s="51"/>
    </row>
    <row r="174" spans="1:11" ht="12.75">
      <c r="A174" t="s">
        <v>65</v>
      </c>
      <c r="B174" s="72" t="s">
        <v>258</v>
      </c>
      <c r="C174" s="316">
        <v>821850</v>
      </c>
      <c r="D174" s="316"/>
      <c r="E174" s="291">
        <f t="shared" si="7"/>
        <v>821850</v>
      </c>
      <c r="F174" s="8"/>
      <c r="G174" s="51"/>
      <c r="H174" s="51"/>
      <c r="I174" s="51"/>
      <c r="J174" s="51"/>
      <c r="K174" s="51"/>
    </row>
    <row r="175" spans="1:6" ht="12.75">
      <c r="A175" t="s">
        <v>263</v>
      </c>
      <c r="B175" s="72" t="s">
        <v>258</v>
      </c>
      <c r="C175" s="316"/>
      <c r="D175" s="316"/>
      <c r="E175" s="291">
        <f t="shared" si="7"/>
        <v>0</v>
      </c>
      <c r="F175" s="8"/>
    </row>
    <row r="176" spans="1:6" ht="12.75">
      <c r="A176" t="s">
        <v>66</v>
      </c>
      <c r="B176" s="72" t="s">
        <v>261</v>
      </c>
      <c r="C176" s="269">
        <f>SUM(C162:C175)</f>
        <v>60452817</v>
      </c>
      <c r="D176" s="269">
        <f>SUM(D162:D175)</f>
        <v>0</v>
      </c>
      <c r="E176" s="269">
        <f>SUM(E162:E175)</f>
        <v>60452817</v>
      </c>
      <c r="F176" s="8"/>
    </row>
    <row r="177" spans="1:6" ht="12.75">
      <c r="A177" t="s">
        <v>67</v>
      </c>
      <c r="B177" s="8"/>
      <c r="C177" s="28"/>
      <c r="D177" s="28"/>
      <c r="E177" s="28"/>
      <c r="F177" s="8"/>
    </row>
    <row r="178" spans="1:6" ht="25.5">
      <c r="A178" s="71" t="s">
        <v>266</v>
      </c>
      <c r="B178" s="72" t="s">
        <v>259</v>
      </c>
      <c r="C178" s="317">
        <v>4581134</v>
      </c>
      <c r="D178" s="317"/>
      <c r="E178" s="314">
        <f>C178-D178</f>
        <v>4581134</v>
      </c>
      <c r="F178" s="8"/>
    </row>
    <row r="179" spans="1:6" ht="25.5">
      <c r="A179" s="87" t="s">
        <v>254</v>
      </c>
      <c r="B179" s="72" t="s">
        <v>259</v>
      </c>
      <c r="C179" s="317"/>
      <c r="D179" s="317"/>
      <c r="E179" s="314">
        <f>C179-D179</f>
        <v>0</v>
      </c>
      <c r="F179" s="8"/>
    </row>
    <row r="180" spans="1:6" ht="12.75">
      <c r="A180" s="2" t="s">
        <v>111</v>
      </c>
      <c r="B180" s="72" t="s">
        <v>261</v>
      </c>
      <c r="C180" s="315">
        <f>C176-C178-C179</f>
        <v>55871683</v>
      </c>
      <c r="D180" s="315">
        <f>D176-D178-D179</f>
        <v>0</v>
      </c>
      <c r="E180" s="269">
        <f>E176-E178-E179</f>
        <v>55871683</v>
      </c>
      <c r="F180" s="8"/>
    </row>
    <row r="181" spans="2:6" ht="12.75">
      <c r="B181" s="8"/>
      <c r="C181" s="5"/>
      <c r="D181" s="5"/>
      <c r="E181" s="5"/>
      <c r="F181" s="8"/>
    </row>
    <row r="182" spans="1:6" ht="12.75">
      <c r="A182" s="14" t="s">
        <v>68</v>
      </c>
      <c r="B182" s="8"/>
      <c r="C182" s="5"/>
      <c r="D182" s="5"/>
      <c r="E182" s="5"/>
      <c r="F182" s="8"/>
    </row>
    <row r="183" spans="2:6" ht="12.75">
      <c r="B183" s="8"/>
      <c r="C183" s="5"/>
      <c r="D183" s="5"/>
      <c r="E183" s="5"/>
      <c r="F183" s="8"/>
    </row>
    <row r="184" spans="1:6" ht="12.75">
      <c r="A184" t="s">
        <v>69</v>
      </c>
      <c r="B184" s="72" t="s">
        <v>258</v>
      </c>
      <c r="C184" s="316"/>
      <c r="D184" s="316"/>
      <c r="E184" s="291">
        <f aca="true" t="shared" si="8" ref="E184:E189">C184-D184</f>
        <v>0</v>
      </c>
      <c r="F184" s="8"/>
    </row>
    <row r="185" spans="1:6" ht="12.75">
      <c r="A185" t="s">
        <v>70</v>
      </c>
      <c r="B185" s="72" t="s">
        <v>258</v>
      </c>
      <c r="C185" s="316"/>
      <c r="D185" s="316"/>
      <c r="E185" s="291">
        <f t="shared" si="8"/>
        <v>0</v>
      </c>
      <c r="F185" s="8"/>
    </row>
    <row r="186" spans="1:6" ht="12.75">
      <c r="A186" t="s">
        <v>71</v>
      </c>
      <c r="B186" s="72" t="s">
        <v>258</v>
      </c>
      <c r="C186" s="316"/>
      <c r="D186" s="316"/>
      <c r="E186" s="291">
        <f t="shared" si="8"/>
        <v>0</v>
      </c>
      <c r="F186" s="8"/>
    </row>
    <row r="187" spans="1:6" ht="12.75">
      <c r="A187" t="s">
        <v>72</v>
      </c>
      <c r="B187" s="72" t="s">
        <v>258</v>
      </c>
      <c r="C187" s="316"/>
      <c r="D187" s="316"/>
      <c r="E187" s="291">
        <f t="shared" si="8"/>
        <v>0</v>
      </c>
      <c r="F187" s="8"/>
    </row>
    <row r="188" spans="1:6" ht="12.75">
      <c r="A188" t="s">
        <v>262</v>
      </c>
      <c r="B188" s="72" t="s">
        <v>258</v>
      </c>
      <c r="C188" s="316"/>
      <c r="D188" s="316"/>
      <c r="E188" s="291">
        <f t="shared" si="8"/>
        <v>0</v>
      </c>
      <c r="F188" s="8"/>
    </row>
    <row r="189" spans="1:6" ht="12.75">
      <c r="A189" t="s">
        <v>268</v>
      </c>
      <c r="B189" s="72" t="s">
        <v>258</v>
      </c>
      <c r="C189" s="316"/>
      <c r="D189" s="316"/>
      <c r="E189" s="291">
        <f t="shared" si="8"/>
        <v>0</v>
      </c>
      <c r="F189" s="8"/>
    </row>
    <row r="190" spans="2:6" ht="12.75">
      <c r="B190" s="8"/>
      <c r="C190" s="28"/>
      <c r="D190" s="28"/>
      <c r="E190" s="252"/>
      <c r="F190" s="8"/>
    </row>
    <row r="191" spans="1:6" ht="12.75">
      <c r="A191" s="2" t="s">
        <v>73</v>
      </c>
      <c r="B191" s="72" t="s">
        <v>261</v>
      </c>
      <c r="C191" s="269">
        <f>SUM(C184:C189)</f>
        <v>0</v>
      </c>
      <c r="D191" s="269">
        <f>SUM(D184:D190)</f>
        <v>0</v>
      </c>
      <c r="E191" s="269">
        <f>SUM(E184:E189)</f>
        <v>0</v>
      </c>
      <c r="F191" s="8"/>
    </row>
    <row r="192" spans="1:6" ht="12.75">
      <c r="A192" s="2"/>
      <c r="B192" s="8"/>
      <c r="C192" s="5"/>
      <c r="D192" s="5"/>
      <c r="E192" s="5"/>
      <c r="F192" s="8"/>
    </row>
    <row r="193" spans="1:6" ht="12.75">
      <c r="A193" s="2"/>
      <c r="B193" s="8"/>
      <c r="C193" s="5"/>
      <c r="D193" s="5"/>
      <c r="E193" s="5"/>
      <c r="F193" s="8"/>
    </row>
    <row r="194" spans="1:6" ht="12.75">
      <c r="A194" s="14" t="s">
        <v>74</v>
      </c>
      <c r="B194" s="8"/>
      <c r="C194" s="5"/>
      <c r="D194" s="5"/>
      <c r="E194" s="5"/>
      <c r="F194" s="8"/>
    </row>
    <row r="195" spans="2:6" ht="12.75">
      <c r="B195" s="8"/>
      <c r="C195" s="5"/>
      <c r="D195" s="5"/>
      <c r="E195" s="5"/>
      <c r="F195" s="8"/>
    </row>
    <row r="196" spans="1:6" ht="12.75">
      <c r="A196" t="s">
        <v>75</v>
      </c>
      <c r="B196" s="72" t="s">
        <v>258</v>
      </c>
      <c r="C196" s="316">
        <v>77437212</v>
      </c>
      <c r="D196" s="316"/>
      <c r="E196" s="291">
        <f>C196-D196</f>
        <v>77437212</v>
      </c>
      <c r="F196" s="8"/>
    </row>
    <row r="197" spans="1:6" ht="12.75">
      <c r="A197" t="s">
        <v>255</v>
      </c>
      <c r="B197" s="72" t="s">
        <v>258</v>
      </c>
      <c r="C197" s="316"/>
      <c r="D197" s="316"/>
      <c r="E197" s="291">
        <f>C197-D197</f>
        <v>0</v>
      </c>
      <c r="F197" s="8"/>
    </row>
    <row r="198" spans="1:7" ht="12.75">
      <c r="A198" t="s">
        <v>256</v>
      </c>
      <c r="B198" s="72" t="s">
        <v>258</v>
      </c>
      <c r="C198" s="316"/>
      <c r="D198" s="316"/>
      <c r="E198" s="291">
        <f>C198-D198</f>
        <v>0</v>
      </c>
      <c r="F198" s="8"/>
      <c r="G198" s="28" t="s">
        <v>169</v>
      </c>
    </row>
    <row r="199" spans="1:6" ht="12.75">
      <c r="A199" t="s">
        <v>257</v>
      </c>
      <c r="B199" s="72" t="s">
        <v>259</v>
      </c>
      <c r="C199" s="316"/>
      <c r="D199" s="316"/>
      <c r="E199" s="291">
        <f>C199-D199</f>
        <v>0</v>
      </c>
      <c r="F199" s="8"/>
    </row>
    <row r="200" spans="2:6" ht="12.75">
      <c r="B200" s="8"/>
      <c r="C200" s="328"/>
      <c r="D200" s="328"/>
      <c r="E200" s="200"/>
      <c r="F200" s="8"/>
    </row>
    <row r="201" spans="1:6" ht="12.75">
      <c r="A201" s="2" t="s">
        <v>76</v>
      </c>
      <c r="B201" s="72" t="s">
        <v>261</v>
      </c>
      <c r="C201" s="269">
        <f>C196+C197+C198-C199</f>
        <v>77437212</v>
      </c>
      <c r="D201" s="269">
        <f>D196+D197+D198-D199</f>
        <v>0</v>
      </c>
      <c r="E201" s="269">
        <f>E196+E197+E198-E199</f>
        <v>77437212</v>
      </c>
      <c r="F201" s="8"/>
    </row>
    <row r="202" spans="2:6" ht="12.75">
      <c r="B202" s="8"/>
      <c r="C202" s="5"/>
      <c r="D202" s="5"/>
      <c r="E202" s="5"/>
      <c r="F202" s="8"/>
    </row>
    <row r="203" spans="1:6" ht="12.75">
      <c r="A203" t="s">
        <v>77</v>
      </c>
      <c r="B203" s="8"/>
      <c r="C203" s="5"/>
      <c r="D203" s="5"/>
      <c r="E203" s="5"/>
      <c r="F203" s="8"/>
    </row>
    <row r="204" spans="1:6" ht="12.75">
      <c r="A204" t="s">
        <v>260</v>
      </c>
      <c r="B204" s="72" t="s">
        <v>258</v>
      </c>
      <c r="C204" s="316"/>
      <c r="D204" s="316"/>
      <c r="E204" s="291">
        <f aca="true" t="shared" si="9" ref="E204:E210">C204-D204</f>
        <v>0</v>
      </c>
      <c r="F204" s="8"/>
    </row>
    <row r="205" spans="1:6" ht="12.75">
      <c r="A205" t="s">
        <v>78</v>
      </c>
      <c r="B205" s="72" t="s">
        <v>258</v>
      </c>
      <c r="C205" s="316"/>
      <c r="D205" s="316"/>
      <c r="E205" s="291">
        <f t="shared" si="9"/>
        <v>0</v>
      </c>
      <c r="F205" s="8"/>
    </row>
    <row r="206" spans="1:6" ht="12.75">
      <c r="A206" t="s">
        <v>79</v>
      </c>
      <c r="B206" s="8"/>
      <c r="C206" s="316"/>
      <c r="D206" s="316"/>
      <c r="E206" s="291">
        <f t="shared" si="9"/>
        <v>0</v>
      </c>
      <c r="F206" s="8"/>
    </row>
    <row r="207" spans="1:6" ht="25.5">
      <c r="A207" s="71" t="s">
        <v>266</v>
      </c>
      <c r="B207" s="74" t="s">
        <v>259</v>
      </c>
      <c r="C207" s="317">
        <v>4581134</v>
      </c>
      <c r="D207" s="317"/>
      <c r="E207" s="314">
        <f t="shared" si="9"/>
        <v>4581134</v>
      </c>
      <c r="F207" s="8"/>
    </row>
    <row r="208" spans="1:6" ht="25.5">
      <c r="A208" s="71" t="s">
        <v>265</v>
      </c>
      <c r="B208" s="72" t="s">
        <v>259</v>
      </c>
      <c r="C208" s="316"/>
      <c r="D208" s="316"/>
      <c r="E208" s="291">
        <f t="shared" si="9"/>
        <v>0</v>
      </c>
      <c r="F208" s="8"/>
    </row>
    <row r="209" spans="1:5" ht="12.75">
      <c r="A209" t="s">
        <v>80</v>
      </c>
      <c r="B209" s="72" t="s">
        <v>259</v>
      </c>
      <c r="C209" s="316"/>
      <c r="D209" s="316"/>
      <c r="E209" s="291">
        <f t="shared" si="9"/>
        <v>0</v>
      </c>
    </row>
    <row r="210" spans="1:5" ht="12.75">
      <c r="A210" t="s">
        <v>81</v>
      </c>
      <c r="B210" s="72" t="s">
        <v>264</v>
      </c>
      <c r="C210" s="316"/>
      <c r="D210" s="316"/>
      <c r="E210" s="291">
        <f t="shared" si="9"/>
        <v>0</v>
      </c>
    </row>
    <row r="211" spans="2:5" ht="12.75">
      <c r="B211" s="8"/>
      <c r="C211" s="28"/>
      <c r="D211" s="28"/>
      <c r="E211" s="200"/>
    </row>
    <row r="212" spans="1:5" ht="12.75">
      <c r="A212" s="2" t="s">
        <v>82</v>
      </c>
      <c r="B212" s="8" t="s">
        <v>261</v>
      </c>
      <c r="C212" s="315">
        <f>C201+C204+C205-C207-C208-C209+C210</f>
        <v>72856078</v>
      </c>
      <c r="D212" s="315">
        <f>D201+D204+D205-D207-D208-D209+D210</f>
        <v>0</v>
      </c>
      <c r="E212" s="269">
        <f>E201+E204+E205-E207-E208-E209+E210</f>
        <v>72856078</v>
      </c>
    </row>
    <row r="213" spans="2:5" ht="12.75">
      <c r="B213" s="8"/>
      <c r="C213" s="5"/>
      <c r="D213" s="5"/>
      <c r="E213" s="5"/>
    </row>
    <row r="214" spans="2:6" ht="12.75">
      <c r="B214" s="8"/>
      <c r="C214" s="28"/>
      <c r="D214" s="28"/>
      <c r="E214" s="28"/>
      <c r="F214" s="8"/>
    </row>
    <row r="215" spans="1:6" ht="12.75">
      <c r="A215" s="14" t="s">
        <v>83</v>
      </c>
      <c r="B215" s="8"/>
      <c r="C215" s="269">
        <f>IF(C212=0,0,IF(((C191/C212)*C180)&lt;0,0,IF((C191/C212)*C180&gt;C191,C191,C191/C212*C180)))</f>
        <v>0</v>
      </c>
      <c r="D215" s="269">
        <f>IF(D212=0,0,IF(((D191/D212)*D180)&lt;0,0,IF((D191/D212)*D180&gt;D191,D191,D191/D212*D180)))</f>
        <v>0</v>
      </c>
      <c r="E215" s="269">
        <f>IF(E212=0,0,IF(((E191/E212)*E180)&lt;0,0,IF((E191/E212)*E180&gt;E191,E191,E191/E212*E180)))</f>
        <v>0</v>
      </c>
      <c r="F215" s="8"/>
    </row>
    <row r="216" spans="2:6" ht="12.75">
      <c r="B216" s="8"/>
      <c r="C216" s="5"/>
      <c r="D216" s="5"/>
      <c r="E216" s="5"/>
      <c r="F216" s="8"/>
    </row>
    <row r="217" spans="1:6" ht="12.75">
      <c r="A217" s="14" t="s">
        <v>50</v>
      </c>
      <c r="B217" s="8"/>
      <c r="C217" s="5"/>
      <c r="D217" s="5"/>
      <c r="E217" s="5"/>
      <c r="F217" s="8"/>
    </row>
    <row r="218" spans="1:6" ht="12.75">
      <c r="A218" s="2"/>
      <c r="B218" s="8"/>
      <c r="C218" s="5"/>
      <c r="D218" s="5"/>
      <c r="E218" s="5"/>
      <c r="F218" s="8"/>
    </row>
    <row r="219" spans="1:6" ht="12.75">
      <c r="A219" s="4" t="s">
        <v>84</v>
      </c>
      <c r="B219" s="72" t="s">
        <v>258</v>
      </c>
      <c r="C219" s="299">
        <f>+C180</f>
        <v>55871683</v>
      </c>
      <c r="D219" s="299">
        <f>+D180</f>
        <v>0</v>
      </c>
      <c r="E219" s="303">
        <f>+C219-D219</f>
        <v>55871683</v>
      </c>
      <c r="F219" s="8"/>
    </row>
    <row r="220" spans="1:6" ht="12.75">
      <c r="A220" s="4" t="s">
        <v>85</v>
      </c>
      <c r="B220" s="72" t="s">
        <v>259</v>
      </c>
      <c r="C220" s="269">
        <f>C215</f>
        <v>0</v>
      </c>
      <c r="D220" s="269">
        <f>D215</f>
        <v>0</v>
      </c>
      <c r="E220" s="269">
        <f>C220-D220</f>
        <v>0</v>
      </c>
      <c r="F220" s="8"/>
    </row>
    <row r="221" spans="1:6" ht="12.75">
      <c r="A221" s="4"/>
      <c r="B221" s="26"/>
      <c r="C221" s="80"/>
      <c r="D221" s="80"/>
      <c r="E221" s="97" t="s">
        <v>169</v>
      </c>
      <c r="F221" s="8"/>
    </row>
    <row r="222" spans="1:6" ht="12.75">
      <c r="A222" s="4" t="s">
        <v>86</v>
      </c>
      <c r="B222" s="8" t="s">
        <v>261</v>
      </c>
      <c r="C222" s="269">
        <f>IF(C219&gt;C220,C219-C220,0)</f>
        <v>55871683</v>
      </c>
      <c r="D222" s="269">
        <f>IF(D219&gt;D220,D219-D220,0)</f>
        <v>0</v>
      </c>
      <c r="E222" s="269">
        <f>IF(E219&gt;E220,E219-E220,0)</f>
        <v>55871683</v>
      </c>
      <c r="F222" s="8"/>
    </row>
    <row r="223" spans="1:6" ht="12.75">
      <c r="A223" s="4"/>
      <c r="B223" s="8"/>
      <c r="C223" s="5"/>
      <c r="D223" s="5"/>
      <c r="E223" s="5"/>
      <c r="F223" s="8"/>
    </row>
    <row r="224" spans="1:6" ht="12.75">
      <c r="A224" s="14" t="s">
        <v>87</v>
      </c>
      <c r="B224" s="8"/>
      <c r="C224" s="5"/>
      <c r="D224" s="5"/>
      <c r="E224" s="5"/>
      <c r="F224" s="8"/>
    </row>
    <row r="225" spans="1:6" ht="12.75">
      <c r="A225" s="4" t="s">
        <v>477</v>
      </c>
      <c r="B225" s="8"/>
      <c r="C225" s="272">
        <v>7199055</v>
      </c>
      <c r="D225" s="316">
        <v>0</v>
      </c>
      <c r="E225" s="291">
        <f>+C225-D225</f>
        <v>7199055</v>
      </c>
      <c r="F225" s="8"/>
    </row>
    <row r="226" spans="1:6" ht="12.75">
      <c r="A226" s="2" t="s">
        <v>410</v>
      </c>
      <c r="B226" s="8"/>
      <c r="C226" s="28"/>
      <c r="D226" s="28"/>
      <c r="E226" s="28"/>
      <c r="F226" s="8"/>
    </row>
    <row r="227" spans="1:6" ht="12.75">
      <c r="A227" s="4" t="s">
        <v>88</v>
      </c>
      <c r="B227" s="8"/>
      <c r="C227" s="269">
        <f>IF(C222&gt;C225,C222-C225,0)</f>
        <v>48672628</v>
      </c>
      <c r="D227" s="269">
        <f>D222-D225</f>
        <v>0</v>
      </c>
      <c r="E227" s="269">
        <f>E222-E225</f>
        <v>48672628</v>
      </c>
      <c r="F227" s="8"/>
    </row>
    <row r="228" spans="1:6" ht="12.75">
      <c r="A228" s="2"/>
      <c r="B228" s="8"/>
      <c r="C228" s="5"/>
      <c r="D228" s="5"/>
      <c r="E228" s="5"/>
      <c r="F228" s="8"/>
    </row>
    <row r="229" spans="1:6" ht="12.75">
      <c r="A229" s="4" t="s">
        <v>403</v>
      </c>
      <c r="B229" s="8"/>
      <c r="C229" s="318">
        <f>'Tax Rates'!C54</f>
        <v>0.003</v>
      </c>
      <c r="D229" s="318">
        <f>C229</f>
        <v>0.003</v>
      </c>
      <c r="E229" s="318">
        <f>C229</f>
        <v>0.003</v>
      </c>
      <c r="F229" s="8"/>
    </row>
    <row r="230" spans="1:6" ht="12.75">
      <c r="A230" s="4"/>
      <c r="B230" s="8"/>
      <c r="C230" s="5"/>
      <c r="D230" s="5"/>
      <c r="E230" s="5"/>
      <c r="F230" s="8"/>
    </row>
    <row r="231" spans="1:6" ht="12.75">
      <c r="A231" s="4" t="s">
        <v>117</v>
      </c>
      <c r="B231" s="8"/>
      <c r="C231" s="270">
        <f>C11</f>
        <v>365</v>
      </c>
      <c r="D231" s="270">
        <f>C231</f>
        <v>365</v>
      </c>
      <c r="E231" s="270">
        <f>C231</f>
        <v>365</v>
      </c>
      <c r="F231" s="8"/>
    </row>
    <row r="232" spans="1:6" ht="12.75">
      <c r="A232" s="4" t="s">
        <v>476</v>
      </c>
      <c r="B232" s="8"/>
      <c r="C232" s="319">
        <f>+C231/REGINFO!B7</f>
        <v>1</v>
      </c>
      <c r="D232" s="319">
        <f>+D231/REGINFO!B7</f>
        <v>1</v>
      </c>
      <c r="E232" s="319">
        <f>+E231/REGINFO!B7</f>
        <v>1</v>
      </c>
      <c r="F232" s="8"/>
    </row>
    <row r="233" spans="2:6" ht="12.75">
      <c r="B233" s="8"/>
      <c r="C233" s="5"/>
      <c r="D233" s="5"/>
      <c r="E233" s="5"/>
      <c r="F233" s="8"/>
    </row>
    <row r="234" spans="1:6" ht="12.75">
      <c r="A234" s="2" t="s">
        <v>485</v>
      </c>
      <c r="B234" s="8"/>
      <c r="C234" s="458">
        <f>C227*C229*C232</f>
        <v>146017.884</v>
      </c>
      <c r="D234" s="269">
        <f>+D225*D227*D230</f>
        <v>0</v>
      </c>
      <c r="E234" s="269">
        <f>C234-D234</f>
        <v>146017.884</v>
      </c>
      <c r="F234" s="8"/>
    </row>
    <row r="235" spans="2:6" ht="12.75">
      <c r="B235" s="8"/>
      <c r="C235" s="5"/>
      <c r="D235" s="5"/>
      <c r="E235" s="5"/>
      <c r="F235" s="8"/>
    </row>
    <row r="236" spans="1:6" ht="12.75">
      <c r="A236" s="2" t="s">
        <v>523</v>
      </c>
      <c r="B236" s="8"/>
      <c r="C236" s="324">
        <v>146018</v>
      </c>
      <c r="D236" s="324">
        <f>+D227*D229*D232</f>
        <v>0</v>
      </c>
      <c r="E236" s="269">
        <f>C236-D236</f>
        <v>146018</v>
      </c>
      <c r="F236" s="8"/>
    </row>
    <row r="237" spans="1:6" ht="12.75">
      <c r="A237" s="2"/>
      <c r="B237" s="8"/>
      <c r="C237" s="6"/>
      <c r="D237" s="6"/>
      <c r="E237" s="6"/>
      <c r="F237" s="8"/>
    </row>
    <row r="238" spans="1:6" ht="12.75">
      <c r="A238" s="14" t="s">
        <v>543</v>
      </c>
      <c r="B238" s="8"/>
      <c r="C238" s="5"/>
      <c r="D238" s="5"/>
      <c r="E238" s="5"/>
      <c r="F238" s="8"/>
    </row>
    <row r="239" spans="1:6" ht="12.75">
      <c r="A239" s="14"/>
      <c r="B239" s="8"/>
      <c r="C239" s="5"/>
      <c r="D239" s="5"/>
      <c r="E239" s="5"/>
      <c r="F239" s="8"/>
    </row>
    <row r="240" spans="1:6" ht="12.75">
      <c r="A240" s="14" t="s">
        <v>544</v>
      </c>
      <c r="B240" s="8"/>
      <c r="C240" s="95"/>
      <c r="D240" s="38"/>
      <c r="E240" s="38"/>
      <c r="F240" s="8"/>
    </row>
    <row r="241" spans="1:6" ht="12.75">
      <c r="A241" s="96" t="s">
        <v>305</v>
      </c>
      <c r="B241" s="8"/>
      <c r="C241" s="5"/>
      <c r="D241" s="5"/>
      <c r="E241" s="5"/>
      <c r="F241" s="8"/>
    </row>
    <row r="242" spans="1:6" ht="12.75">
      <c r="A242" s="2" t="s">
        <v>89</v>
      </c>
      <c r="B242" s="8"/>
      <c r="C242" s="5"/>
      <c r="D242" s="5"/>
      <c r="E242" s="5"/>
      <c r="F242" s="8"/>
    </row>
    <row r="243" spans="1:6" ht="12.75">
      <c r="A243" t="s">
        <v>90</v>
      </c>
      <c r="B243" s="8"/>
      <c r="C243" s="5"/>
      <c r="D243" s="5"/>
      <c r="E243" s="5"/>
      <c r="F243" s="8"/>
    </row>
    <row r="244" spans="1:6" ht="25.5">
      <c r="A244" s="71" t="s">
        <v>269</v>
      </c>
      <c r="B244" s="74" t="s">
        <v>258</v>
      </c>
      <c r="C244" s="320">
        <v>821850</v>
      </c>
      <c r="D244" s="320"/>
      <c r="E244" s="314">
        <f>+C244-D244</f>
        <v>821850</v>
      </c>
      <c r="F244" s="8"/>
    </row>
    <row r="245" spans="1:6" ht="12.75">
      <c r="A245" s="71" t="s">
        <v>91</v>
      </c>
      <c r="B245" s="74" t="s">
        <v>258</v>
      </c>
      <c r="C245" s="324">
        <v>22437505</v>
      </c>
      <c r="D245" s="324"/>
      <c r="E245" s="291">
        <f aca="true" t="shared" si="10" ref="E245:E253">+C245-D245</f>
        <v>22437505</v>
      </c>
      <c r="F245" s="8"/>
    </row>
    <row r="246" spans="1:6" ht="12.75">
      <c r="A246" s="71" t="s">
        <v>92</v>
      </c>
      <c r="B246" s="74" t="s">
        <v>258</v>
      </c>
      <c r="C246" s="321">
        <v>4294113</v>
      </c>
      <c r="D246" s="321"/>
      <c r="E246" s="291">
        <f t="shared" si="10"/>
        <v>4294113</v>
      </c>
      <c r="F246" s="8"/>
    </row>
    <row r="247" spans="1:6" ht="12.75">
      <c r="A247" s="71" t="s">
        <v>93</v>
      </c>
      <c r="B247" s="74" t="s">
        <v>258</v>
      </c>
      <c r="C247" s="322"/>
      <c r="D247" s="322"/>
      <c r="E247" s="291">
        <f t="shared" si="10"/>
        <v>0</v>
      </c>
      <c r="F247" s="8"/>
    </row>
    <row r="248" spans="1:6" ht="12.75">
      <c r="A248" s="71" t="s">
        <v>94</v>
      </c>
      <c r="B248" s="74" t="s">
        <v>258</v>
      </c>
      <c r="C248" s="322"/>
      <c r="D248" s="322"/>
      <c r="E248" s="291">
        <f t="shared" si="10"/>
        <v>0</v>
      </c>
      <c r="F248" s="8"/>
    </row>
    <row r="249" spans="1:6" ht="12.75">
      <c r="A249" s="71" t="s">
        <v>95</v>
      </c>
      <c r="B249" s="74" t="s">
        <v>258</v>
      </c>
      <c r="C249" s="322"/>
      <c r="D249" s="322"/>
      <c r="E249" s="291">
        <f t="shared" si="10"/>
        <v>0</v>
      </c>
      <c r="F249" s="8"/>
    </row>
    <row r="250" spans="1:6" ht="12.75">
      <c r="A250" s="71" t="s">
        <v>96</v>
      </c>
      <c r="B250" s="74" t="s">
        <v>258</v>
      </c>
      <c r="C250" s="322">
        <v>25622324</v>
      </c>
      <c r="D250" s="322"/>
      <c r="E250" s="291">
        <f t="shared" si="10"/>
        <v>25622324</v>
      </c>
      <c r="F250" s="8"/>
    </row>
    <row r="251" spans="1:6" ht="25.5">
      <c r="A251" s="71" t="s">
        <v>272</v>
      </c>
      <c r="B251" s="74" t="s">
        <v>258</v>
      </c>
      <c r="C251" s="320">
        <v>5100000</v>
      </c>
      <c r="D251" s="320"/>
      <c r="E251" s="314">
        <f t="shared" si="10"/>
        <v>5100000</v>
      </c>
      <c r="F251" s="8"/>
    </row>
    <row r="252" spans="1:6" ht="12.75">
      <c r="A252" s="71" t="s">
        <v>97</v>
      </c>
      <c r="B252" s="74" t="s">
        <v>258</v>
      </c>
      <c r="C252" s="322"/>
      <c r="D252" s="322"/>
      <c r="E252" s="291">
        <f t="shared" si="10"/>
        <v>0</v>
      </c>
      <c r="F252" s="8"/>
    </row>
    <row r="253" spans="1:6" ht="12.75">
      <c r="A253" s="71" t="s">
        <v>273</v>
      </c>
      <c r="B253" s="74" t="s">
        <v>258</v>
      </c>
      <c r="C253" s="322">
        <v>2177025</v>
      </c>
      <c r="D253" s="322"/>
      <c r="E253" s="291">
        <f t="shared" si="10"/>
        <v>2177025</v>
      </c>
      <c r="F253" s="8"/>
    </row>
    <row r="254" spans="2:6" ht="12.75">
      <c r="B254" s="8"/>
      <c r="C254" s="28"/>
      <c r="D254" s="28"/>
      <c r="E254" s="28"/>
      <c r="F254" s="8"/>
    </row>
    <row r="255" spans="1:6" ht="12.75">
      <c r="A255" t="s">
        <v>0</v>
      </c>
      <c r="B255" s="8" t="s">
        <v>261</v>
      </c>
      <c r="C255" s="269">
        <f>SUM(C244:C254)</f>
        <v>60452817</v>
      </c>
      <c r="D255" s="269">
        <f>SUM(D244:D254)</f>
        <v>0</v>
      </c>
      <c r="E255" s="269">
        <f>SUM(E244:E254)</f>
        <v>60452817</v>
      </c>
      <c r="F255" s="8"/>
    </row>
    <row r="256" spans="2:6" ht="12.75">
      <c r="B256" s="8"/>
      <c r="C256" s="28"/>
      <c r="D256" s="28"/>
      <c r="E256" s="28"/>
      <c r="F256" s="8"/>
    </row>
    <row r="257" spans="1:6" ht="12.75">
      <c r="A257" t="s">
        <v>98</v>
      </c>
      <c r="B257" s="8"/>
      <c r="C257" s="28"/>
      <c r="D257" s="28"/>
      <c r="E257" s="28"/>
      <c r="F257" s="8"/>
    </row>
    <row r="258" spans="1:6" ht="12.75">
      <c r="A258" t="s">
        <v>99</v>
      </c>
      <c r="B258" s="72" t="s">
        <v>259</v>
      </c>
      <c r="C258" s="316"/>
      <c r="D258" s="316"/>
      <c r="E258" s="291">
        <f>+C258-D258</f>
        <v>0</v>
      </c>
      <c r="F258" s="8"/>
    </row>
    <row r="259" spans="1:6" ht="12.75">
      <c r="A259" t="s">
        <v>270</v>
      </c>
      <c r="B259" s="72" t="s">
        <v>259</v>
      </c>
      <c r="C259" s="316"/>
      <c r="D259" s="316"/>
      <c r="E259" s="291">
        <f>+C259-D259</f>
        <v>0</v>
      </c>
      <c r="F259" s="8"/>
    </row>
    <row r="260" spans="1:6" ht="25.5">
      <c r="A260" s="73" t="s">
        <v>271</v>
      </c>
      <c r="B260" s="72" t="s">
        <v>259</v>
      </c>
      <c r="C260" s="317"/>
      <c r="D260" s="317"/>
      <c r="E260" s="314">
        <f>+C260-D260</f>
        <v>0</v>
      </c>
      <c r="F260" s="8"/>
    </row>
    <row r="261" spans="1:6" ht="12.75">
      <c r="A261" t="s">
        <v>100</v>
      </c>
      <c r="B261" s="72" t="s">
        <v>259</v>
      </c>
      <c r="C261" s="316"/>
      <c r="D261" s="316"/>
      <c r="E261" s="291">
        <f>+C261-D261</f>
        <v>0</v>
      </c>
      <c r="F261" s="8"/>
    </row>
    <row r="262" spans="2:6" ht="12.75">
      <c r="B262" s="8"/>
      <c r="C262" s="28"/>
      <c r="D262" s="28"/>
      <c r="E262" s="269"/>
      <c r="F262" s="8"/>
    </row>
    <row r="263" spans="1:6" ht="12.75">
      <c r="A263" t="s">
        <v>0</v>
      </c>
      <c r="B263" s="8" t="s">
        <v>261</v>
      </c>
      <c r="C263" s="269">
        <f>SUM(C258:C262)</f>
        <v>0</v>
      </c>
      <c r="D263" s="269">
        <f>SUM(D258:D262)</f>
        <v>0</v>
      </c>
      <c r="E263" s="269">
        <f>SUM(E258:E262)</f>
        <v>0</v>
      </c>
      <c r="F263" s="8"/>
    </row>
    <row r="264" spans="2:6" ht="12.75">
      <c r="B264" s="8"/>
      <c r="C264" s="28"/>
      <c r="D264" s="28"/>
      <c r="E264" s="28"/>
      <c r="F264" s="8"/>
    </row>
    <row r="265" spans="1:6" ht="12.75">
      <c r="A265" s="2" t="s">
        <v>2</v>
      </c>
      <c r="B265" s="8"/>
      <c r="C265" s="269">
        <f>+C255-C263</f>
        <v>60452817</v>
      </c>
      <c r="D265" s="269">
        <f>+D255-D263</f>
        <v>0</v>
      </c>
      <c r="E265" s="269">
        <f>+E255-E263</f>
        <v>60452817</v>
      </c>
      <c r="F265" s="8"/>
    </row>
    <row r="266" spans="1:6" ht="12.75">
      <c r="A266" s="2"/>
      <c r="B266" s="8"/>
      <c r="C266" s="5"/>
      <c r="D266" s="5"/>
      <c r="E266" s="5"/>
      <c r="F266" s="8"/>
    </row>
    <row r="267" spans="1:6" ht="12.75">
      <c r="A267" s="14" t="s">
        <v>101</v>
      </c>
      <c r="B267" s="8"/>
      <c r="C267" s="5"/>
      <c r="D267" s="5"/>
      <c r="E267" s="5"/>
      <c r="F267" s="8"/>
    </row>
    <row r="268" spans="1:6" ht="12.75">
      <c r="A268" s="2"/>
      <c r="B268" s="8"/>
      <c r="C268" s="5"/>
      <c r="D268" s="5"/>
      <c r="E268" s="5"/>
      <c r="F268" s="8"/>
    </row>
    <row r="269" spans="1:6" ht="12.75">
      <c r="A269" s="4" t="s">
        <v>102</v>
      </c>
      <c r="B269" s="72" t="s">
        <v>258</v>
      </c>
      <c r="C269" s="316"/>
      <c r="D269" s="316"/>
      <c r="E269" s="291">
        <f>C269-D269</f>
        <v>0</v>
      </c>
      <c r="F269" s="8"/>
    </row>
    <row r="270" spans="1:6" ht="12.75">
      <c r="A270" s="4" t="s">
        <v>103</v>
      </c>
      <c r="B270" s="72" t="s">
        <v>258</v>
      </c>
      <c r="C270" s="316"/>
      <c r="D270" s="316"/>
      <c r="E270" s="291">
        <f aca="true" t="shared" si="11" ref="E270:E276">C270-D270</f>
        <v>0</v>
      </c>
      <c r="F270" s="8"/>
    </row>
    <row r="271" spans="1:6" ht="12.75">
      <c r="A271" s="4" t="s">
        <v>104</v>
      </c>
      <c r="B271" s="72" t="s">
        <v>258</v>
      </c>
      <c r="C271" s="316"/>
      <c r="D271" s="316"/>
      <c r="E271" s="291">
        <f t="shared" si="11"/>
        <v>0</v>
      </c>
      <c r="F271" s="8"/>
    </row>
    <row r="272" spans="1:6" ht="12.75">
      <c r="A272" s="4" t="s">
        <v>105</v>
      </c>
      <c r="B272" s="72" t="s">
        <v>258</v>
      </c>
      <c r="C272" s="316"/>
      <c r="D272" s="316"/>
      <c r="E272" s="291">
        <f t="shared" si="11"/>
        <v>0</v>
      </c>
      <c r="F272" s="8"/>
    </row>
    <row r="273" spans="1:6" ht="12.75">
      <c r="A273" s="4" t="s">
        <v>106</v>
      </c>
      <c r="B273" s="72" t="s">
        <v>258</v>
      </c>
      <c r="C273" s="316"/>
      <c r="D273" s="316"/>
      <c r="E273" s="291">
        <f t="shared" si="11"/>
        <v>0</v>
      </c>
      <c r="F273" s="8"/>
    </row>
    <row r="274" spans="1:6" ht="12.75">
      <c r="A274" s="4" t="s">
        <v>107</v>
      </c>
      <c r="B274" s="72" t="s">
        <v>258</v>
      </c>
      <c r="C274" s="316"/>
      <c r="D274" s="316"/>
      <c r="E274" s="291">
        <f t="shared" si="11"/>
        <v>0</v>
      </c>
      <c r="F274" s="8"/>
    </row>
    <row r="275" spans="1:6" ht="25.5">
      <c r="A275" s="75" t="s">
        <v>274</v>
      </c>
      <c r="B275" s="74" t="s">
        <v>258</v>
      </c>
      <c r="C275" s="317"/>
      <c r="D275" s="317"/>
      <c r="E275" s="314">
        <f t="shared" si="11"/>
        <v>0</v>
      </c>
      <c r="F275" s="8"/>
    </row>
    <row r="276" spans="1:6" ht="12.75">
      <c r="A276" s="4" t="s">
        <v>108</v>
      </c>
      <c r="B276" s="72" t="s">
        <v>258</v>
      </c>
      <c r="C276" s="316"/>
      <c r="D276" s="316"/>
      <c r="E276" s="291">
        <f t="shared" si="11"/>
        <v>0</v>
      </c>
      <c r="F276" s="8"/>
    </row>
    <row r="277" spans="1:6" ht="12.75">
      <c r="A277" s="4"/>
      <c r="B277" s="8"/>
      <c r="C277" s="28"/>
      <c r="D277" s="28"/>
      <c r="E277" s="269"/>
      <c r="F277" s="8"/>
    </row>
    <row r="278" spans="1:6" ht="12.75">
      <c r="A278" s="2" t="s">
        <v>1</v>
      </c>
      <c r="B278" s="8" t="s">
        <v>261</v>
      </c>
      <c r="C278" s="315">
        <f>SUM(C269:C277)</f>
        <v>0</v>
      </c>
      <c r="D278" s="323">
        <f>SUM(D269:D277)</f>
        <v>0</v>
      </c>
      <c r="E278" s="269">
        <f>SUM(E269:E277)</f>
        <v>0</v>
      </c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/>
      <c r="B280" s="8"/>
      <c r="C280" s="5"/>
      <c r="D280" s="5"/>
      <c r="E280" s="5"/>
      <c r="F280" s="8"/>
    </row>
    <row r="281" spans="1:6" ht="12.75">
      <c r="A281" s="14" t="s">
        <v>109</v>
      </c>
      <c r="B281" s="8"/>
      <c r="C281" s="5"/>
      <c r="D281" s="5"/>
      <c r="E281" s="5"/>
      <c r="F281" s="8"/>
    </row>
    <row r="282" spans="1:6" ht="12.75">
      <c r="A282" s="4"/>
      <c r="B282" s="8"/>
      <c r="C282" s="5"/>
      <c r="D282" s="5"/>
      <c r="E282" s="5"/>
      <c r="F282" s="8"/>
    </row>
    <row r="283" spans="1:6" ht="12.75">
      <c r="A283" s="4" t="s">
        <v>4</v>
      </c>
      <c r="B283" s="8" t="s">
        <v>261</v>
      </c>
      <c r="C283" s="269">
        <f>+C265</f>
        <v>60452817</v>
      </c>
      <c r="D283" s="269">
        <f>+D265</f>
        <v>0</v>
      </c>
      <c r="E283" s="291">
        <f>+E265</f>
        <v>60452817</v>
      </c>
      <c r="F283" s="8"/>
    </row>
    <row r="284" spans="1:6" ht="12.75">
      <c r="A284" s="4"/>
      <c r="B284" s="8"/>
      <c r="C284" s="68"/>
      <c r="D284" s="68"/>
      <c r="E284" s="68"/>
      <c r="F284" s="8"/>
    </row>
    <row r="285" spans="1:6" ht="12.75">
      <c r="A285" s="4" t="s">
        <v>5</v>
      </c>
      <c r="B285" s="8" t="s">
        <v>259</v>
      </c>
      <c r="C285" s="269">
        <f>+C278</f>
        <v>0</v>
      </c>
      <c r="D285" s="269">
        <f>+D278</f>
        <v>0</v>
      </c>
      <c r="E285" s="291">
        <f>+C285-D285</f>
        <v>0</v>
      </c>
      <c r="F285" s="8"/>
    </row>
    <row r="286" spans="1:6" ht="12.75">
      <c r="A286" s="4"/>
      <c r="B286" s="8"/>
      <c r="C286" s="68"/>
      <c r="D286" s="68"/>
      <c r="E286" s="68"/>
      <c r="F286" s="8"/>
    </row>
    <row r="287" spans="1:6" ht="12.75">
      <c r="A287" s="4" t="s">
        <v>6</v>
      </c>
      <c r="B287" s="72" t="s">
        <v>261</v>
      </c>
      <c r="C287" s="269">
        <f>IF(C283&gt;C285,C283-C285,0)</f>
        <v>60452817</v>
      </c>
      <c r="D287" s="269">
        <f>IF(D283&gt;D285,D283-D285,0)</f>
        <v>0</v>
      </c>
      <c r="E287" s="269">
        <f>IF(E283&gt;E285,E283-E285,0)</f>
        <v>60452817</v>
      </c>
      <c r="F287" s="8"/>
    </row>
    <row r="288" spans="1:6" ht="12.75">
      <c r="A288" s="4"/>
      <c r="B288" s="8"/>
      <c r="C288" s="68"/>
      <c r="D288" s="68"/>
      <c r="E288" s="68"/>
      <c r="F288" s="8"/>
    </row>
    <row r="289" spans="1:6" ht="12.75">
      <c r="A289" s="4" t="s">
        <v>391</v>
      </c>
      <c r="B289" s="72" t="s">
        <v>259</v>
      </c>
      <c r="C289" s="409">
        <v>48099683</v>
      </c>
      <c r="D289" s="324">
        <v>0</v>
      </c>
      <c r="E289" s="291">
        <f>+C289-D289</f>
        <v>48099683</v>
      </c>
      <c r="F289" s="8"/>
    </row>
    <row r="290" spans="1:6" ht="12.75">
      <c r="A290" s="2" t="s">
        <v>522</v>
      </c>
      <c r="B290" s="8"/>
      <c r="C290" s="68"/>
      <c r="D290" s="68"/>
      <c r="E290" s="68"/>
      <c r="F290" s="8"/>
    </row>
    <row r="291" spans="1:6" ht="12.75">
      <c r="A291" s="2" t="s">
        <v>3</v>
      </c>
      <c r="B291" s="8" t="s">
        <v>261</v>
      </c>
      <c r="C291" s="269">
        <f>IF(C287&gt;C289,C287-C289,0)</f>
        <v>12353134</v>
      </c>
      <c r="D291" s="269">
        <f>IF(D287&gt;D289,D287-D289,0)</f>
        <v>0</v>
      </c>
      <c r="E291" s="269">
        <f>IF(E287&gt;E289,E287-E289,0)</f>
        <v>12353134</v>
      </c>
      <c r="F291" s="8"/>
    </row>
    <row r="292" spans="1:6" ht="12.75">
      <c r="A292" s="4"/>
      <c r="B292" s="8"/>
      <c r="C292" s="69"/>
      <c r="D292" s="69"/>
      <c r="E292" s="69"/>
      <c r="F292" s="8"/>
    </row>
    <row r="293" spans="1:6" ht="12.75">
      <c r="A293" s="454" t="s">
        <v>478</v>
      </c>
      <c r="B293" s="8"/>
      <c r="C293" s="329">
        <f>'Tax Rates'!C55</f>
        <v>0.00175</v>
      </c>
      <c r="D293" s="329">
        <f>C293</f>
        <v>0.00175</v>
      </c>
      <c r="E293" s="330">
        <f>C293</f>
        <v>0.00175</v>
      </c>
      <c r="F293" s="8"/>
    </row>
    <row r="294" spans="1:6" ht="12.75">
      <c r="A294" s="4"/>
      <c r="B294" s="8"/>
      <c r="C294" s="69"/>
      <c r="D294" s="69"/>
      <c r="E294" s="69"/>
      <c r="F294" s="8"/>
    </row>
    <row r="295" spans="1:6" ht="12.75">
      <c r="A295" s="4" t="s">
        <v>118</v>
      </c>
      <c r="B295" s="8"/>
      <c r="C295" s="270">
        <f>C11</f>
        <v>365</v>
      </c>
      <c r="D295" s="270">
        <f>C11</f>
        <v>365</v>
      </c>
      <c r="E295" s="270">
        <f>C11</f>
        <v>365</v>
      </c>
      <c r="F295" s="8"/>
    </row>
    <row r="296" spans="1:6" ht="12.75">
      <c r="A296" s="4" t="s">
        <v>476</v>
      </c>
      <c r="B296" s="8"/>
      <c r="C296" s="331">
        <f>+C295/REGINFO!B7</f>
        <v>1</v>
      </c>
      <c r="D296" s="331">
        <f>+D295/REGINFO!B7</f>
        <v>1</v>
      </c>
      <c r="E296" s="331">
        <f>+E295/REGINFO!B7</f>
        <v>1</v>
      </c>
      <c r="F296" s="8"/>
    </row>
    <row r="297" spans="1:6" ht="12.75">
      <c r="A297" s="4"/>
      <c r="B297" s="8"/>
      <c r="C297" s="69"/>
      <c r="D297" s="69"/>
      <c r="E297" s="69"/>
      <c r="F297" s="8"/>
    </row>
    <row r="298" spans="1:6" ht="12.75">
      <c r="A298" s="2" t="s">
        <v>521</v>
      </c>
      <c r="B298" s="8" t="s">
        <v>261</v>
      </c>
      <c r="C298" s="269">
        <f>C291*C293*C296</f>
        <v>21617.9845</v>
      </c>
      <c r="D298" s="269">
        <f>D291*D293*D296</f>
        <v>0</v>
      </c>
      <c r="E298" s="269">
        <f>E291*E293*E296</f>
        <v>21617.9845</v>
      </c>
      <c r="F298" s="8"/>
    </row>
    <row r="299" spans="1:6" ht="12.75">
      <c r="A299" s="4"/>
      <c r="B299" s="8"/>
      <c r="C299" s="69"/>
      <c r="D299" s="67"/>
      <c r="E299" s="69"/>
      <c r="F299" s="8"/>
    </row>
    <row r="300" spans="1:6" ht="12.75">
      <c r="A300" s="4" t="s">
        <v>120</v>
      </c>
      <c r="B300" s="8"/>
      <c r="C300" s="318">
        <f>'Tax Rates'!C56</f>
        <v>0</v>
      </c>
      <c r="D300" s="318">
        <f>C300</f>
        <v>0</v>
      </c>
      <c r="E300" s="318">
        <f>C300</f>
        <v>0</v>
      </c>
      <c r="F300" s="8"/>
    </row>
    <row r="301" spans="2:6" ht="12.75">
      <c r="B301" s="8"/>
      <c r="C301" s="67"/>
      <c r="D301" s="67"/>
      <c r="E301" s="67"/>
      <c r="F301" s="8"/>
    </row>
    <row r="302" spans="1:6" ht="12.75">
      <c r="A302" t="s">
        <v>520</v>
      </c>
      <c r="B302" s="72" t="s">
        <v>259</v>
      </c>
      <c r="C302" s="324">
        <v>21618</v>
      </c>
      <c r="D302" s="324"/>
      <c r="E302" s="269">
        <f>C302-D302</f>
        <v>21618</v>
      </c>
      <c r="F302" s="8"/>
    </row>
    <row r="303" spans="2:6" ht="12.75">
      <c r="B303" s="8"/>
      <c r="C303" s="68"/>
      <c r="D303" s="68"/>
      <c r="E303" s="68"/>
      <c r="F303" s="8"/>
    </row>
    <row r="304" spans="1:6" ht="12.75">
      <c r="A304" s="2" t="s">
        <v>404</v>
      </c>
      <c r="B304" s="8" t="s">
        <v>261</v>
      </c>
      <c r="C304" s="269">
        <f>IF(C298&gt;C302,C298-C302,0)</f>
        <v>0</v>
      </c>
      <c r="D304" s="269">
        <f>IF(D298&gt;D302,D298-D302,0)</f>
        <v>0</v>
      </c>
      <c r="E304" s="269">
        <f>IF(E298&gt;E302,E298-E302,0)</f>
        <v>0</v>
      </c>
      <c r="F304" s="8"/>
    </row>
    <row r="305" spans="1:6" ht="12.75">
      <c r="A305" t="s">
        <v>121</v>
      </c>
      <c r="B305" s="8"/>
      <c r="F305" s="8"/>
    </row>
    <row r="306" spans="2:6" ht="12.75">
      <c r="B306" s="8"/>
      <c r="F306" s="8"/>
    </row>
    <row r="307" spans="1:2" ht="12.75">
      <c r="A307" s="14" t="s">
        <v>435</v>
      </c>
      <c r="B307" s="8"/>
    </row>
    <row r="308" spans="1:2" ht="12.75">
      <c r="A308" s="14"/>
      <c r="B308" s="8"/>
    </row>
    <row r="309" spans="1:2" ht="12.75">
      <c r="A309" s="2" t="s">
        <v>413</v>
      </c>
      <c r="B309" s="8"/>
    </row>
    <row r="310" spans="1:5" ht="12.75">
      <c r="A310" t="s">
        <v>303</v>
      </c>
      <c r="B310" s="92" t="s">
        <v>258</v>
      </c>
      <c r="C310" s="269">
        <f>C149</f>
        <v>683439</v>
      </c>
      <c r="D310" s="269">
        <f>D149</f>
        <v>0</v>
      </c>
      <c r="E310" s="269">
        <f>E149</f>
        <v>683439</v>
      </c>
    </row>
    <row r="311" spans="1:5" ht="12.75">
      <c r="A311" t="s">
        <v>27</v>
      </c>
      <c r="B311" s="92" t="s">
        <v>258</v>
      </c>
      <c r="C311" s="269">
        <f>C236</f>
        <v>146018</v>
      </c>
      <c r="D311" s="269">
        <f>D236</f>
        <v>0</v>
      </c>
      <c r="E311" s="269">
        <f>E236</f>
        <v>146018</v>
      </c>
    </row>
    <row r="312" spans="1:5" ht="12.75">
      <c r="A312" t="s">
        <v>302</v>
      </c>
      <c r="B312" s="92" t="s">
        <v>258</v>
      </c>
      <c r="C312" s="269">
        <f>C304</f>
        <v>0</v>
      </c>
      <c r="D312" s="269">
        <f>D304</f>
        <v>0</v>
      </c>
      <c r="E312" s="269">
        <f>E304</f>
        <v>0</v>
      </c>
    </row>
    <row r="313" ht="12.75">
      <c r="B313" s="8"/>
    </row>
    <row r="314" spans="1:5" ht="12.75">
      <c r="A314" s="2" t="s">
        <v>384</v>
      </c>
      <c r="B314" s="72" t="s">
        <v>261</v>
      </c>
      <c r="C314" s="269">
        <f>C310+C311+C312</f>
        <v>829457</v>
      </c>
      <c r="D314" s="269">
        <f>D310+D311+D312</f>
        <v>0</v>
      </c>
      <c r="E314" s="269">
        <f>E310+E311+E312</f>
        <v>829457</v>
      </c>
    </row>
    <row r="315" spans="1:5" s="40" customFormat="1" ht="12.75">
      <c r="A315" s="41"/>
      <c r="B315" s="480"/>
      <c r="C315" s="80"/>
      <c r="D315" s="80"/>
      <c r="E315" s="80"/>
    </row>
    <row r="316" spans="1:3" ht="12.75">
      <c r="A316" s="479" t="s">
        <v>563</v>
      </c>
      <c r="C316" s="91"/>
    </row>
    <row r="317" ht="12.75">
      <c r="C317" s="8"/>
    </row>
    <row r="318" ht="12.75">
      <c r="E318" s="28"/>
    </row>
  </sheetData>
  <sheetProtection/>
  <hyperlinks>
    <hyperlink ref="C66" location="'Tax Reserves'!C21" display="'Tax Reserves'!C21"/>
    <hyperlink ref="D66" location="'Tax Reserves'!D21" display="'Tax Reserves'!D21"/>
    <hyperlink ref="C108" location="'Tax Reserves'!C36" tooltip="Go to Tax Reserves worksheet" display="'Tax Reserves'!C36"/>
    <hyperlink ref="D108" location="D36" tooltip="Go to the Tax Reserves worksheet" display="D36"/>
    <hyperlink ref="C67" location="'Tax Reserves'!C21" display="'Tax Reserves'!C21"/>
    <hyperlink ref="D67" location="'Tax Reserves'!D21" display="'Tax Reserves'!D21"/>
    <hyperlink ref="C109" location="'Tax Reserves'!C36" tooltip="Go to Tax Reserves worksheet" display="'Tax Reserves'!C36"/>
    <hyperlink ref="D109" location="D36" tooltip="Go to the Tax Reserves worksheet" display="D36"/>
  </hyperlinks>
  <printOptions/>
  <pageMargins left="0.75" right="0.25" top="0.43" bottom="0.25" header="0.5" footer="0"/>
  <pageSetup horizontalDpi="600" verticalDpi="600" orientation="portrait" scale="75" r:id="rId1"/>
  <rowBreaks count="3" manualBreakCount="3">
    <brk id="98" max="5" man="1"/>
    <brk id="180" max="5" man="1"/>
    <brk id="2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37">
      <selection activeCell="C57" sqref="C5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51</v>
      </c>
      <c r="C1" s="8" t="s">
        <v>30</v>
      </c>
      <c r="D1" s="8" t="s">
        <v>7</v>
      </c>
      <c r="E1" s="27" t="s">
        <v>8</v>
      </c>
      <c r="F1" s="8"/>
    </row>
    <row r="2" spans="1:6" ht="12.75">
      <c r="A2" s="2" t="s">
        <v>382</v>
      </c>
      <c r="C2" s="8" t="s">
        <v>110</v>
      </c>
      <c r="D2" s="8" t="s">
        <v>47</v>
      </c>
      <c r="E2" s="27" t="s">
        <v>10</v>
      </c>
      <c r="F2" s="8"/>
    </row>
    <row r="3" spans="1:6" ht="12.75">
      <c r="A3" t="s">
        <v>383</v>
      </c>
      <c r="C3" s="8" t="s">
        <v>10</v>
      </c>
      <c r="D3" s="470" t="s">
        <v>545</v>
      </c>
      <c r="E3" s="27" t="s">
        <v>9</v>
      </c>
      <c r="F3" s="8"/>
    </row>
    <row r="4" spans="1:6" ht="12.75">
      <c r="A4" s="4" t="s">
        <v>48</v>
      </c>
      <c r="B4" s="8"/>
      <c r="C4" s="8" t="s">
        <v>9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99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32" t="str">
        <f>REGINFO!A3</f>
        <v>Utility Name:  Brantford Power Inc.</v>
      </c>
      <c r="B7" s="26"/>
      <c r="C7" s="31"/>
      <c r="D7" s="31"/>
      <c r="E7" s="31"/>
      <c r="F7" s="26"/>
    </row>
    <row r="8" spans="1:6" ht="12.75">
      <c r="A8" s="332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195</v>
      </c>
    </row>
    <row r="11" ht="12.75">
      <c r="A11" s="2"/>
    </row>
    <row r="12" spans="1:5" ht="12.75">
      <c r="A12" s="265" t="s">
        <v>362</v>
      </c>
      <c r="B12" s="64"/>
      <c r="C12" s="344"/>
      <c r="D12" s="344"/>
      <c r="E12" s="64"/>
    </row>
    <row r="13" spans="1:5" ht="12.75">
      <c r="A13" s="64"/>
      <c r="B13" s="64"/>
      <c r="C13" s="316"/>
      <c r="D13" s="316"/>
      <c r="E13" s="269">
        <f>C13-D13</f>
        <v>0</v>
      </c>
    </row>
    <row r="14" spans="1:5" ht="12.75">
      <c r="A14" s="64" t="s">
        <v>367</v>
      </c>
      <c r="B14" s="64"/>
      <c r="C14" s="316"/>
      <c r="D14" s="316"/>
      <c r="E14" s="269">
        <f aca="true" t="shared" si="0" ref="E14:E21">C14-D14</f>
        <v>0</v>
      </c>
    </row>
    <row r="15" spans="1:5" ht="12.75">
      <c r="A15" s="64" t="s">
        <v>368</v>
      </c>
      <c r="B15" s="64"/>
      <c r="C15" s="316"/>
      <c r="D15" s="316"/>
      <c r="E15" s="269">
        <f t="shared" si="0"/>
        <v>0</v>
      </c>
    </row>
    <row r="16" spans="1:5" ht="12.75">
      <c r="A16" s="64" t="s">
        <v>369</v>
      </c>
      <c r="B16" s="64"/>
      <c r="C16" s="316"/>
      <c r="D16" s="316"/>
      <c r="E16" s="269">
        <f t="shared" si="0"/>
        <v>0</v>
      </c>
    </row>
    <row r="17" spans="1:5" ht="12.75">
      <c r="A17" s="64" t="s">
        <v>370</v>
      </c>
      <c r="B17" s="64"/>
      <c r="C17" s="316"/>
      <c r="D17" s="316"/>
      <c r="E17" s="269">
        <f t="shared" si="0"/>
        <v>0</v>
      </c>
    </row>
    <row r="18" spans="1:5" ht="12.75">
      <c r="A18" s="64" t="s">
        <v>359</v>
      </c>
      <c r="B18" s="64"/>
      <c r="C18" s="316"/>
      <c r="D18" s="316"/>
      <c r="E18" s="269">
        <f t="shared" si="0"/>
        <v>0</v>
      </c>
    </row>
    <row r="19" spans="1:5" ht="12.75">
      <c r="A19" s="64" t="s">
        <v>359</v>
      </c>
      <c r="B19" s="64"/>
      <c r="C19" s="316"/>
      <c r="D19" s="316"/>
      <c r="E19" s="269">
        <f t="shared" si="0"/>
        <v>0</v>
      </c>
    </row>
    <row r="20" spans="1:5" ht="12.75">
      <c r="A20" s="64"/>
      <c r="B20" s="64"/>
      <c r="C20" s="316"/>
      <c r="D20" s="316"/>
      <c r="E20" s="269">
        <f t="shared" si="0"/>
        <v>0</v>
      </c>
    </row>
    <row r="21" spans="1:5" ht="12.75">
      <c r="A21" s="64"/>
      <c r="B21" s="64"/>
      <c r="C21" s="343"/>
      <c r="D21" s="343"/>
      <c r="E21" s="299">
        <f t="shared" si="0"/>
        <v>0</v>
      </c>
    </row>
    <row r="22" spans="1:5" ht="12.75">
      <c r="A22" s="2" t="s">
        <v>247</v>
      </c>
      <c r="C22" s="269">
        <f>SUM(C13:C21)</f>
        <v>0</v>
      </c>
      <c r="D22" s="269">
        <f>SUM(D13:D21)</f>
        <v>0</v>
      </c>
      <c r="E22" s="269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65" t="s">
        <v>361</v>
      </c>
      <c r="B24" s="64"/>
      <c r="C24" s="98"/>
      <c r="D24" s="98"/>
      <c r="E24" s="98"/>
    </row>
    <row r="25" spans="1:5" ht="12.75">
      <c r="A25" s="64"/>
      <c r="B25" s="64"/>
      <c r="C25" s="316"/>
      <c r="D25" s="316"/>
      <c r="E25" s="269">
        <f>C25-D25</f>
        <v>0</v>
      </c>
    </row>
    <row r="26" spans="1:5" ht="12.75">
      <c r="A26" s="64" t="s">
        <v>367</v>
      </c>
      <c r="B26" s="64"/>
      <c r="C26" s="316"/>
      <c r="D26" s="316"/>
      <c r="E26" s="269">
        <f aca="true" t="shared" si="1" ref="E26:E33">C26-D26</f>
        <v>0</v>
      </c>
    </row>
    <row r="27" spans="1:5" ht="12.75">
      <c r="A27" s="64" t="s">
        <v>368</v>
      </c>
      <c r="B27" s="64"/>
      <c r="C27" s="316"/>
      <c r="D27" s="316"/>
      <c r="E27" s="269">
        <f t="shared" si="1"/>
        <v>0</v>
      </c>
    </row>
    <row r="28" spans="1:5" ht="12.75">
      <c r="A28" s="64" t="s">
        <v>369</v>
      </c>
      <c r="B28" s="64"/>
      <c r="C28" s="316"/>
      <c r="D28" s="316"/>
      <c r="E28" s="269">
        <f t="shared" si="1"/>
        <v>0</v>
      </c>
    </row>
    <row r="29" spans="1:5" ht="12.75">
      <c r="A29" s="64" t="s">
        <v>370</v>
      </c>
      <c r="B29" s="64"/>
      <c r="C29" s="316"/>
      <c r="D29" s="316"/>
      <c r="E29" s="269">
        <f t="shared" si="1"/>
        <v>0</v>
      </c>
    </row>
    <row r="30" spans="1:5" ht="12.75">
      <c r="A30" s="64" t="s">
        <v>359</v>
      </c>
      <c r="B30" s="64"/>
      <c r="C30" s="316"/>
      <c r="D30" s="316"/>
      <c r="E30" s="269">
        <f t="shared" si="1"/>
        <v>0</v>
      </c>
    </row>
    <row r="31" spans="1:5" ht="12.75">
      <c r="A31" s="64" t="s">
        <v>359</v>
      </c>
      <c r="B31" s="64"/>
      <c r="C31" s="316"/>
      <c r="D31" s="316"/>
      <c r="E31" s="269">
        <f t="shared" si="1"/>
        <v>0</v>
      </c>
    </row>
    <row r="32" spans="1:5" ht="12.75">
      <c r="A32" s="64"/>
      <c r="B32" s="64"/>
      <c r="C32" s="316"/>
      <c r="D32" s="316"/>
      <c r="E32" s="269">
        <f t="shared" si="1"/>
        <v>0</v>
      </c>
    </row>
    <row r="33" spans="1:5" ht="13.5" thickBot="1">
      <c r="A33" s="65"/>
      <c r="B33" s="64"/>
      <c r="C33" s="316"/>
      <c r="D33" s="316"/>
      <c r="E33" s="269">
        <f t="shared" si="1"/>
        <v>0</v>
      </c>
    </row>
    <row r="34" spans="1:5" ht="12.75">
      <c r="A34" s="59" t="s">
        <v>197</v>
      </c>
      <c r="C34" s="28"/>
      <c r="D34" s="28"/>
      <c r="E34" s="299"/>
    </row>
    <row r="35" spans="1:5" ht="12.75">
      <c r="A35" s="2" t="s">
        <v>247</v>
      </c>
      <c r="C35" s="269">
        <f>SUM(C25:C33)</f>
        <v>0</v>
      </c>
      <c r="D35" s="269">
        <f>SUM(D25:D33)</f>
        <v>0</v>
      </c>
      <c r="E35" s="269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360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65" t="s">
        <v>362</v>
      </c>
      <c r="B40" s="64"/>
      <c r="C40" s="98"/>
      <c r="D40" s="98"/>
      <c r="E40" s="98"/>
    </row>
    <row r="41" spans="1:5" ht="12.75">
      <c r="A41" s="64"/>
      <c r="B41" s="64"/>
      <c r="C41" s="316"/>
      <c r="D41" s="316"/>
      <c r="E41" s="269">
        <f>C41-D41</f>
        <v>0</v>
      </c>
    </row>
    <row r="42" spans="1:5" ht="12.75">
      <c r="A42" s="64"/>
      <c r="B42" s="64"/>
      <c r="C42" s="316"/>
      <c r="D42" s="316"/>
      <c r="E42" s="269">
        <f aca="true" t="shared" si="2" ref="E42:E49">C42-D42</f>
        <v>0</v>
      </c>
    </row>
    <row r="43" spans="1:5" ht="12.75">
      <c r="A43" s="64" t="s">
        <v>355</v>
      </c>
      <c r="B43" s="64"/>
      <c r="C43" s="316"/>
      <c r="D43" s="316"/>
      <c r="E43" s="269">
        <f t="shared" si="2"/>
        <v>0</v>
      </c>
    </row>
    <row r="44" spans="1:5" ht="12.75">
      <c r="A44" s="64" t="s">
        <v>356</v>
      </c>
      <c r="B44" s="64"/>
      <c r="C44" s="316"/>
      <c r="D44" s="316"/>
      <c r="E44" s="269">
        <f t="shared" si="2"/>
        <v>0</v>
      </c>
    </row>
    <row r="45" spans="1:5" ht="12.75">
      <c r="A45" s="64" t="s">
        <v>357</v>
      </c>
      <c r="B45" s="64"/>
      <c r="C45" s="316"/>
      <c r="D45" s="316"/>
      <c r="E45" s="269">
        <f t="shared" si="2"/>
        <v>0</v>
      </c>
    </row>
    <row r="46" spans="1:5" ht="12.75">
      <c r="A46" s="64" t="s">
        <v>358</v>
      </c>
      <c r="B46" s="64"/>
      <c r="C46" s="316"/>
      <c r="D46" s="316"/>
      <c r="E46" s="269">
        <f t="shared" si="2"/>
        <v>0</v>
      </c>
    </row>
    <row r="47" spans="1:5" ht="12.75">
      <c r="A47" s="64" t="s">
        <v>359</v>
      </c>
      <c r="B47" s="64"/>
      <c r="C47" s="316">
        <v>474521</v>
      </c>
      <c r="D47" s="316"/>
      <c r="E47" s="269">
        <f t="shared" si="2"/>
        <v>474521</v>
      </c>
    </row>
    <row r="48" spans="1:5" ht="12.75">
      <c r="A48" s="64" t="s">
        <v>359</v>
      </c>
      <c r="B48" s="64"/>
      <c r="C48" s="316"/>
      <c r="D48" s="316"/>
      <c r="E48" s="269">
        <f t="shared" si="2"/>
        <v>0</v>
      </c>
    </row>
    <row r="49" spans="1:5" ht="12.75">
      <c r="A49" s="64"/>
      <c r="B49" s="64"/>
      <c r="C49" s="343"/>
      <c r="D49" s="343"/>
      <c r="E49" s="299">
        <f t="shared" si="2"/>
        <v>0</v>
      </c>
    </row>
    <row r="50" spans="1:5" ht="12.75">
      <c r="A50" s="2" t="s">
        <v>247</v>
      </c>
      <c r="C50" s="269">
        <f>SUM(C41:C49)</f>
        <v>474521</v>
      </c>
      <c r="D50" s="269">
        <f>SUM(D41:D49)</f>
        <v>0</v>
      </c>
      <c r="E50" s="269">
        <f>SUM(E41:E49)</f>
        <v>474521</v>
      </c>
    </row>
    <row r="51" spans="3:5" ht="12.75">
      <c r="C51" s="28"/>
      <c r="D51" s="28"/>
      <c r="E51" s="28"/>
    </row>
    <row r="52" spans="1:5" ht="12.75">
      <c r="A52" s="265" t="s">
        <v>361</v>
      </c>
      <c r="B52" s="64"/>
      <c r="C52" s="98"/>
      <c r="D52" s="98"/>
      <c r="E52" s="98"/>
    </row>
    <row r="53" spans="1:5" ht="12.75">
      <c r="A53" s="64"/>
      <c r="B53" s="64"/>
      <c r="C53" s="316"/>
      <c r="D53" s="316"/>
      <c r="E53" s="269">
        <f>C53-D53</f>
        <v>0</v>
      </c>
    </row>
    <row r="54" spans="1:5" ht="12.75">
      <c r="A54" s="264"/>
      <c r="B54" s="64"/>
      <c r="C54" s="316"/>
      <c r="D54" s="316"/>
      <c r="E54" s="269">
        <f aca="true" t="shared" si="3" ref="E54:E61">C54-D54</f>
        <v>0</v>
      </c>
    </row>
    <row r="55" spans="1:5" ht="12.75">
      <c r="A55" s="264" t="s">
        <v>355</v>
      </c>
      <c r="B55" s="64"/>
      <c r="C55" s="316"/>
      <c r="D55" s="316"/>
      <c r="E55" s="269">
        <f t="shared" si="3"/>
        <v>0</v>
      </c>
    </row>
    <row r="56" spans="1:5" ht="12.75">
      <c r="A56" s="264" t="s">
        <v>356</v>
      </c>
      <c r="B56" s="64"/>
      <c r="C56" s="316">
        <v>330000</v>
      </c>
      <c r="D56" s="316"/>
      <c r="E56" s="269">
        <f t="shared" si="3"/>
        <v>330000</v>
      </c>
    </row>
    <row r="57" spans="1:5" ht="12.75">
      <c r="A57" s="264" t="s">
        <v>357</v>
      </c>
      <c r="B57" s="64"/>
      <c r="C57" s="316"/>
      <c r="D57" s="316"/>
      <c r="E57" s="269">
        <f t="shared" si="3"/>
        <v>0</v>
      </c>
    </row>
    <row r="58" spans="1:5" ht="12.75">
      <c r="A58" s="264" t="s">
        <v>358</v>
      </c>
      <c r="B58" s="64"/>
      <c r="C58" s="316"/>
      <c r="D58" s="316"/>
      <c r="E58" s="269">
        <f t="shared" si="3"/>
        <v>0</v>
      </c>
    </row>
    <row r="59" spans="1:5" ht="12.75">
      <c r="A59" s="64" t="s">
        <v>359</v>
      </c>
      <c r="B59" s="64"/>
      <c r="C59" s="316">
        <v>491850</v>
      </c>
      <c r="D59" s="316"/>
      <c r="E59" s="269">
        <f t="shared" si="3"/>
        <v>491850</v>
      </c>
    </row>
    <row r="60" spans="1:5" ht="12.75">
      <c r="A60" s="64" t="s">
        <v>359</v>
      </c>
      <c r="B60" s="64"/>
      <c r="C60" s="316"/>
      <c r="D60" s="316"/>
      <c r="E60" s="269">
        <f t="shared" si="3"/>
        <v>0</v>
      </c>
    </row>
    <row r="61" spans="1:5" ht="13.5" thickBot="1">
      <c r="A61" s="65"/>
      <c r="B61" s="64"/>
      <c r="C61" s="316"/>
      <c r="D61" s="316"/>
      <c r="E61" s="269">
        <f t="shared" si="3"/>
        <v>0</v>
      </c>
    </row>
    <row r="62" spans="1:5" ht="12.75">
      <c r="A62" s="59" t="s">
        <v>197</v>
      </c>
      <c r="C62" s="28"/>
      <c r="D62" s="28"/>
      <c r="E62" s="299"/>
    </row>
    <row r="63" spans="1:5" ht="12.75">
      <c r="A63" s="2" t="s">
        <v>247</v>
      </c>
      <c r="C63" s="269">
        <f>SUM(C53:C61)</f>
        <v>821850</v>
      </c>
      <c r="D63" s="269">
        <f>SUM(D53:D61)</f>
        <v>0</v>
      </c>
      <c r="E63" s="269">
        <f>SUM(E53:E61)</f>
        <v>821850</v>
      </c>
    </row>
  </sheetData>
  <sheetProtection/>
  <printOptions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9"/>
    </row>
    <row r="2" spans="1:6" ht="12.75">
      <c r="A2" s="1" t="str">
        <f>REGINFO!A1</f>
        <v>SIMPIL RRR FILING</v>
      </c>
      <c r="B2" s="8" t="s">
        <v>51</v>
      </c>
      <c r="C2" s="8" t="s">
        <v>30</v>
      </c>
      <c r="D2" s="8" t="s">
        <v>7</v>
      </c>
      <c r="E2" s="27" t="s">
        <v>8</v>
      </c>
      <c r="F2" s="8"/>
    </row>
    <row r="3" spans="1:6" ht="12.75">
      <c r="A3" s="2" t="s">
        <v>336</v>
      </c>
      <c r="B3" s="8"/>
      <c r="C3" s="8" t="s">
        <v>110</v>
      </c>
      <c r="D3" s="8" t="s">
        <v>47</v>
      </c>
      <c r="E3" s="27" t="s">
        <v>10</v>
      </c>
      <c r="F3" s="8"/>
    </row>
    <row r="4" spans="1:6" ht="12.75">
      <c r="A4" s="4" t="s">
        <v>48</v>
      </c>
      <c r="B4" s="8"/>
      <c r="C4" s="8" t="s">
        <v>10</v>
      </c>
      <c r="D4" s="470" t="s">
        <v>545</v>
      </c>
      <c r="E4" s="27" t="s">
        <v>9</v>
      </c>
      <c r="F4" s="8"/>
    </row>
    <row r="5" spans="1:6" ht="12.75">
      <c r="A5" s="2" t="str">
        <f>REGINFO!E2</f>
        <v>RRR # 2.1.8</v>
      </c>
      <c r="B5" s="8"/>
      <c r="C5" s="8" t="s">
        <v>9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69" t="str">
        <f>REGINFO!A3</f>
        <v>Utility Name:  Brantford Power Inc.</v>
      </c>
      <c r="B8" s="26"/>
      <c r="C8" s="31"/>
      <c r="D8" s="31"/>
      <c r="E8" s="31"/>
      <c r="F8" s="26"/>
    </row>
    <row r="9" spans="1:6" ht="12.75">
      <c r="A9" s="469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187</v>
      </c>
      <c r="B10" s="26"/>
      <c r="C10" s="290">
        <f>TAXREC!C11</f>
        <v>365</v>
      </c>
      <c r="D10" s="63"/>
      <c r="E10" s="31"/>
      <c r="F10" s="26"/>
    </row>
    <row r="11" spans="1:6" ht="12.75">
      <c r="A11" s="2" t="s">
        <v>184</v>
      </c>
      <c r="B11" s="26"/>
      <c r="C11" s="291">
        <f>TAXREC!C13</f>
        <v>58725.9075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244</v>
      </c>
      <c r="B13" s="26"/>
      <c r="C13" s="31"/>
      <c r="D13" s="31"/>
      <c r="E13" s="32"/>
      <c r="F13" s="8"/>
    </row>
    <row r="14" ht="12.75">
      <c r="A14" s="2" t="s">
        <v>188</v>
      </c>
    </row>
    <row r="15" spans="1:5" ht="12.75">
      <c r="A15" s="75" t="s">
        <v>198</v>
      </c>
      <c r="B15" t="s">
        <v>258</v>
      </c>
      <c r="C15" s="317"/>
      <c r="D15" s="317"/>
      <c r="E15" s="346">
        <f>C15-D15</f>
        <v>0</v>
      </c>
    </row>
    <row r="16" spans="1:5" ht="12.75">
      <c r="A16" s="75" t="s">
        <v>337</v>
      </c>
      <c r="B16" t="s">
        <v>258</v>
      </c>
      <c r="C16" s="317"/>
      <c r="D16" s="317"/>
      <c r="E16" s="346">
        <f aca="true" t="shared" si="0" ref="E16:E52">C16-D16</f>
        <v>0</v>
      </c>
    </row>
    <row r="17" spans="1:5" ht="12.75">
      <c r="A17" s="75" t="s">
        <v>275</v>
      </c>
      <c r="B17" t="s">
        <v>258</v>
      </c>
      <c r="C17" s="317"/>
      <c r="D17" s="317"/>
      <c r="E17" s="346">
        <f t="shared" si="0"/>
        <v>0</v>
      </c>
    </row>
    <row r="18" spans="1:5" ht="12.75">
      <c r="A18" s="75" t="s">
        <v>199</v>
      </c>
      <c r="B18" t="s">
        <v>258</v>
      </c>
      <c r="C18" s="317"/>
      <c r="D18" s="347"/>
      <c r="E18" s="346">
        <f t="shared" si="0"/>
        <v>0</v>
      </c>
    </row>
    <row r="19" spans="1:5" ht="12.75">
      <c r="A19" s="75" t="s">
        <v>200</v>
      </c>
      <c r="B19" t="s">
        <v>258</v>
      </c>
      <c r="C19" s="317"/>
      <c r="D19" s="317"/>
      <c r="E19" s="346">
        <f t="shared" si="0"/>
        <v>0</v>
      </c>
    </row>
    <row r="20" spans="1:5" ht="12.75">
      <c r="A20" s="75" t="s">
        <v>201</v>
      </c>
      <c r="B20" t="s">
        <v>258</v>
      </c>
      <c r="C20" s="317"/>
      <c r="D20" s="317"/>
      <c r="E20" s="346">
        <f t="shared" si="0"/>
        <v>0</v>
      </c>
    </row>
    <row r="21" spans="1:5" ht="12.75">
      <c r="A21" s="75" t="s">
        <v>15</v>
      </c>
      <c r="B21" t="s">
        <v>258</v>
      </c>
      <c r="C21" s="317"/>
      <c r="D21" s="317"/>
      <c r="E21" s="346">
        <f t="shared" si="0"/>
        <v>0</v>
      </c>
    </row>
    <row r="22" spans="1:5" ht="12.75">
      <c r="A22" s="75" t="s">
        <v>202</v>
      </c>
      <c r="B22" t="s">
        <v>258</v>
      </c>
      <c r="C22" s="317"/>
      <c r="D22" s="317"/>
      <c r="E22" s="346">
        <f t="shared" si="0"/>
        <v>0</v>
      </c>
    </row>
    <row r="23" spans="1:5" ht="12.75">
      <c r="A23" s="75" t="s">
        <v>203</v>
      </c>
      <c r="B23" t="s">
        <v>258</v>
      </c>
      <c r="C23" s="317"/>
      <c r="D23" s="317"/>
      <c r="E23" s="346">
        <f t="shared" si="0"/>
        <v>0</v>
      </c>
    </row>
    <row r="24" spans="1:5" ht="12.75">
      <c r="A24" s="75" t="s">
        <v>204</v>
      </c>
      <c r="B24" t="s">
        <v>258</v>
      </c>
      <c r="C24" s="317"/>
      <c r="D24" s="317"/>
      <c r="E24" s="346">
        <f t="shared" si="0"/>
        <v>0</v>
      </c>
    </row>
    <row r="25" spans="1:5" ht="12.75">
      <c r="A25" s="75" t="s">
        <v>16</v>
      </c>
      <c r="B25" t="s">
        <v>258</v>
      </c>
      <c r="C25" s="317"/>
      <c r="D25" s="317"/>
      <c r="E25" s="346">
        <f t="shared" si="0"/>
        <v>0</v>
      </c>
    </row>
    <row r="26" spans="1:5" ht="12.75">
      <c r="A26" s="75" t="s">
        <v>205</v>
      </c>
      <c r="B26" t="s">
        <v>258</v>
      </c>
      <c r="C26" s="317"/>
      <c r="D26" s="317"/>
      <c r="E26" s="346">
        <f t="shared" si="0"/>
        <v>0</v>
      </c>
    </row>
    <row r="27" spans="1:5" ht="12.75">
      <c r="A27" s="75" t="s">
        <v>206</v>
      </c>
      <c r="B27" t="s">
        <v>258</v>
      </c>
      <c r="C27" s="317"/>
      <c r="D27" s="317"/>
      <c r="E27" s="346">
        <f t="shared" si="0"/>
        <v>0</v>
      </c>
    </row>
    <row r="28" spans="1:5" ht="12.75">
      <c r="A28" s="75" t="s">
        <v>338</v>
      </c>
      <c r="B28" t="s">
        <v>258</v>
      </c>
      <c r="C28" s="317"/>
      <c r="D28" s="317"/>
      <c r="E28" s="346">
        <f t="shared" si="0"/>
        <v>0</v>
      </c>
    </row>
    <row r="29" spans="1:5" ht="12.75">
      <c r="A29" s="75" t="s">
        <v>276</v>
      </c>
      <c r="B29" t="s">
        <v>258</v>
      </c>
      <c r="C29" s="317"/>
      <c r="D29" s="317"/>
      <c r="E29" s="346">
        <f t="shared" si="0"/>
        <v>0</v>
      </c>
    </row>
    <row r="30" spans="1:5" ht="12.75">
      <c r="A30" s="75" t="s">
        <v>386</v>
      </c>
      <c r="B30" t="s">
        <v>258</v>
      </c>
      <c r="C30" s="317"/>
      <c r="D30" s="317"/>
      <c r="E30" s="346">
        <f t="shared" si="0"/>
        <v>0</v>
      </c>
    </row>
    <row r="31" spans="1:5" ht="12.75">
      <c r="A31" s="75" t="s">
        <v>277</v>
      </c>
      <c r="B31" t="s">
        <v>258</v>
      </c>
      <c r="C31" s="317"/>
      <c r="D31" s="317"/>
      <c r="E31" s="346">
        <f t="shared" si="0"/>
        <v>0</v>
      </c>
    </row>
    <row r="32" spans="1:5" ht="12.75">
      <c r="A32" s="75" t="s">
        <v>14</v>
      </c>
      <c r="B32" t="s">
        <v>258</v>
      </c>
      <c r="C32" s="317"/>
      <c r="D32" s="317"/>
      <c r="E32" s="346">
        <f t="shared" si="0"/>
        <v>0</v>
      </c>
    </row>
    <row r="33" spans="1:5" ht="12.75">
      <c r="A33" s="75" t="s">
        <v>189</v>
      </c>
      <c r="B33" t="s">
        <v>258</v>
      </c>
      <c r="C33" s="317"/>
      <c r="D33" s="317"/>
      <c r="E33" s="346">
        <f t="shared" si="0"/>
        <v>0</v>
      </c>
    </row>
    <row r="34" spans="1:5" ht="12.75">
      <c r="A34" s="75" t="s">
        <v>190</v>
      </c>
      <c r="B34" t="s">
        <v>258</v>
      </c>
      <c r="C34" s="317"/>
      <c r="D34" s="317"/>
      <c r="E34" s="346">
        <f t="shared" si="0"/>
        <v>0</v>
      </c>
    </row>
    <row r="35" spans="1:5" ht="12.75">
      <c r="A35" s="75" t="s">
        <v>278</v>
      </c>
      <c r="B35" t="s">
        <v>258</v>
      </c>
      <c r="C35" s="317"/>
      <c r="D35" s="317"/>
      <c r="E35" s="346">
        <f t="shared" si="0"/>
        <v>0</v>
      </c>
    </row>
    <row r="36" spans="1:5" ht="12.75">
      <c r="A36" s="75" t="s">
        <v>207</v>
      </c>
      <c r="B36" t="s">
        <v>258</v>
      </c>
      <c r="C36" s="317"/>
      <c r="D36" s="317"/>
      <c r="E36" s="269">
        <f t="shared" si="0"/>
        <v>0</v>
      </c>
    </row>
    <row r="37" spans="1:5" ht="12.75">
      <c r="A37" s="75" t="s">
        <v>208</v>
      </c>
      <c r="B37" t="s">
        <v>258</v>
      </c>
      <c r="C37" s="317"/>
      <c r="D37" s="317"/>
      <c r="E37" s="269">
        <f t="shared" si="0"/>
        <v>0</v>
      </c>
    </row>
    <row r="38" spans="1:5" ht="12.75">
      <c r="A38" s="75" t="s">
        <v>339</v>
      </c>
      <c r="B38" t="s">
        <v>258</v>
      </c>
      <c r="C38" s="317"/>
      <c r="D38" s="317"/>
      <c r="E38" s="269">
        <f t="shared" si="0"/>
        <v>0</v>
      </c>
    </row>
    <row r="39" spans="1:5" ht="12.75">
      <c r="A39" s="75" t="s">
        <v>209</v>
      </c>
      <c r="B39" t="s">
        <v>258</v>
      </c>
      <c r="C39" s="317"/>
      <c r="D39" s="317"/>
      <c r="E39" s="269">
        <f t="shared" si="0"/>
        <v>0</v>
      </c>
    </row>
    <row r="40" spans="1:5" ht="12.75">
      <c r="A40" s="75" t="s">
        <v>210</v>
      </c>
      <c r="B40" t="s">
        <v>258</v>
      </c>
      <c r="C40" s="317"/>
      <c r="D40" s="317"/>
      <c r="E40" s="269">
        <f t="shared" si="0"/>
        <v>0</v>
      </c>
    </row>
    <row r="41" spans="1:5" ht="12.75">
      <c r="A41" s="75" t="s">
        <v>211</v>
      </c>
      <c r="B41" t="s">
        <v>258</v>
      </c>
      <c r="C41" s="316"/>
      <c r="D41" s="317"/>
      <c r="E41" s="269">
        <f t="shared" si="0"/>
        <v>0</v>
      </c>
    </row>
    <row r="42" spans="1:5" ht="12.75">
      <c r="A42" s="75" t="s">
        <v>279</v>
      </c>
      <c r="B42" t="s">
        <v>258</v>
      </c>
      <c r="C42" s="316"/>
      <c r="D42" s="317"/>
      <c r="E42" s="269">
        <f t="shared" si="0"/>
        <v>0</v>
      </c>
    </row>
    <row r="43" spans="1:5" ht="12.75">
      <c r="A43" s="76" t="s">
        <v>290</v>
      </c>
      <c r="B43" t="s">
        <v>258</v>
      </c>
      <c r="C43" s="316"/>
      <c r="D43" s="316"/>
      <c r="E43" s="269">
        <f t="shared" si="0"/>
        <v>0</v>
      </c>
    </row>
    <row r="44" spans="1:5" ht="12.75">
      <c r="A44" s="75" t="s">
        <v>387</v>
      </c>
      <c r="B44" t="s">
        <v>258</v>
      </c>
      <c r="C44" s="316"/>
      <c r="D44" s="316"/>
      <c r="E44" s="269">
        <f t="shared" si="0"/>
        <v>0</v>
      </c>
    </row>
    <row r="45" spans="1:5" ht="12.75">
      <c r="A45" s="75"/>
      <c r="B45" t="s">
        <v>258</v>
      </c>
      <c r="C45" s="316"/>
      <c r="D45" s="316"/>
      <c r="E45" s="269">
        <f t="shared" si="0"/>
        <v>0</v>
      </c>
    </row>
    <row r="46" spans="1:5" ht="12.75">
      <c r="A46" s="75"/>
      <c r="B46" t="s">
        <v>258</v>
      </c>
      <c r="C46" s="316"/>
      <c r="D46" s="316"/>
      <c r="E46" s="269">
        <f t="shared" si="0"/>
        <v>0</v>
      </c>
    </row>
    <row r="47" spans="1:5" ht="12.75">
      <c r="A47" s="75" t="s">
        <v>539</v>
      </c>
      <c r="B47" t="s">
        <v>258</v>
      </c>
      <c r="C47" s="316"/>
      <c r="D47" s="316"/>
      <c r="E47" s="269">
        <f t="shared" si="0"/>
        <v>0</v>
      </c>
    </row>
    <row r="48" spans="1:5" ht="12.75">
      <c r="A48" s="75"/>
      <c r="B48" t="s">
        <v>258</v>
      </c>
      <c r="C48" s="316"/>
      <c r="D48" s="316"/>
      <c r="E48" s="269">
        <f t="shared" si="0"/>
        <v>0</v>
      </c>
    </row>
    <row r="49" spans="1:5" ht="12.75">
      <c r="A49" s="75"/>
      <c r="B49" t="s">
        <v>258</v>
      </c>
      <c r="C49" s="316"/>
      <c r="D49" s="316"/>
      <c r="E49" s="269">
        <f t="shared" si="0"/>
        <v>0</v>
      </c>
    </row>
    <row r="50" spans="1:5" ht="12.75">
      <c r="A50" s="75"/>
      <c r="B50" t="s">
        <v>258</v>
      </c>
      <c r="C50" s="316"/>
      <c r="D50" s="316"/>
      <c r="E50" s="269">
        <f t="shared" si="0"/>
        <v>0</v>
      </c>
    </row>
    <row r="51" spans="1:5" ht="12.75">
      <c r="A51" s="75"/>
      <c r="B51" t="s">
        <v>258</v>
      </c>
      <c r="C51" s="316"/>
      <c r="D51" s="316"/>
      <c r="E51" s="269">
        <f t="shared" si="0"/>
        <v>0</v>
      </c>
    </row>
    <row r="52" spans="1:5" ht="12.75">
      <c r="A52" s="75"/>
      <c r="B52" t="s">
        <v>258</v>
      </c>
      <c r="C52" s="316"/>
      <c r="D52" s="316"/>
      <c r="E52" s="269">
        <f t="shared" si="0"/>
        <v>0</v>
      </c>
    </row>
    <row r="53" spans="1:5" ht="12.75">
      <c r="A53" s="75"/>
      <c r="B53" t="s">
        <v>258</v>
      </c>
      <c r="C53" s="316"/>
      <c r="D53" s="316"/>
      <c r="E53" s="299"/>
    </row>
    <row r="54" spans="1:5" ht="12.75">
      <c r="A54" s="77" t="s">
        <v>237</v>
      </c>
      <c r="B54" t="s">
        <v>261</v>
      </c>
      <c r="C54" s="269">
        <f>SUM(C15:C53)</f>
        <v>0</v>
      </c>
      <c r="D54" s="269">
        <f>SUM(D15:D53)</f>
        <v>0</v>
      </c>
      <c r="E54" s="269">
        <f>SUM(E15:E53)</f>
        <v>0</v>
      </c>
    </row>
    <row r="55" ht="12.75">
      <c r="A55" s="75"/>
    </row>
    <row r="56" ht="12.75">
      <c r="A56" s="75" t="s">
        <v>239</v>
      </c>
    </row>
    <row r="57" spans="1:5" ht="12.75">
      <c r="A57" s="294" t="str">
        <f aca="true" t="shared" si="1" ref="A57:A71">IF($E15&gt;$C$11,A15," ")</f>
        <v> </v>
      </c>
      <c r="B57" s="292"/>
      <c r="C57" s="269">
        <f aca="true" t="shared" si="2" ref="C57:E71">IF($E15&gt;$C$11,C15,)</f>
        <v>0</v>
      </c>
      <c r="D57" s="269">
        <f t="shared" si="2"/>
        <v>0</v>
      </c>
      <c r="E57" s="269">
        <f t="shared" si="2"/>
        <v>0</v>
      </c>
    </row>
    <row r="58" spans="1:5" ht="12.75">
      <c r="A58" s="294" t="str">
        <f t="shared" si="1"/>
        <v> </v>
      </c>
      <c r="B58" s="292"/>
      <c r="C58" s="269">
        <f t="shared" si="2"/>
        <v>0</v>
      </c>
      <c r="D58" s="269">
        <f t="shared" si="2"/>
        <v>0</v>
      </c>
      <c r="E58" s="269">
        <f t="shared" si="2"/>
        <v>0</v>
      </c>
    </row>
    <row r="59" spans="1:5" ht="12.75">
      <c r="A59" s="294" t="str">
        <f t="shared" si="1"/>
        <v> </v>
      </c>
      <c r="B59" s="292"/>
      <c r="C59" s="269">
        <f t="shared" si="2"/>
        <v>0</v>
      </c>
      <c r="D59" s="269">
        <f t="shared" si="2"/>
        <v>0</v>
      </c>
      <c r="E59" s="269">
        <f t="shared" si="2"/>
        <v>0</v>
      </c>
    </row>
    <row r="60" spans="1:5" ht="12.75">
      <c r="A60" s="294" t="str">
        <f t="shared" si="1"/>
        <v> </v>
      </c>
      <c r="B60" s="292"/>
      <c r="C60" s="269">
        <f t="shared" si="2"/>
        <v>0</v>
      </c>
      <c r="D60" s="269">
        <f t="shared" si="2"/>
        <v>0</v>
      </c>
      <c r="E60" s="269">
        <f t="shared" si="2"/>
        <v>0</v>
      </c>
    </row>
    <row r="61" spans="1:5" ht="12.75">
      <c r="A61" s="294" t="str">
        <f t="shared" si="1"/>
        <v> </v>
      </c>
      <c r="B61" s="292"/>
      <c r="C61" s="269">
        <f t="shared" si="2"/>
        <v>0</v>
      </c>
      <c r="D61" s="269">
        <f t="shared" si="2"/>
        <v>0</v>
      </c>
      <c r="E61" s="269">
        <f t="shared" si="2"/>
        <v>0</v>
      </c>
    </row>
    <row r="62" spans="1:5" ht="12.75">
      <c r="A62" s="294" t="str">
        <f t="shared" si="1"/>
        <v> </v>
      </c>
      <c r="B62" s="292"/>
      <c r="C62" s="269">
        <f t="shared" si="2"/>
        <v>0</v>
      </c>
      <c r="D62" s="269">
        <f t="shared" si="2"/>
        <v>0</v>
      </c>
      <c r="E62" s="269">
        <f t="shared" si="2"/>
        <v>0</v>
      </c>
    </row>
    <row r="63" spans="1:5" ht="12.75">
      <c r="A63" s="294" t="str">
        <f t="shared" si="1"/>
        <v> </v>
      </c>
      <c r="B63" s="292"/>
      <c r="C63" s="269">
        <f t="shared" si="2"/>
        <v>0</v>
      </c>
      <c r="D63" s="269">
        <f t="shared" si="2"/>
        <v>0</v>
      </c>
      <c r="E63" s="269">
        <f t="shared" si="2"/>
        <v>0</v>
      </c>
    </row>
    <row r="64" spans="1:5" ht="12.75">
      <c r="A64" s="294" t="str">
        <f t="shared" si="1"/>
        <v> </v>
      </c>
      <c r="B64" s="292"/>
      <c r="C64" s="269">
        <f t="shared" si="2"/>
        <v>0</v>
      </c>
      <c r="D64" s="269">
        <f t="shared" si="2"/>
        <v>0</v>
      </c>
      <c r="E64" s="269">
        <f t="shared" si="2"/>
        <v>0</v>
      </c>
    </row>
    <row r="65" spans="1:5" ht="12.75">
      <c r="A65" s="294" t="str">
        <f t="shared" si="1"/>
        <v> </v>
      </c>
      <c r="B65" s="292"/>
      <c r="C65" s="269">
        <f t="shared" si="2"/>
        <v>0</v>
      </c>
      <c r="D65" s="269">
        <f t="shared" si="2"/>
        <v>0</v>
      </c>
      <c r="E65" s="269">
        <f t="shared" si="2"/>
        <v>0</v>
      </c>
    </row>
    <row r="66" spans="1:5" ht="12.75">
      <c r="A66" s="294" t="str">
        <f t="shared" si="1"/>
        <v> </v>
      </c>
      <c r="B66" s="292"/>
      <c r="C66" s="269">
        <f t="shared" si="2"/>
        <v>0</v>
      </c>
      <c r="D66" s="269">
        <f t="shared" si="2"/>
        <v>0</v>
      </c>
      <c r="E66" s="269">
        <f t="shared" si="2"/>
        <v>0</v>
      </c>
    </row>
    <row r="67" spans="1:5" ht="12.75">
      <c r="A67" s="294" t="str">
        <f t="shared" si="1"/>
        <v> </v>
      </c>
      <c r="B67" s="292"/>
      <c r="C67" s="269">
        <f t="shared" si="2"/>
        <v>0</v>
      </c>
      <c r="D67" s="269">
        <f t="shared" si="2"/>
        <v>0</v>
      </c>
      <c r="E67" s="269">
        <f t="shared" si="2"/>
        <v>0</v>
      </c>
    </row>
    <row r="68" spans="1:5" ht="12.75">
      <c r="A68" s="294" t="str">
        <f t="shared" si="1"/>
        <v> </v>
      </c>
      <c r="B68" s="292"/>
      <c r="C68" s="269">
        <f t="shared" si="2"/>
        <v>0</v>
      </c>
      <c r="D68" s="269">
        <f t="shared" si="2"/>
        <v>0</v>
      </c>
      <c r="E68" s="269">
        <f t="shared" si="2"/>
        <v>0</v>
      </c>
    </row>
    <row r="69" spans="1:5" ht="12.75">
      <c r="A69" s="294" t="str">
        <f t="shared" si="1"/>
        <v> </v>
      </c>
      <c r="B69" s="292"/>
      <c r="C69" s="269">
        <f t="shared" si="2"/>
        <v>0</v>
      </c>
      <c r="D69" s="269">
        <f t="shared" si="2"/>
        <v>0</v>
      </c>
      <c r="E69" s="269">
        <f t="shared" si="2"/>
        <v>0</v>
      </c>
    </row>
    <row r="70" spans="1:5" ht="12.75">
      <c r="A70" s="294" t="str">
        <f t="shared" si="1"/>
        <v> </v>
      </c>
      <c r="B70" s="292"/>
      <c r="C70" s="269">
        <f t="shared" si="2"/>
        <v>0</v>
      </c>
      <c r="D70" s="269">
        <f t="shared" si="2"/>
        <v>0</v>
      </c>
      <c r="E70" s="269">
        <f t="shared" si="2"/>
        <v>0</v>
      </c>
    </row>
    <row r="71" spans="1:5" ht="12.75">
      <c r="A71" s="294" t="str">
        <f t="shared" si="1"/>
        <v> </v>
      </c>
      <c r="B71" s="292"/>
      <c r="C71" s="269">
        <f t="shared" si="2"/>
        <v>0</v>
      </c>
      <c r="D71" s="269">
        <f t="shared" si="2"/>
        <v>0</v>
      </c>
      <c r="E71" s="269">
        <f t="shared" si="2"/>
        <v>0</v>
      </c>
    </row>
    <row r="72" spans="1:5" ht="12.75">
      <c r="A72" s="294" t="str">
        <f aca="true" t="shared" si="3" ref="A72:A93">IF($E31&gt;$C$11,A31," ")</f>
        <v> </v>
      </c>
      <c r="B72" s="292"/>
      <c r="C72" s="269">
        <f aca="true" t="shared" si="4" ref="C72:E76">IF($E31&gt;$C$11,C31,)</f>
        <v>0</v>
      </c>
      <c r="D72" s="269">
        <f t="shared" si="4"/>
        <v>0</v>
      </c>
      <c r="E72" s="269">
        <f t="shared" si="4"/>
        <v>0</v>
      </c>
    </row>
    <row r="73" spans="1:5" ht="12.75">
      <c r="A73" s="294" t="str">
        <f t="shared" si="3"/>
        <v> </v>
      </c>
      <c r="B73" s="292"/>
      <c r="C73" s="269">
        <f t="shared" si="4"/>
        <v>0</v>
      </c>
      <c r="D73" s="269">
        <f t="shared" si="4"/>
        <v>0</v>
      </c>
      <c r="E73" s="269">
        <f t="shared" si="4"/>
        <v>0</v>
      </c>
    </row>
    <row r="74" spans="1:5" ht="12.75">
      <c r="A74" s="294" t="str">
        <f t="shared" si="3"/>
        <v> </v>
      </c>
      <c r="B74" s="292"/>
      <c r="C74" s="269">
        <f t="shared" si="4"/>
        <v>0</v>
      </c>
      <c r="D74" s="269">
        <f t="shared" si="4"/>
        <v>0</v>
      </c>
      <c r="E74" s="269">
        <f t="shared" si="4"/>
        <v>0</v>
      </c>
    </row>
    <row r="75" spans="1:5" ht="12.75">
      <c r="A75" s="294" t="str">
        <f t="shared" si="3"/>
        <v> </v>
      </c>
      <c r="B75" s="292"/>
      <c r="C75" s="269">
        <f t="shared" si="4"/>
        <v>0</v>
      </c>
      <c r="D75" s="269">
        <f t="shared" si="4"/>
        <v>0</v>
      </c>
      <c r="E75" s="269">
        <f t="shared" si="4"/>
        <v>0</v>
      </c>
    </row>
    <row r="76" spans="1:5" ht="12.75">
      <c r="A76" s="294" t="str">
        <f t="shared" si="3"/>
        <v> </v>
      </c>
      <c r="B76" s="292"/>
      <c r="C76" s="269">
        <f t="shared" si="4"/>
        <v>0</v>
      </c>
      <c r="D76" s="269">
        <f t="shared" si="4"/>
        <v>0</v>
      </c>
      <c r="E76" s="269">
        <f t="shared" si="4"/>
        <v>0</v>
      </c>
    </row>
    <row r="77" spans="1:5" ht="12.75">
      <c r="A77" s="294" t="str">
        <f t="shared" si="3"/>
        <v> </v>
      </c>
      <c r="B77" s="292"/>
      <c r="C77" s="269">
        <f aca="true" t="shared" si="5" ref="C77:E91">IF($E36&gt;$C$11,C36,)</f>
        <v>0</v>
      </c>
      <c r="D77" s="269">
        <f t="shared" si="5"/>
        <v>0</v>
      </c>
      <c r="E77" s="269">
        <f t="shared" si="5"/>
        <v>0</v>
      </c>
    </row>
    <row r="78" spans="1:5" ht="12.75">
      <c r="A78" s="294" t="str">
        <f t="shared" si="3"/>
        <v> </v>
      </c>
      <c r="B78" s="292"/>
      <c r="C78" s="269">
        <f t="shared" si="5"/>
        <v>0</v>
      </c>
      <c r="D78" s="269">
        <f t="shared" si="5"/>
        <v>0</v>
      </c>
      <c r="E78" s="269">
        <f t="shared" si="5"/>
        <v>0</v>
      </c>
    </row>
    <row r="79" spans="1:5" ht="12.75">
      <c r="A79" s="294" t="str">
        <f t="shared" si="3"/>
        <v> </v>
      </c>
      <c r="B79" s="292"/>
      <c r="C79" s="269">
        <f t="shared" si="5"/>
        <v>0</v>
      </c>
      <c r="D79" s="269">
        <f t="shared" si="5"/>
        <v>0</v>
      </c>
      <c r="E79" s="269">
        <f t="shared" si="5"/>
        <v>0</v>
      </c>
    </row>
    <row r="80" spans="1:5" ht="12.75">
      <c r="A80" s="294" t="str">
        <f t="shared" si="3"/>
        <v> </v>
      </c>
      <c r="B80" s="292"/>
      <c r="C80" s="269">
        <f t="shared" si="5"/>
        <v>0</v>
      </c>
      <c r="D80" s="269">
        <f t="shared" si="5"/>
        <v>0</v>
      </c>
      <c r="E80" s="269">
        <f t="shared" si="5"/>
        <v>0</v>
      </c>
    </row>
    <row r="81" spans="1:5" ht="12.75">
      <c r="A81" s="294" t="str">
        <f t="shared" si="3"/>
        <v> </v>
      </c>
      <c r="B81" s="292"/>
      <c r="C81" s="269">
        <f t="shared" si="5"/>
        <v>0</v>
      </c>
      <c r="D81" s="269">
        <f t="shared" si="5"/>
        <v>0</v>
      </c>
      <c r="E81" s="269">
        <f t="shared" si="5"/>
        <v>0</v>
      </c>
    </row>
    <row r="82" spans="1:5" ht="12.75">
      <c r="A82" s="294" t="str">
        <f t="shared" si="3"/>
        <v> </v>
      </c>
      <c r="B82" s="292"/>
      <c r="C82" s="269">
        <f t="shared" si="5"/>
        <v>0</v>
      </c>
      <c r="D82" s="269">
        <f t="shared" si="5"/>
        <v>0</v>
      </c>
      <c r="E82" s="269">
        <f t="shared" si="5"/>
        <v>0</v>
      </c>
    </row>
    <row r="83" spans="1:5" ht="12.75">
      <c r="A83" s="294" t="str">
        <f t="shared" si="3"/>
        <v> </v>
      </c>
      <c r="B83" s="292"/>
      <c r="C83" s="269">
        <f t="shared" si="5"/>
        <v>0</v>
      </c>
      <c r="D83" s="269">
        <f t="shared" si="5"/>
        <v>0</v>
      </c>
      <c r="E83" s="269">
        <f t="shared" si="5"/>
        <v>0</v>
      </c>
    </row>
    <row r="84" spans="1:5" ht="12.75">
      <c r="A84" s="294" t="str">
        <f t="shared" si="3"/>
        <v> </v>
      </c>
      <c r="B84" s="292"/>
      <c r="C84" s="269">
        <f t="shared" si="5"/>
        <v>0</v>
      </c>
      <c r="D84" s="269">
        <f t="shared" si="5"/>
        <v>0</v>
      </c>
      <c r="E84" s="269">
        <f t="shared" si="5"/>
        <v>0</v>
      </c>
    </row>
    <row r="85" spans="1:5" ht="12.75">
      <c r="A85" s="294" t="str">
        <f t="shared" si="3"/>
        <v> </v>
      </c>
      <c r="B85" s="292"/>
      <c r="C85" s="269">
        <f t="shared" si="5"/>
        <v>0</v>
      </c>
      <c r="D85" s="269">
        <f t="shared" si="5"/>
        <v>0</v>
      </c>
      <c r="E85" s="269">
        <f t="shared" si="5"/>
        <v>0</v>
      </c>
    </row>
    <row r="86" spans="1:5" ht="12.75">
      <c r="A86" s="294" t="str">
        <f t="shared" si="3"/>
        <v> </v>
      </c>
      <c r="B86" s="292"/>
      <c r="C86" s="269">
        <f t="shared" si="5"/>
        <v>0</v>
      </c>
      <c r="D86" s="269">
        <f t="shared" si="5"/>
        <v>0</v>
      </c>
      <c r="E86" s="269">
        <f t="shared" si="5"/>
        <v>0</v>
      </c>
    </row>
    <row r="87" spans="1:5" ht="12.75">
      <c r="A87" s="294" t="str">
        <f t="shared" si="3"/>
        <v> </v>
      </c>
      <c r="B87" s="292"/>
      <c r="C87" s="269">
        <f t="shared" si="5"/>
        <v>0</v>
      </c>
      <c r="D87" s="269">
        <f t="shared" si="5"/>
        <v>0</v>
      </c>
      <c r="E87" s="269">
        <f t="shared" si="5"/>
        <v>0</v>
      </c>
    </row>
    <row r="88" spans="1:5" ht="12.75">
      <c r="A88" s="294" t="str">
        <f t="shared" si="3"/>
        <v> </v>
      </c>
      <c r="B88" s="292"/>
      <c r="C88" s="269">
        <f t="shared" si="5"/>
        <v>0</v>
      </c>
      <c r="D88" s="269">
        <f t="shared" si="5"/>
        <v>0</v>
      </c>
      <c r="E88" s="269">
        <f t="shared" si="5"/>
        <v>0</v>
      </c>
    </row>
    <row r="89" spans="1:5" ht="12.75">
      <c r="A89" s="294" t="str">
        <f t="shared" si="3"/>
        <v> </v>
      </c>
      <c r="B89" s="292"/>
      <c r="C89" s="269">
        <f t="shared" si="5"/>
        <v>0</v>
      </c>
      <c r="D89" s="269">
        <f t="shared" si="5"/>
        <v>0</v>
      </c>
      <c r="E89" s="269">
        <f t="shared" si="5"/>
        <v>0</v>
      </c>
    </row>
    <row r="90" spans="1:5" ht="12.75">
      <c r="A90" s="294" t="str">
        <f t="shared" si="3"/>
        <v> </v>
      </c>
      <c r="B90" s="292"/>
      <c r="C90" s="269">
        <f t="shared" si="5"/>
        <v>0</v>
      </c>
      <c r="D90" s="269">
        <f t="shared" si="5"/>
        <v>0</v>
      </c>
      <c r="E90" s="269">
        <f t="shared" si="5"/>
        <v>0</v>
      </c>
    </row>
    <row r="91" spans="1:5" ht="12.75">
      <c r="A91" s="294" t="str">
        <f t="shared" si="3"/>
        <v> </v>
      </c>
      <c r="B91" s="292"/>
      <c r="C91" s="269">
        <f t="shared" si="5"/>
        <v>0</v>
      </c>
      <c r="D91" s="269">
        <f t="shared" si="5"/>
        <v>0</v>
      </c>
      <c r="E91" s="269">
        <f t="shared" si="5"/>
        <v>0</v>
      </c>
    </row>
    <row r="92" spans="1:5" ht="12.75">
      <c r="A92" s="294" t="str">
        <f t="shared" si="3"/>
        <v> </v>
      </c>
      <c r="B92" s="292"/>
      <c r="C92" s="269">
        <f aca="true" t="shared" si="6" ref="C92:E93">IF($E51&gt;$C$11,C51,)</f>
        <v>0</v>
      </c>
      <c r="D92" s="269">
        <f t="shared" si="6"/>
        <v>0</v>
      </c>
      <c r="E92" s="269">
        <f t="shared" si="6"/>
        <v>0</v>
      </c>
    </row>
    <row r="93" spans="1:5" ht="12.75">
      <c r="A93" s="294" t="str">
        <f t="shared" si="3"/>
        <v> </v>
      </c>
      <c r="B93" s="292"/>
      <c r="C93" s="269">
        <f t="shared" si="6"/>
        <v>0</v>
      </c>
      <c r="D93" s="269">
        <f t="shared" si="6"/>
        <v>0</v>
      </c>
      <c r="E93" s="269">
        <f t="shared" si="6"/>
        <v>0</v>
      </c>
    </row>
    <row r="94" spans="1:5" ht="12.75">
      <c r="A94" s="295"/>
      <c r="B94" s="293"/>
      <c r="C94" s="299"/>
      <c r="D94" s="299"/>
      <c r="E94" s="299"/>
    </row>
    <row r="95" spans="1:5" ht="12.75">
      <c r="A95" s="296" t="s">
        <v>212</v>
      </c>
      <c r="B95" s="292"/>
      <c r="C95" s="269">
        <f>SUM(C57:C93)</f>
        <v>0</v>
      </c>
      <c r="D95" s="269">
        <f>SUM(D57:D93)</f>
        <v>0</v>
      </c>
      <c r="E95" s="269">
        <f>SUM(E57:E93)</f>
        <v>0</v>
      </c>
    </row>
    <row r="96" spans="1:5" ht="12.75">
      <c r="A96" s="296" t="s">
        <v>289</v>
      </c>
      <c r="B96" s="297"/>
      <c r="C96" s="348">
        <f>C54-C95</f>
        <v>0</v>
      </c>
      <c r="D96" s="348">
        <f>D54-D95</f>
        <v>0</v>
      </c>
      <c r="E96" s="348">
        <f>E54-E95</f>
        <v>0</v>
      </c>
    </row>
    <row r="97" spans="1:5" ht="12.75">
      <c r="A97" s="296" t="s">
        <v>237</v>
      </c>
      <c r="B97" s="297"/>
      <c r="C97" s="348">
        <f>C95+C96</f>
        <v>0</v>
      </c>
      <c r="D97" s="348">
        <f>D95+D96</f>
        <v>0</v>
      </c>
      <c r="E97" s="348">
        <f>E95+E96</f>
        <v>0</v>
      </c>
    </row>
    <row r="98" ht="12.75">
      <c r="A98" s="75"/>
    </row>
    <row r="99" ht="12.75">
      <c r="A99" s="75" t="s">
        <v>213</v>
      </c>
    </row>
    <row r="100" spans="1:5" ht="12.75">
      <c r="A100" s="75" t="s">
        <v>214</v>
      </c>
      <c r="B100" s="8" t="s">
        <v>259</v>
      </c>
      <c r="C100" s="316"/>
      <c r="D100" s="316"/>
      <c r="E100" s="269">
        <f>C100-D100</f>
        <v>0</v>
      </c>
    </row>
    <row r="101" spans="1:5" ht="12.75">
      <c r="A101" s="78" t="s">
        <v>219</v>
      </c>
      <c r="B101" s="8" t="s">
        <v>259</v>
      </c>
      <c r="C101" s="316"/>
      <c r="D101" s="316"/>
      <c r="E101" s="269">
        <f aca="true" t="shared" si="7" ref="E101:E120">C101-D101</f>
        <v>0</v>
      </c>
    </row>
    <row r="102" spans="1:5" ht="12.75">
      <c r="A102" s="78" t="s">
        <v>215</v>
      </c>
      <c r="B102" s="8" t="s">
        <v>259</v>
      </c>
      <c r="C102" s="316"/>
      <c r="D102" s="316"/>
      <c r="E102" s="269">
        <f t="shared" si="7"/>
        <v>0</v>
      </c>
    </row>
    <row r="103" spans="1:5" ht="12.75">
      <c r="A103" s="78" t="s">
        <v>340</v>
      </c>
      <c r="B103" s="8" t="s">
        <v>259</v>
      </c>
      <c r="C103" s="316"/>
      <c r="D103" s="316"/>
      <c r="E103" s="269">
        <f t="shared" si="7"/>
        <v>0</v>
      </c>
    </row>
    <row r="104" spans="1:5" ht="12.75">
      <c r="A104" s="75" t="s">
        <v>280</v>
      </c>
      <c r="B104" s="8" t="s">
        <v>259</v>
      </c>
      <c r="C104" s="316"/>
      <c r="D104" s="316"/>
      <c r="E104" s="269">
        <f t="shared" si="7"/>
        <v>0</v>
      </c>
    </row>
    <row r="105" spans="1:5" ht="12.75">
      <c r="A105" s="75" t="s">
        <v>450</v>
      </c>
      <c r="B105" s="8" t="s">
        <v>259</v>
      </c>
      <c r="C105" s="316"/>
      <c r="D105" s="316"/>
      <c r="E105" s="269">
        <f t="shared" si="7"/>
        <v>0</v>
      </c>
    </row>
    <row r="106" spans="1:5" ht="12.75">
      <c r="A106" s="75" t="s">
        <v>281</v>
      </c>
      <c r="B106" s="8" t="s">
        <v>259</v>
      </c>
      <c r="C106" s="316"/>
      <c r="D106" s="316"/>
      <c r="E106" s="269">
        <f t="shared" si="7"/>
        <v>0</v>
      </c>
    </row>
    <row r="107" spans="1:5" ht="12.75">
      <c r="A107" s="75" t="s">
        <v>234</v>
      </c>
      <c r="B107" s="8" t="s">
        <v>259</v>
      </c>
      <c r="C107" s="316"/>
      <c r="D107" s="316"/>
      <c r="E107" s="269">
        <f t="shared" si="7"/>
        <v>0</v>
      </c>
    </row>
    <row r="108" spans="1:5" ht="12.75">
      <c r="A108" s="75" t="s">
        <v>235</v>
      </c>
      <c r="B108" s="8" t="s">
        <v>259</v>
      </c>
      <c r="C108" s="316"/>
      <c r="D108" s="316"/>
      <c r="E108" s="269">
        <f t="shared" si="7"/>
        <v>0</v>
      </c>
    </row>
    <row r="109" spans="1:5" ht="12.75">
      <c r="A109" s="75" t="s">
        <v>236</v>
      </c>
      <c r="B109" s="8" t="s">
        <v>259</v>
      </c>
      <c r="C109" s="316"/>
      <c r="D109" s="316"/>
      <c r="E109" s="269">
        <f t="shared" si="7"/>
        <v>0</v>
      </c>
    </row>
    <row r="110" spans="1:5" ht="12.75">
      <c r="A110" s="76" t="s">
        <v>291</v>
      </c>
      <c r="B110" s="8" t="s">
        <v>259</v>
      </c>
      <c r="C110" s="316"/>
      <c r="D110" s="316"/>
      <c r="E110" s="269"/>
    </row>
    <row r="111" spans="1:5" ht="12.75">
      <c r="A111" s="75" t="s">
        <v>388</v>
      </c>
      <c r="B111" s="8" t="s">
        <v>259</v>
      </c>
      <c r="C111" s="316"/>
      <c r="D111" s="316"/>
      <c r="E111" s="269">
        <f t="shared" si="7"/>
        <v>0</v>
      </c>
    </row>
    <row r="112" spans="1:5" ht="12.75">
      <c r="A112" s="75" t="s">
        <v>491</v>
      </c>
      <c r="B112" s="8" t="s">
        <v>259</v>
      </c>
      <c r="C112" s="316"/>
      <c r="D112" s="316"/>
      <c r="E112" s="269">
        <f t="shared" si="7"/>
        <v>0</v>
      </c>
    </row>
    <row r="113" spans="1:5" ht="12.75">
      <c r="A113" s="75" t="s">
        <v>492</v>
      </c>
      <c r="B113" s="8" t="s">
        <v>259</v>
      </c>
      <c r="C113" s="316"/>
      <c r="D113" s="316"/>
      <c r="E113" s="269">
        <f t="shared" si="7"/>
        <v>0</v>
      </c>
    </row>
    <row r="114" spans="1:5" ht="12.75">
      <c r="A114" s="75" t="s">
        <v>493</v>
      </c>
      <c r="B114" s="8" t="s">
        <v>259</v>
      </c>
      <c r="C114" s="316"/>
      <c r="D114" s="316"/>
      <c r="E114" s="269">
        <f t="shared" si="7"/>
        <v>0</v>
      </c>
    </row>
    <row r="115" spans="1:5" ht="12.75">
      <c r="A115" s="75"/>
      <c r="B115" s="8" t="s">
        <v>259</v>
      </c>
      <c r="C115" s="316"/>
      <c r="D115" s="316"/>
      <c r="E115" s="269">
        <f t="shared" si="7"/>
        <v>0</v>
      </c>
    </row>
    <row r="116" spans="1:5" ht="12.75">
      <c r="A116" s="75" t="s">
        <v>540</v>
      </c>
      <c r="B116" s="8" t="s">
        <v>259</v>
      </c>
      <c r="C116" s="316"/>
      <c r="D116" s="316"/>
      <c r="E116" s="269">
        <f t="shared" si="7"/>
        <v>0</v>
      </c>
    </row>
    <row r="117" spans="1:5" ht="12.75">
      <c r="A117" s="75"/>
      <c r="B117" s="8" t="s">
        <v>259</v>
      </c>
      <c r="C117" s="316"/>
      <c r="D117" s="316"/>
      <c r="E117" s="269">
        <f t="shared" si="7"/>
        <v>0</v>
      </c>
    </row>
    <row r="118" spans="1:5" ht="12.75">
      <c r="A118" s="75"/>
      <c r="B118" s="8" t="s">
        <v>259</v>
      </c>
      <c r="C118" s="316"/>
      <c r="D118" s="316"/>
      <c r="E118" s="269">
        <f t="shared" si="7"/>
        <v>0</v>
      </c>
    </row>
    <row r="119" spans="1:5" ht="12.75">
      <c r="A119" s="75"/>
      <c r="B119" s="8" t="s">
        <v>259</v>
      </c>
      <c r="C119" s="316"/>
      <c r="D119" s="316"/>
      <c r="E119" s="269">
        <f t="shared" si="7"/>
        <v>0</v>
      </c>
    </row>
    <row r="120" spans="1:5" ht="12.75">
      <c r="A120" s="75"/>
      <c r="B120" s="8" t="s">
        <v>259</v>
      </c>
      <c r="C120" s="316"/>
      <c r="D120" s="316"/>
      <c r="E120" s="269">
        <f t="shared" si="7"/>
        <v>0</v>
      </c>
    </row>
    <row r="121" spans="1:5" ht="12.75">
      <c r="A121" s="75" t="s">
        <v>238</v>
      </c>
      <c r="B121" s="8" t="s">
        <v>261</v>
      </c>
      <c r="C121" s="269">
        <f>SUM(C100:C120)</f>
        <v>0</v>
      </c>
      <c r="D121" s="269">
        <f>SUM(D100:D120)</f>
        <v>0</v>
      </c>
      <c r="E121" s="269">
        <f>SUM(E100:E120)</f>
        <v>0</v>
      </c>
    </row>
    <row r="122" ht="12.75">
      <c r="A122" s="75"/>
    </row>
    <row r="123" ht="12.75">
      <c r="A123" s="75"/>
    </row>
    <row r="124" ht="12.75">
      <c r="A124" s="75" t="s">
        <v>241</v>
      </c>
    </row>
    <row r="125" spans="1:5" ht="12.75">
      <c r="A125" s="294" t="str">
        <f>IF($E100&gt;$C$11,A100," ")</f>
        <v> </v>
      </c>
      <c r="B125" s="292"/>
      <c r="C125" s="269">
        <f aca="true" t="shared" si="8" ref="C125:E143">IF($E100&gt;$C$11,C100,)</f>
        <v>0</v>
      </c>
      <c r="D125" s="269">
        <f t="shared" si="8"/>
        <v>0</v>
      </c>
      <c r="E125" s="269">
        <f t="shared" si="8"/>
        <v>0</v>
      </c>
    </row>
    <row r="126" spans="1:5" ht="12.75">
      <c r="A126" s="294" t="str">
        <f aca="true" t="shared" si="9" ref="A126:A145">IF($E101&gt;$C$11,A101," ")</f>
        <v> </v>
      </c>
      <c r="B126" s="292"/>
      <c r="C126" s="269">
        <f t="shared" si="8"/>
        <v>0</v>
      </c>
      <c r="D126" s="269">
        <f t="shared" si="8"/>
        <v>0</v>
      </c>
      <c r="E126" s="269">
        <f t="shared" si="8"/>
        <v>0</v>
      </c>
    </row>
    <row r="127" spans="1:5" ht="12.75">
      <c r="A127" s="294" t="str">
        <f t="shared" si="9"/>
        <v> </v>
      </c>
      <c r="B127" s="292"/>
      <c r="C127" s="269">
        <f t="shared" si="8"/>
        <v>0</v>
      </c>
      <c r="D127" s="269">
        <f t="shared" si="8"/>
        <v>0</v>
      </c>
      <c r="E127" s="269">
        <f t="shared" si="8"/>
        <v>0</v>
      </c>
    </row>
    <row r="128" spans="1:5" ht="12.75">
      <c r="A128" s="294" t="str">
        <f t="shared" si="9"/>
        <v> </v>
      </c>
      <c r="B128" s="292"/>
      <c r="C128" s="269">
        <f t="shared" si="8"/>
        <v>0</v>
      </c>
      <c r="D128" s="269">
        <f t="shared" si="8"/>
        <v>0</v>
      </c>
      <c r="E128" s="269">
        <f t="shared" si="8"/>
        <v>0</v>
      </c>
    </row>
    <row r="129" spans="1:5" ht="12.75">
      <c r="A129" s="294" t="str">
        <f t="shared" si="9"/>
        <v> </v>
      </c>
      <c r="B129" s="292"/>
      <c r="C129" s="269">
        <f t="shared" si="8"/>
        <v>0</v>
      </c>
      <c r="D129" s="269">
        <f t="shared" si="8"/>
        <v>0</v>
      </c>
      <c r="E129" s="269">
        <f t="shared" si="8"/>
        <v>0</v>
      </c>
    </row>
    <row r="130" spans="1:5" ht="12.75">
      <c r="A130" s="294" t="str">
        <f t="shared" si="9"/>
        <v> </v>
      </c>
      <c r="B130" s="292"/>
      <c r="C130" s="269">
        <f t="shared" si="8"/>
        <v>0</v>
      </c>
      <c r="D130" s="269">
        <f t="shared" si="8"/>
        <v>0</v>
      </c>
      <c r="E130" s="269">
        <f t="shared" si="8"/>
        <v>0</v>
      </c>
    </row>
    <row r="131" spans="1:5" ht="12.75">
      <c r="A131" s="294" t="str">
        <f t="shared" si="9"/>
        <v> </v>
      </c>
      <c r="B131" s="292"/>
      <c r="C131" s="269">
        <f t="shared" si="8"/>
        <v>0</v>
      </c>
      <c r="D131" s="269">
        <f t="shared" si="8"/>
        <v>0</v>
      </c>
      <c r="E131" s="269">
        <f t="shared" si="8"/>
        <v>0</v>
      </c>
    </row>
    <row r="132" spans="1:5" ht="12.75">
      <c r="A132" s="294" t="str">
        <f t="shared" si="9"/>
        <v> </v>
      </c>
      <c r="B132" s="292"/>
      <c r="C132" s="269">
        <f t="shared" si="8"/>
        <v>0</v>
      </c>
      <c r="D132" s="269">
        <f t="shared" si="8"/>
        <v>0</v>
      </c>
      <c r="E132" s="269">
        <f t="shared" si="8"/>
        <v>0</v>
      </c>
    </row>
    <row r="133" spans="1:5" ht="12.75">
      <c r="A133" s="294" t="str">
        <f t="shared" si="9"/>
        <v> </v>
      </c>
      <c r="B133" s="292"/>
      <c r="C133" s="269">
        <f t="shared" si="8"/>
        <v>0</v>
      </c>
      <c r="D133" s="269">
        <f t="shared" si="8"/>
        <v>0</v>
      </c>
      <c r="E133" s="269">
        <f t="shared" si="8"/>
        <v>0</v>
      </c>
    </row>
    <row r="134" spans="1:5" ht="12.75">
      <c r="A134" s="294" t="str">
        <f t="shared" si="9"/>
        <v> </v>
      </c>
      <c r="B134" s="292"/>
      <c r="C134" s="269">
        <f t="shared" si="8"/>
        <v>0</v>
      </c>
      <c r="D134" s="269">
        <f t="shared" si="8"/>
        <v>0</v>
      </c>
      <c r="E134" s="269">
        <f t="shared" si="8"/>
        <v>0</v>
      </c>
    </row>
    <row r="135" spans="1:5" ht="12.75">
      <c r="A135" s="294" t="str">
        <f t="shared" si="9"/>
        <v> </v>
      </c>
      <c r="B135" s="292"/>
      <c r="C135" s="269">
        <f t="shared" si="8"/>
        <v>0</v>
      </c>
      <c r="D135" s="269">
        <f t="shared" si="8"/>
        <v>0</v>
      </c>
      <c r="E135" s="269">
        <f t="shared" si="8"/>
        <v>0</v>
      </c>
    </row>
    <row r="136" spans="1:5" ht="12.75">
      <c r="A136" s="294" t="str">
        <f>IF($E111&gt;$C$11,A111," ")</f>
        <v> </v>
      </c>
      <c r="B136" s="292"/>
      <c r="C136" s="269">
        <f t="shared" si="8"/>
        <v>0</v>
      </c>
      <c r="D136" s="269">
        <f t="shared" si="8"/>
        <v>0</v>
      </c>
      <c r="E136" s="269">
        <f t="shared" si="8"/>
        <v>0</v>
      </c>
    </row>
    <row r="137" spans="1:5" ht="12.75">
      <c r="A137" s="294" t="str">
        <f t="shared" si="9"/>
        <v> </v>
      </c>
      <c r="B137" s="292"/>
      <c r="C137" s="269">
        <f t="shared" si="8"/>
        <v>0</v>
      </c>
      <c r="D137" s="269">
        <f t="shared" si="8"/>
        <v>0</v>
      </c>
      <c r="E137" s="269">
        <f t="shared" si="8"/>
        <v>0</v>
      </c>
    </row>
    <row r="138" spans="1:5" ht="12.75">
      <c r="A138" s="294" t="str">
        <f>IF($E113&gt;$C$11,A113," ")</f>
        <v> </v>
      </c>
      <c r="B138" s="292"/>
      <c r="C138" s="269">
        <f t="shared" si="8"/>
        <v>0</v>
      </c>
      <c r="D138" s="269">
        <f t="shared" si="8"/>
        <v>0</v>
      </c>
      <c r="E138" s="269">
        <f t="shared" si="8"/>
        <v>0</v>
      </c>
    </row>
    <row r="139" spans="1:5" ht="12.75">
      <c r="A139" s="294" t="str">
        <f t="shared" si="9"/>
        <v> </v>
      </c>
      <c r="B139" s="292"/>
      <c r="C139" s="269">
        <f t="shared" si="8"/>
        <v>0</v>
      </c>
      <c r="D139" s="269">
        <f t="shared" si="8"/>
        <v>0</v>
      </c>
      <c r="E139" s="269">
        <f t="shared" si="8"/>
        <v>0</v>
      </c>
    </row>
    <row r="140" spans="1:5" ht="12.75">
      <c r="A140" s="294" t="str">
        <f t="shared" si="9"/>
        <v> </v>
      </c>
      <c r="B140" s="292"/>
      <c r="C140" s="269">
        <f t="shared" si="8"/>
        <v>0</v>
      </c>
      <c r="D140" s="269">
        <f t="shared" si="8"/>
        <v>0</v>
      </c>
      <c r="E140" s="269">
        <f t="shared" si="8"/>
        <v>0</v>
      </c>
    </row>
    <row r="141" spans="1:5" ht="12.75">
      <c r="A141" s="294" t="str">
        <f t="shared" si="9"/>
        <v> </v>
      </c>
      <c r="B141" s="292"/>
      <c r="C141" s="269">
        <f t="shared" si="8"/>
        <v>0</v>
      </c>
      <c r="D141" s="269">
        <f t="shared" si="8"/>
        <v>0</v>
      </c>
      <c r="E141" s="269">
        <f t="shared" si="8"/>
        <v>0</v>
      </c>
    </row>
    <row r="142" spans="1:5" ht="12.75">
      <c r="A142" s="294" t="str">
        <f t="shared" si="9"/>
        <v> </v>
      </c>
      <c r="B142" s="292"/>
      <c r="C142" s="269">
        <f t="shared" si="8"/>
        <v>0</v>
      </c>
      <c r="D142" s="269">
        <f t="shared" si="8"/>
        <v>0</v>
      </c>
      <c r="E142" s="269">
        <f t="shared" si="8"/>
        <v>0</v>
      </c>
    </row>
    <row r="143" spans="1:5" ht="12.75">
      <c r="A143" s="294" t="str">
        <f t="shared" si="9"/>
        <v> </v>
      </c>
      <c r="B143" s="292"/>
      <c r="C143" s="269">
        <f t="shared" si="8"/>
        <v>0</v>
      </c>
      <c r="D143" s="269">
        <f t="shared" si="8"/>
        <v>0</v>
      </c>
      <c r="E143" s="269">
        <f t="shared" si="8"/>
        <v>0</v>
      </c>
    </row>
    <row r="144" spans="1:5" ht="12.75">
      <c r="A144" s="294" t="str">
        <f t="shared" si="9"/>
        <v> </v>
      </c>
      <c r="B144" s="292"/>
      <c r="C144" s="269">
        <f aca="true" t="shared" si="10" ref="C144:E145">IF($E119&gt;$C$11,C119,)</f>
        <v>0</v>
      </c>
      <c r="D144" s="269">
        <f t="shared" si="10"/>
        <v>0</v>
      </c>
      <c r="E144" s="269">
        <f t="shared" si="10"/>
        <v>0</v>
      </c>
    </row>
    <row r="145" spans="1:5" ht="12.75">
      <c r="A145" s="294" t="str">
        <f t="shared" si="9"/>
        <v> </v>
      </c>
      <c r="B145" s="292"/>
      <c r="C145" s="269">
        <f t="shared" si="10"/>
        <v>0</v>
      </c>
      <c r="D145" s="269">
        <f t="shared" si="10"/>
        <v>0</v>
      </c>
      <c r="E145" s="269">
        <f t="shared" si="10"/>
        <v>0</v>
      </c>
    </row>
    <row r="146" spans="1:5" ht="12.75">
      <c r="A146" s="298" t="s">
        <v>288</v>
      </c>
      <c r="B146" s="292"/>
      <c r="C146" s="269">
        <f>SUM(C125:C145)</f>
        <v>0</v>
      </c>
      <c r="D146" s="269">
        <f>SUM(D125:D145)</f>
        <v>0</v>
      </c>
      <c r="E146" s="269">
        <f>SUM(E125:E145)</f>
        <v>0</v>
      </c>
    </row>
    <row r="147" spans="1:5" ht="12.75">
      <c r="A147" s="298" t="s">
        <v>287</v>
      </c>
      <c r="B147" s="292"/>
      <c r="C147" s="269">
        <f>C121-C146</f>
        <v>0</v>
      </c>
      <c r="D147" s="269">
        <f>D121-D146</f>
        <v>0</v>
      </c>
      <c r="E147" s="269">
        <f>E121-E146</f>
        <v>0</v>
      </c>
    </row>
    <row r="148" spans="1:5" ht="12.75">
      <c r="A148" s="298" t="s">
        <v>238</v>
      </c>
      <c r="B148" s="292"/>
      <c r="C148" s="269">
        <f>C146+C147</f>
        <v>0</v>
      </c>
      <c r="D148" s="269">
        <f>D146+D147</f>
        <v>0</v>
      </c>
      <c r="E148" s="269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16" t="str">
        <f>REGINFO!A1</f>
        <v>SIMPIL RRR FILING</v>
      </c>
      <c r="B1" s="417"/>
      <c r="C1" s="380"/>
      <c r="D1" s="380"/>
      <c r="E1" s="380"/>
      <c r="F1" s="380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8" ht="12.75">
      <c r="A2" s="381" t="s">
        <v>172</v>
      </c>
      <c r="B2" s="380"/>
      <c r="C2" s="380"/>
      <c r="D2" s="380"/>
      <c r="E2" s="380"/>
      <c r="F2" s="382" t="str">
        <f>REGINFO!E1</f>
        <v>Version 2005.1</v>
      </c>
      <c r="G2" s="203"/>
      <c r="H2" s="203"/>
      <c r="I2" s="203"/>
      <c r="J2" s="203"/>
      <c r="K2" s="257"/>
      <c r="L2" s="203"/>
      <c r="M2" s="203"/>
      <c r="N2" s="203"/>
      <c r="O2" s="203"/>
      <c r="P2" s="203"/>
      <c r="Q2" s="40"/>
      <c r="R2" s="40"/>
    </row>
    <row r="3" spans="1:18" ht="12.75">
      <c r="A3" s="381" t="s">
        <v>390</v>
      </c>
      <c r="B3" s="380"/>
      <c r="C3" s="380"/>
      <c r="D3" s="380"/>
      <c r="E3" s="380"/>
      <c r="F3" s="382" t="str">
        <f>REGINFO!E2</f>
        <v>RRR # 2.1.8</v>
      </c>
      <c r="G3" s="203"/>
      <c r="H3" s="203"/>
      <c r="I3" s="203"/>
      <c r="J3" s="203"/>
      <c r="K3" s="257"/>
      <c r="L3" s="203"/>
      <c r="M3" s="203"/>
      <c r="N3" s="203"/>
      <c r="O3" s="203"/>
      <c r="P3" s="203"/>
      <c r="Q3" s="40"/>
      <c r="R3" s="40"/>
    </row>
    <row r="4" spans="1:18" ht="12.75">
      <c r="A4" s="521" t="str">
        <f>REGINFO!A3</f>
        <v>Utility Name:  Brantford Power Inc.</v>
      </c>
      <c r="B4" s="520"/>
      <c r="C4" s="520"/>
      <c r="D4" s="520"/>
      <c r="E4" s="380"/>
      <c r="F4" s="380"/>
      <c r="G4" s="203"/>
      <c r="H4" s="203"/>
      <c r="I4" s="203"/>
      <c r="J4" s="203"/>
      <c r="K4" s="257"/>
      <c r="L4" s="203"/>
      <c r="M4" s="203"/>
      <c r="N4" s="203"/>
      <c r="O4" s="203"/>
      <c r="P4" s="203"/>
      <c r="Q4" s="40"/>
      <c r="R4" s="40"/>
    </row>
    <row r="5" spans="1:18" ht="12.75">
      <c r="A5" s="521" t="str">
        <f>REGINFO!A4</f>
        <v>Reporting period:   2005</v>
      </c>
      <c r="B5" s="520"/>
      <c r="C5" s="520"/>
      <c r="D5" s="520"/>
      <c r="E5" s="380"/>
      <c r="F5" s="380"/>
      <c r="G5" s="203"/>
      <c r="H5" s="203"/>
      <c r="I5" s="203"/>
      <c r="J5" s="203"/>
      <c r="K5" s="257"/>
      <c r="L5" s="203"/>
      <c r="M5" s="203"/>
      <c r="N5" s="203"/>
      <c r="O5" s="203"/>
      <c r="P5" s="203"/>
      <c r="Q5" s="40"/>
      <c r="R5" s="40"/>
    </row>
    <row r="6" spans="1:18" ht="12.75">
      <c r="A6" s="381"/>
      <c r="B6" s="380"/>
      <c r="C6" s="380"/>
      <c r="D6" s="380"/>
      <c r="E6" s="380"/>
      <c r="F6" s="380"/>
      <c r="G6" s="203"/>
      <c r="H6" s="203"/>
      <c r="I6" s="203"/>
      <c r="J6" s="203"/>
      <c r="K6" s="257"/>
      <c r="L6" s="203"/>
      <c r="M6" s="203"/>
      <c r="N6" s="203"/>
      <c r="O6" s="203"/>
      <c r="P6" s="203"/>
      <c r="Q6" s="40"/>
      <c r="R6" s="40"/>
    </row>
    <row r="7" spans="1:18" ht="12.75">
      <c r="A7" s="381"/>
      <c r="B7" s="380"/>
      <c r="C7" s="380"/>
      <c r="D7" s="380"/>
      <c r="E7" s="380"/>
      <c r="F7" s="436" t="s">
        <v>418</v>
      </c>
      <c r="G7" s="203"/>
      <c r="H7" s="203"/>
      <c r="I7" s="203"/>
      <c r="J7" s="203"/>
      <c r="K7" s="257"/>
      <c r="L7" s="203"/>
      <c r="M7" s="203"/>
      <c r="N7" s="203"/>
      <c r="O7" s="203"/>
      <c r="P7" s="203"/>
      <c r="Q7" s="40"/>
      <c r="R7" s="40"/>
    </row>
    <row r="8" spans="1:18" ht="13.5" thickBot="1">
      <c r="A8" s="374" t="s">
        <v>460</v>
      </c>
      <c r="B8" s="375"/>
      <c r="C8" s="375"/>
      <c r="D8" s="380"/>
      <c r="E8" s="380"/>
      <c r="F8" s="41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40"/>
      <c r="R8" s="40"/>
    </row>
    <row r="9" spans="1:16" ht="12.75">
      <c r="A9" s="353" t="s">
        <v>177</v>
      </c>
      <c r="B9" s="358"/>
      <c r="C9" s="359">
        <v>0</v>
      </c>
      <c r="D9" s="359"/>
      <c r="E9" s="359">
        <v>400001</v>
      </c>
      <c r="F9" s="360"/>
      <c r="G9" s="204"/>
      <c r="H9" s="204"/>
      <c r="I9" s="204"/>
      <c r="J9" s="204"/>
      <c r="K9" s="202"/>
      <c r="L9" s="202"/>
      <c r="M9" s="202"/>
      <c r="N9" s="202"/>
      <c r="O9" s="202"/>
      <c r="P9" s="202"/>
    </row>
    <row r="10" spans="1:16" ht="12.75">
      <c r="A10" s="354" t="s">
        <v>462</v>
      </c>
      <c r="B10" s="361"/>
      <c r="C10" s="361" t="s">
        <v>176</v>
      </c>
      <c r="D10" s="361"/>
      <c r="E10" s="361" t="s">
        <v>176</v>
      </c>
      <c r="F10" s="362" t="s">
        <v>347</v>
      </c>
      <c r="G10" s="205"/>
      <c r="H10" s="205"/>
      <c r="I10" s="205"/>
      <c r="J10" s="205"/>
      <c r="K10" s="202"/>
      <c r="L10" s="202"/>
      <c r="M10" s="202"/>
      <c r="N10" s="202"/>
      <c r="O10" s="202"/>
      <c r="P10" s="202"/>
    </row>
    <row r="11" spans="1:16" ht="13.5" thickBot="1">
      <c r="A11" s="354"/>
      <c r="B11" s="361" t="s">
        <v>181</v>
      </c>
      <c r="C11" s="363">
        <v>400000</v>
      </c>
      <c r="D11" s="363"/>
      <c r="E11" s="363">
        <v>1128000</v>
      </c>
      <c r="F11" s="364"/>
      <c r="G11" s="204"/>
      <c r="H11" s="204"/>
      <c r="I11" s="204"/>
      <c r="J11" s="204"/>
      <c r="K11" s="202"/>
      <c r="L11" s="202"/>
      <c r="M11" s="202"/>
      <c r="N11" s="202"/>
      <c r="O11" s="202"/>
      <c r="P11" s="202"/>
    </row>
    <row r="12" spans="1:16" ht="13.5" thickBot="1">
      <c r="A12" s="355" t="s">
        <v>173</v>
      </c>
      <c r="B12" s="253"/>
      <c r="C12" s="254"/>
      <c r="D12" s="254"/>
      <c r="E12" s="260"/>
      <c r="F12" s="260"/>
      <c r="G12" s="206"/>
      <c r="H12" s="206"/>
      <c r="I12" s="206"/>
      <c r="J12" s="206"/>
      <c r="K12" s="202"/>
      <c r="L12" s="202"/>
      <c r="M12" s="202"/>
      <c r="N12" s="202"/>
      <c r="O12" s="202"/>
      <c r="P12" s="202"/>
    </row>
    <row r="13" spans="1:16" ht="13.5" thickBot="1">
      <c r="A13" s="356" t="s">
        <v>381</v>
      </c>
      <c r="B13" s="435">
        <v>2005</v>
      </c>
      <c r="C13" s="255"/>
      <c r="D13" s="255"/>
      <c r="E13" s="261"/>
      <c r="F13" s="261"/>
      <c r="G13" s="207"/>
      <c r="H13" s="207"/>
      <c r="I13" s="207"/>
      <c r="J13" s="207"/>
      <c r="K13" s="202"/>
      <c r="L13" s="202"/>
      <c r="M13" s="202"/>
      <c r="N13" s="202"/>
      <c r="O13" s="202"/>
      <c r="P13" s="202"/>
    </row>
    <row r="14" spans="1:16" ht="13.5" thickBot="1">
      <c r="A14" s="356" t="s">
        <v>380</v>
      </c>
      <c r="B14" s="263"/>
      <c r="C14" s="365">
        <v>0.1312</v>
      </c>
      <c r="D14" s="365"/>
      <c r="E14" s="366">
        <v>0.1775</v>
      </c>
      <c r="F14" s="366">
        <v>0.2212</v>
      </c>
      <c r="G14" s="207"/>
      <c r="H14" s="207"/>
      <c r="I14" s="207"/>
      <c r="J14" s="207"/>
      <c r="K14" s="202"/>
      <c r="L14" s="202"/>
      <c r="M14" s="202"/>
      <c r="N14" s="202"/>
      <c r="O14" s="202"/>
      <c r="P14" s="202"/>
    </row>
    <row r="15" spans="1:16" ht="13.5" thickBot="1">
      <c r="A15" s="356" t="s">
        <v>36</v>
      </c>
      <c r="B15" s="263"/>
      <c r="C15" s="367">
        <v>0.055</v>
      </c>
      <c r="D15" s="367"/>
      <c r="E15" s="368">
        <v>0.0975</v>
      </c>
      <c r="F15" s="368">
        <v>0.14</v>
      </c>
      <c r="G15" s="207"/>
      <c r="H15" s="207"/>
      <c r="I15" s="207"/>
      <c r="J15" s="207"/>
      <c r="K15" s="202"/>
      <c r="L15" s="202"/>
      <c r="M15" s="202"/>
      <c r="N15" s="202"/>
      <c r="O15" s="202"/>
      <c r="P15" s="202"/>
    </row>
    <row r="16" spans="1:16" ht="13.5" thickBot="1">
      <c r="A16" s="356" t="s">
        <v>348</v>
      </c>
      <c r="B16" s="263"/>
      <c r="C16" s="369">
        <f>SUM(C14:C15)</f>
        <v>0.1862</v>
      </c>
      <c r="D16" s="369">
        <f>SUM(D14:D15)</f>
        <v>0</v>
      </c>
      <c r="E16" s="370">
        <f>SUM(E14:E15)</f>
        <v>0.275</v>
      </c>
      <c r="F16" s="370">
        <f>SUM(F14:F15)</f>
        <v>0.3612</v>
      </c>
      <c r="G16" s="207"/>
      <c r="H16" s="207"/>
      <c r="I16" s="207"/>
      <c r="J16" s="207"/>
      <c r="K16" s="202"/>
      <c r="L16" s="202"/>
      <c r="M16" s="202"/>
      <c r="N16" s="202"/>
      <c r="O16" s="202"/>
      <c r="P16" s="202"/>
    </row>
    <row r="17" spans="1:16" ht="13.5" thickBot="1">
      <c r="A17" s="356"/>
      <c r="B17" s="263"/>
      <c r="C17" s="365"/>
      <c r="D17" s="365"/>
      <c r="E17" s="366"/>
      <c r="F17" s="366"/>
      <c r="G17" s="207"/>
      <c r="H17" s="207"/>
      <c r="I17" s="207"/>
      <c r="J17" s="207"/>
      <c r="K17" s="202"/>
      <c r="L17" s="202"/>
      <c r="M17" s="202"/>
      <c r="N17" s="202"/>
      <c r="O17" s="202"/>
      <c r="P17" s="202"/>
    </row>
    <row r="18" spans="1:16" ht="13.5" thickBot="1">
      <c r="A18" s="355" t="s">
        <v>174</v>
      </c>
      <c r="B18" s="262"/>
      <c r="C18" s="371">
        <v>0.003</v>
      </c>
      <c r="D18" s="528" t="s">
        <v>507</v>
      </c>
      <c r="E18" s="529"/>
      <c r="F18" s="530"/>
      <c r="G18" s="207"/>
      <c r="H18" s="207"/>
      <c r="I18" s="207"/>
      <c r="J18" s="207"/>
      <c r="K18" s="202"/>
      <c r="L18" s="202"/>
      <c r="M18" s="202"/>
      <c r="N18" s="202"/>
      <c r="O18" s="202"/>
      <c r="P18" s="202"/>
    </row>
    <row r="19" spans="1:16" ht="13.5" thickBot="1">
      <c r="A19" s="355" t="s">
        <v>175</v>
      </c>
      <c r="B19" s="256"/>
      <c r="C19" s="372">
        <v>0.00175</v>
      </c>
      <c r="D19" s="528" t="s">
        <v>508</v>
      </c>
      <c r="E19" s="529"/>
      <c r="F19" s="530"/>
      <c r="G19" s="207"/>
      <c r="H19" s="207"/>
      <c r="I19" s="207"/>
      <c r="J19" s="207"/>
      <c r="K19" s="202"/>
      <c r="L19" s="202"/>
      <c r="M19" s="202"/>
      <c r="N19" s="202"/>
      <c r="O19" s="202"/>
      <c r="P19" s="202"/>
    </row>
    <row r="20" spans="1:16" ht="13.5" thickBot="1">
      <c r="A20" s="355" t="s">
        <v>178</v>
      </c>
      <c r="B20" s="256"/>
      <c r="C20" s="373">
        <v>0.0112</v>
      </c>
      <c r="D20" s="531" t="s">
        <v>509</v>
      </c>
      <c r="E20" s="529"/>
      <c r="F20" s="530"/>
      <c r="G20" s="206"/>
      <c r="H20" s="206"/>
      <c r="I20" s="206"/>
      <c r="J20" s="206"/>
      <c r="K20" s="202"/>
      <c r="L20" s="202"/>
      <c r="M20" s="202"/>
      <c r="N20" s="202"/>
      <c r="O20" s="202"/>
      <c r="P20" s="202"/>
    </row>
    <row r="21" spans="1:16" ht="26.25" thickBot="1">
      <c r="A21" s="357" t="s">
        <v>411</v>
      </c>
      <c r="B21" s="431" t="s">
        <v>461</v>
      </c>
      <c r="C21" s="392">
        <v>6195000</v>
      </c>
      <c r="D21" s="522" t="s">
        <v>510</v>
      </c>
      <c r="E21" s="523"/>
      <c r="F21" s="524"/>
      <c r="G21" s="206"/>
      <c r="H21" s="206"/>
      <c r="I21" s="206"/>
      <c r="J21" s="206"/>
      <c r="K21" s="202"/>
      <c r="L21" s="202"/>
      <c r="M21" s="202"/>
      <c r="N21" s="202"/>
      <c r="O21" s="202"/>
      <c r="P21" s="202"/>
    </row>
    <row r="22" spans="1:16" ht="39" thickBot="1">
      <c r="A22" s="357" t="s">
        <v>412</v>
      </c>
      <c r="B22" s="432" t="s">
        <v>393</v>
      </c>
      <c r="C22" s="393">
        <v>41300000</v>
      </c>
      <c r="D22" s="522" t="s">
        <v>511</v>
      </c>
      <c r="E22" s="523"/>
      <c r="F22" s="524"/>
      <c r="G22" s="206"/>
      <c r="H22" s="206"/>
      <c r="I22" s="206"/>
      <c r="J22" s="206"/>
      <c r="K22" s="202"/>
      <c r="L22" s="202"/>
      <c r="M22" s="202"/>
      <c r="N22" s="202"/>
      <c r="O22" s="202"/>
      <c r="P22" s="202"/>
    </row>
    <row r="23" spans="1:16" ht="12.75">
      <c r="A23" s="532" t="s">
        <v>463</v>
      </c>
      <c r="B23" s="533"/>
      <c r="C23" s="533"/>
      <c r="D23" s="533"/>
      <c r="E23" s="533"/>
      <c r="F23" s="533"/>
      <c r="G23" s="206"/>
      <c r="H23" s="206"/>
      <c r="I23" s="206"/>
      <c r="J23" s="206"/>
      <c r="K23" s="202"/>
      <c r="L23" s="202"/>
      <c r="M23" s="202"/>
      <c r="N23" s="202"/>
      <c r="O23" s="202"/>
      <c r="P23" s="202"/>
    </row>
    <row r="24" spans="1:16" ht="12.75">
      <c r="A24" s="437"/>
      <c r="B24" s="438"/>
      <c r="C24" s="438"/>
      <c r="D24" s="438"/>
      <c r="E24" s="438"/>
      <c r="F24" s="438"/>
      <c r="G24" s="206"/>
      <c r="H24" s="206"/>
      <c r="I24" s="206"/>
      <c r="J24" s="206"/>
      <c r="K24" s="202"/>
      <c r="L24" s="202"/>
      <c r="M24" s="202"/>
      <c r="N24" s="202"/>
      <c r="O24" s="202"/>
      <c r="P24" s="202"/>
    </row>
    <row r="25" spans="1:16" ht="12.75">
      <c r="A25" s="410"/>
      <c r="B25" s="411"/>
      <c r="C25" s="414"/>
      <c r="D25" s="380"/>
      <c r="E25" s="380"/>
      <c r="F25" s="436" t="s">
        <v>419</v>
      </c>
      <c r="G25" s="206"/>
      <c r="H25" s="206"/>
      <c r="I25" s="206"/>
      <c r="J25" s="206"/>
      <c r="K25" s="202"/>
      <c r="L25" s="202"/>
      <c r="M25" s="202"/>
      <c r="N25" s="202"/>
      <c r="O25" s="202"/>
      <c r="P25" s="202"/>
    </row>
    <row r="26" spans="1:16" ht="13.5" thickBot="1">
      <c r="A26" s="378" t="s">
        <v>456</v>
      </c>
      <c r="B26" s="377"/>
      <c r="C26" s="376"/>
      <c r="D26" s="411"/>
      <c r="E26" s="411"/>
      <c r="F26" s="415"/>
      <c r="G26" s="206"/>
      <c r="H26" s="206"/>
      <c r="I26" s="206"/>
      <c r="J26" s="206"/>
      <c r="K26" s="202"/>
      <c r="L26" s="202"/>
      <c r="M26" s="202"/>
      <c r="N26" s="202"/>
      <c r="O26" s="202"/>
      <c r="P26" s="202"/>
    </row>
    <row r="27" spans="1:16" ht="12.75">
      <c r="A27" s="353" t="s">
        <v>177</v>
      </c>
      <c r="B27" s="358"/>
      <c r="C27" s="403">
        <v>0</v>
      </c>
      <c r="D27" s="403">
        <v>300001</v>
      </c>
      <c r="E27" s="403">
        <v>400001</v>
      </c>
      <c r="F27" s="404"/>
      <c r="G27" s="206"/>
      <c r="H27" s="206"/>
      <c r="I27" s="206"/>
      <c r="J27" s="206"/>
      <c r="K27" s="202"/>
      <c r="L27" s="202"/>
      <c r="M27" s="202"/>
      <c r="N27" s="202"/>
      <c r="O27" s="202"/>
      <c r="P27" s="202"/>
    </row>
    <row r="28" spans="1:16" ht="12.75">
      <c r="A28" s="354" t="s">
        <v>457</v>
      </c>
      <c r="B28" s="361"/>
      <c r="C28" s="405" t="s">
        <v>176</v>
      </c>
      <c r="D28" s="405" t="s">
        <v>176</v>
      </c>
      <c r="E28" s="405" t="s">
        <v>176</v>
      </c>
      <c r="F28" s="406" t="s">
        <v>347</v>
      </c>
      <c r="G28" s="206"/>
      <c r="H28" s="206"/>
      <c r="I28" s="206"/>
      <c r="J28" s="206"/>
      <c r="K28" s="202"/>
      <c r="L28" s="202"/>
      <c r="M28" s="202"/>
      <c r="N28" s="202"/>
      <c r="O28" s="202"/>
      <c r="P28" s="202"/>
    </row>
    <row r="29" spans="1:16" ht="13.5" thickBot="1">
      <c r="A29" s="354"/>
      <c r="B29" s="361" t="s">
        <v>181</v>
      </c>
      <c r="C29" s="407">
        <v>300000</v>
      </c>
      <c r="D29" s="407">
        <v>400000</v>
      </c>
      <c r="E29" s="407">
        <v>1128000</v>
      </c>
      <c r="F29" s="408"/>
      <c r="G29" s="206"/>
      <c r="H29" s="206"/>
      <c r="I29" s="206"/>
      <c r="J29" s="206"/>
      <c r="K29" s="202"/>
      <c r="L29" s="202"/>
      <c r="M29" s="202"/>
      <c r="N29" s="202"/>
      <c r="O29" s="202"/>
      <c r="P29" s="202"/>
    </row>
    <row r="30" spans="1:16" ht="13.5" thickBot="1">
      <c r="A30" s="355" t="s">
        <v>173</v>
      </c>
      <c r="B30" s="253"/>
      <c r="C30" s="254"/>
      <c r="D30" s="254"/>
      <c r="E30" s="260"/>
      <c r="F30" s="260"/>
      <c r="G30" s="206"/>
      <c r="H30" s="206"/>
      <c r="I30" s="206"/>
      <c r="J30" s="206"/>
      <c r="K30" s="202"/>
      <c r="L30" s="202"/>
      <c r="M30" s="202"/>
      <c r="N30" s="202"/>
      <c r="O30" s="202"/>
      <c r="P30" s="202"/>
    </row>
    <row r="31" spans="1:16" ht="13.5" thickBot="1">
      <c r="A31" s="356" t="s">
        <v>180</v>
      </c>
      <c r="B31" s="435">
        <v>2005</v>
      </c>
      <c r="C31" s="255"/>
      <c r="D31" s="255"/>
      <c r="E31" s="261"/>
      <c r="F31" s="261"/>
      <c r="G31" s="206"/>
      <c r="H31" s="206"/>
      <c r="I31" s="206"/>
      <c r="J31" s="206"/>
      <c r="K31" s="202"/>
      <c r="L31" s="202"/>
      <c r="M31" s="202"/>
      <c r="N31" s="202"/>
      <c r="O31" s="202"/>
      <c r="P31" s="202"/>
    </row>
    <row r="32" spans="1:16" ht="13.5" thickBot="1">
      <c r="A32" s="356" t="s">
        <v>380</v>
      </c>
      <c r="B32" s="263"/>
      <c r="C32" s="365">
        <v>0.1312</v>
      </c>
      <c r="D32" s="365">
        <v>0.2212</v>
      </c>
      <c r="E32" s="366">
        <v>0.2212</v>
      </c>
      <c r="F32" s="366">
        <v>0.2212</v>
      </c>
      <c r="G32" s="206"/>
      <c r="H32" s="206"/>
      <c r="I32" s="206"/>
      <c r="J32" s="206"/>
      <c r="K32" s="202"/>
      <c r="L32" s="202"/>
      <c r="M32" s="202"/>
      <c r="N32" s="202"/>
      <c r="O32" s="202"/>
      <c r="P32" s="202"/>
    </row>
    <row r="33" spans="1:16" ht="13.5" thickBot="1">
      <c r="A33" s="356" t="s">
        <v>36</v>
      </c>
      <c r="B33" s="263"/>
      <c r="C33" s="367">
        <v>0.055</v>
      </c>
      <c r="D33" s="367">
        <v>0.055</v>
      </c>
      <c r="E33" s="368">
        <f>5.5%+4.25%</f>
        <v>0.0975</v>
      </c>
      <c r="F33" s="368">
        <v>0.14</v>
      </c>
      <c r="G33" s="206"/>
      <c r="H33" s="206"/>
      <c r="I33" s="206"/>
      <c r="J33" s="206"/>
      <c r="K33" s="202"/>
      <c r="L33" s="202"/>
      <c r="M33" s="202"/>
      <c r="N33" s="202"/>
      <c r="O33" s="202"/>
      <c r="P33" s="202"/>
    </row>
    <row r="34" spans="1:16" ht="13.5" thickBot="1">
      <c r="A34" s="356" t="s">
        <v>348</v>
      </c>
      <c r="B34" s="263"/>
      <c r="C34" s="369">
        <f>SUM(C32:C33)</f>
        <v>0.1862</v>
      </c>
      <c r="D34" s="369">
        <f>SUM(D32:D33)</f>
        <v>0.2762</v>
      </c>
      <c r="E34" s="370">
        <f>SUM(E32:E33)</f>
        <v>0.3187</v>
      </c>
      <c r="F34" s="370">
        <f>SUM(F32:F33)</f>
        <v>0.3612</v>
      </c>
      <c r="G34" s="206"/>
      <c r="H34" s="206"/>
      <c r="I34" s="206"/>
      <c r="J34" s="206"/>
      <c r="K34" s="202"/>
      <c r="L34" s="202"/>
      <c r="M34" s="202"/>
      <c r="N34" s="202"/>
      <c r="O34" s="202"/>
      <c r="P34" s="202"/>
    </row>
    <row r="35" spans="1:16" ht="13.5" thickBot="1">
      <c r="A35" s="356"/>
      <c r="B35" s="263"/>
      <c r="C35" s="365"/>
      <c r="D35" s="365"/>
      <c r="E35" s="366"/>
      <c r="F35" s="366"/>
      <c r="G35" s="206"/>
      <c r="H35" s="206"/>
      <c r="I35" s="206"/>
      <c r="J35" s="206"/>
      <c r="K35" s="202"/>
      <c r="L35" s="202"/>
      <c r="M35" s="202"/>
      <c r="N35" s="202"/>
      <c r="O35" s="202"/>
      <c r="P35" s="202"/>
    </row>
    <row r="36" spans="1:16" ht="13.5" thickBot="1">
      <c r="A36" s="355" t="s">
        <v>174</v>
      </c>
      <c r="B36" s="262"/>
      <c r="C36" s="371">
        <v>0.003</v>
      </c>
      <c r="D36" s="528" t="s">
        <v>502</v>
      </c>
      <c r="E36" s="529"/>
      <c r="F36" s="530"/>
      <c r="G36" s="206"/>
      <c r="H36" s="206"/>
      <c r="I36" s="206"/>
      <c r="J36" s="206"/>
      <c r="K36" s="202"/>
      <c r="L36" s="202"/>
      <c r="M36" s="202"/>
      <c r="N36" s="202"/>
      <c r="O36" s="202"/>
      <c r="P36" s="202"/>
    </row>
    <row r="37" spans="1:16" ht="13.5" thickBot="1">
      <c r="A37" s="355" t="s">
        <v>175</v>
      </c>
      <c r="B37" s="256"/>
      <c r="C37" s="372">
        <v>0.00175</v>
      </c>
      <c r="D37" s="528" t="s">
        <v>503</v>
      </c>
      <c r="E37" s="529"/>
      <c r="F37" s="530"/>
      <c r="G37" s="206"/>
      <c r="H37" s="206"/>
      <c r="I37" s="206"/>
      <c r="J37" s="206"/>
      <c r="K37" s="202"/>
      <c r="L37" s="202"/>
      <c r="M37" s="202"/>
      <c r="N37" s="202"/>
      <c r="O37" s="202"/>
      <c r="P37" s="202"/>
    </row>
    <row r="38" spans="1:16" ht="13.5" thickBot="1">
      <c r="A38" s="355" t="s">
        <v>178</v>
      </c>
      <c r="B38" s="256"/>
      <c r="C38" s="373">
        <v>0.0112</v>
      </c>
      <c r="D38" s="531" t="s">
        <v>504</v>
      </c>
      <c r="E38" s="529"/>
      <c r="F38" s="530"/>
      <c r="G38" s="206"/>
      <c r="H38" s="206"/>
      <c r="I38" s="206"/>
      <c r="J38" s="206"/>
      <c r="K38" s="202"/>
      <c r="L38" s="202"/>
      <c r="M38" s="202"/>
      <c r="N38" s="202"/>
      <c r="O38" s="202"/>
      <c r="P38" s="202"/>
    </row>
    <row r="39" spans="1:16" ht="26.25" thickBot="1">
      <c r="A39" s="357" t="s">
        <v>415</v>
      </c>
      <c r="B39" s="433" t="s">
        <v>459</v>
      </c>
      <c r="C39" s="392">
        <v>7500000</v>
      </c>
      <c r="D39" s="522" t="s">
        <v>505</v>
      </c>
      <c r="E39" s="523"/>
      <c r="F39" s="524"/>
      <c r="G39" s="206"/>
      <c r="H39" s="206"/>
      <c r="I39" s="206"/>
      <c r="J39" s="206"/>
      <c r="K39" s="202"/>
      <c r="L39" s="202"/>
      <c r="M39" s="202"/>
      <c r="N39" s="202"/>
      <c r="O39" s="202"/>
      <c r="P39" s="202"/>
    </row>
    <row r="40" spans="1:16" ht="39" thickBot="1">
      <c r="A40" s="357" t="s">
        <v>416</v>
      </c>
      <c r="B40" s="432" t="s">
        <v>393</v>
      </c>
      <c r="C40" s="393">
        <v>50000000</v>
      </c>
      <c r="D40" s="522" t="s">
        <v>506</v>
      </c>
      <c r="E40" s="523"/>
      <c r="F40" s="524"/>
      <c r="G40" s="206"/>
      <c r="H40" s="206"/>
      <c r="I40" s="206"/>
      <c r="J40" s="206"/>
      <c r="K40" s="202"/>
      <c r="L40" s="202"/>
      <c r="M40" s="202"/>
      <c r="N40" s="202"/>
      <c r="O40" s="202"/>
      <c r="P40" s="202"/>
    </row>
    <row r="41" spans="1:16" ht="12.75">
      <c r="A41" s="525" t="s">
        <v>414</v>
      </c>
      <c r="B41" s="526"/>
      <c r="C41" s="526"/>
      <c r="D41" s="526"/>
      <c r="E41" s="526"/>
      <c r="F41" s="526"/>
      <c r="G41" s="206"/>
      <c r="H41" s="206"/>
      <c r="I41" s="206"/>
      <c r="J41" s="206"/>
      <c r="K41" s="202"/>
      <c r="L41" s="202"/>
      <c r="M41" s="202"/>
      <c r="N41" s="202"/>
      <c r="O41" s="202"/>
      <c r="P41" s="202"/>
    </row>
    <row r="42" spans="1:16" ht="12.75">
      <c r="A42" s="527"/>
      <c r="B42" s="527"/>
      <c r="C42" s="527"/>
      <c r="D42" s="527"/>
      <c r="E42" s="527"/>
      <c r="F42" s="527"/>
      <c r="G42" s="206"/>
      <c r="H42" s="206"/>
      <c r="I42" s="206"/>
      <c r="J42" s="206"/>
      <c r="K42" s="202"/>
      <c r="L42" s="202"/>
      <c r="M42" s="202"/>
      <c r="N42" s="202"/>
      <c r="O42" s="202"/>
      <c r="P42" s="202"/>
    </row>
    <row r="43" spans="1:16" ht="12.75">
      <c r="A43" s="410"/>
      <c r="B43" s="411"/>
      <c r="C43" s="412"/>
      <c r="D43" s="411"/>
      <c r="E43" s="411"/>
      <c r="F43" s="436" t="s">
        <v>420</v>
      </c>
      <c r="G43" s="206"/>
      <c r="H43" s="206"/>
      <c r="I43" s="206"/>
      <c r="J43" s="206"/>
      <c r="K43" s="202"/>
      <c r="L43" s="202"/>
      <c r="M43" s="202"/>
      <c r="N43" s="202"/>
      <c r="O43" s="202"/>
      <c r="P43" s="202"/>
    </row>
    <row r="44" spans="1:16" ht="13.5" thickBot="1">
      <c r="A44" s="434" t="s">
        <v>458</v>
      </c>
      <c r="B44" s="394"/>
      <c r="C44" s="395"/>
      <c r="D44" s="394"/>
      <c r="E44" s="380"/>
      <c r="F44" s="413"/>
      <c r="G44" s="206"/>
      <c r="H44" s="206"/>
      <c r="I44" s="206"/>
      <c r="J44" s="206"/>
      <c r="K44" s="202"/>
      <c r="L44" s="202"/>
      <c r="M44" s="202"/>
      <c r="N44" s="202"/>
      <c r="O44" s="202"/>
      <c r="P44" s="202"/>
    </row>
    <row r="45" spans="1:16" ht="12.75">
      <c r="A45" s="353" t="s">
        <v>177</v>
      </c>
      <c r="B45" s="358"/>
      <c r="C45" s="396">
        <v>0</v>
      </c>
      <c r="D45" s="396">
        <v>300001</v>
      </c>
      <c r="E45" s="396">
        <v>400001</v>
      </c>
      <c r="F45" s="397"/>
      <c r="G45" s="208"/>
      <c r="H45" s="208"/>
      <c r="I45" s="208"/>
      <c r="J45" s="208"/>
      <c r="K45" s="202"/>
      <c r="L45" s="202"/>
      <c r="M45" s="202"/>
      <c r="N45" s="202"/>
      <c r="O45" s="202"/>
      <c r="P45" s="202"/>
    </row>
    <row r="46" spans="1:16" ht="12.75">
      <c r="A46" s="354"/>
      <c r="B46" s="361"/>
      <c r="C46" s="398" t="s">
        <v>176</v>
      </c>
      <c r="D46" s="398" t="s">
        <v>176</v>
      </c>
      <c r="E46" s="398" t="s">
        <v>176</v>
      </c>
      <c r="F46" s="399" t="s">
        <v>347</v>
      </c>
      <c r="G46" s="205"/>
      <c r="H46" s="205"/>
      <c r="I46" s="205"/>
      <c r="J46" s="205"/>
      <c r="K46" s="202"/>
      <c r="L46" s="203"/>
      <c r="M46" s="203"/>
      <c r="N46" s="203"/>
      <c r="O46" s="203"/>
      <c r="P46" s="203"/>
    </row>
    <row r="47" spans="1:16" ht="13.5" thickBot="1">
      <c r="A47" s="354"/>
      <c r="B47" s="379" t="s">
        <v>181</v>
      </c>
      <c r="C47" s="400">
        <v>300000</v>
      </c>
      <c r="D47" s="400">
        <v>400000</v>
      </c>
      <c r="E47" s="401">
        <v>1128000</v>
      </c>
      <c r="F47" s="402"/>
      <c r="G47" s="208"/>
      <c r="H47" s="208"/>
      <c r="I47" s="208"/>
      <c r="J47" s="208"/>
      <c r="K47" s="202"/>
      <c r="L47" s="203"/>
      <c r="M47" s="203"/>
      <c r="N47" s="203"/>
      <c r="O47" s="203"/>
      <c r="P47" s="203"/>
    </row>
    <row r="48" spans="1:16" ht="13.5" thickBot="1">
      <c r="A48" s="355" t="s">
        <v>173</v>
      </c>
      <c r="B48" s="253"/>
      <c r="C48" s="254"/>
      <c r="D48" s="254"/>
      <c r="E48" s="260"/>
      <c r="F48" s="260"/>
      <c r="G48" s="208"/>
      <c r="H48" s="208"/>
      <c r="I48" s="208"/>
      <c r="J48" s="208"/>
      <c r="K48" s="202"/>
      <c r="L48" s="203"/>
      <c r="M48" s="203"/>
      <c r="N48" s="203"/>
      <c r="O48" s="203"/>
      <c r="P48" s="203"/>
    </row>
    <row r="49" spans="1:16" ht="13.5" thickBot="1">
      <c r="A49" s="356" t="s">
        <v>180</v>
      </c>
      <c r="B49" s="435">
        <v>2005</v>
      </c>
      <c r="C49" s="255"/>
      <c r="D49" s="255"/>
      <c r="E49" s="261"/>
      <c r="F49" s="261"/>
      <c r="G49" s="208"/>
      <c r="H49" s="208"/>
      <c r="I49" s="208"/>
      <c r="J49" s="208"/>
      <c r="K49" s="202"/>
      <c r="L49" s="203"/>
      <c r="M49" s="203"/>
      <c r="N49" s="203"/>
      <c r="O49" s="203"/>
      <c r="P49" s="203"/>
    </row>
    <row r="50" spans="1:16" ht="13.5" thickBot="1">
      <c r="A50" s="356" t="s">
        <v>380</v>
      </c>
      <c r="B50" s="263"/>
      <c r="C50" s="481">
        <v>0.1312</v>
      </c>
      <c r="D50" s="481">
        <v>0.2212</v>
      </c>
      <c r="E50" s="482">
        <v>0.2212</v>
      </c>
      <c r="F50" s="482">
        <v>0.2212</v>
      </c>
      <c r="G50" s="208"/>
      <c r="H50" s="208"/>
      <c r="I50" s="208"/>
      <c r="J50" s="208"/>
      <c r="K50" s="202"/>
      <c r="L50" s="203"/>
      <c r="M50" s="203"/>
      <c r="N50" s="203"/>
      <c r="O50" s="203"/>
      <c r="P50" s="203"/>
    </row>
    <row r="51" spans="1:16" ht="13.5" thickBot="1">
      <c r="A51" s="356" t="s">
        <v>36</v>
      </c>
      <c r="B51" s="263"/>
      <c r="C51" s="483">
        <v>0.055</v>
      </c>
      <c r="D51" s="483">
        <v>0.055</v>
      </c>
      <c r="E51" s="484">
        <v>0.0975</v>
      </c>
      <c r="F51" s="484">
        <v>0.14</v>
      </c>
      <c r="G51" s="208"/>
      <c r="H51" s="208"/>
      <c r="I51" s="208"/>
      <c r="J51" s="208"/>
      <c r="K51" s="202"/>
      <c r="L51" s="203"/>
      <c r="M51" s="203"/>
      <c r="N51" s="203"/>
      <c r="O51" s="203"/>
      <c r="P51" s="203"/>
    </row>
    <row r="52" spans="1:16" ht="13.5" thickBot="1">
      <c r="A52" s="356" t="s">
        <v>348</v>
      </c>
      <c r="B52" s="263"/>
      <c r="C52" s="369">
        <f>SUM(C50:C51)</f>
        <v>0.1862</v>
      </c>
      <c r="D52" s="369">
        <f>SUM(D50:D51)</f>
        <v>0.2762</v>
      </c>
      <c r="E52" s="370">
        <f>SUM(E50:E51)</f>
        <v>0.3187</v>
      </c>
      <c r="F52" s="370">
        <f>SUM(F50:F51)</f>
        <v>0.3612</v>
      </c>
      <c r="G52" s="208"/>
      <c r="H52" s="208"/>
      <c r="I52" s="208"/>
      <c r="J52" s="208"/>
      <c r="K52" s="202"/>
      <c r="L52" s="203"/>
      <c r="M52" s="203"/>
      <c r="N52" s="203"/>
      <c r="O52" s="203"/>
      <c r="P52" s="203"/>
    </row>
    <row r="53" spans="1:16" ht="13.5" thickBot="1">
      <c r="A53" s="356"/>
      <c r="B53" s="263"/>
      <c r="C53" s="365"/>
      <c r="D53" s="365"/>
      <c r="E53" s="366"/>
      <c r="F53" s="366"/>
      <c r="G53" s="208"/>
      <c r="H53" s="208"/>
      <c r="I53" s="208"/>
      <c r="J53" s="208"/>
      <c r="K53" s="202"/>
      <c r="L53" s="203"/>
      <c r="M53" s="203"/>
      <c r="N53" s="203"/>
      <c r="O53" s="203"/>
      <c r="P53" s="203"/>
    </row>
    <row r="54" spans="1:16" ht="13.5" thickBot="1">
      <c r="A54" s="355" t="s">
        <v>174</v>
      </c>
      <c r="B54" s="262"/>
      <c r="C54" s="389">
        <v>0.003</v>
      </c>
      <c r="D54" s="528" t="s">
        <v>499</v>
      </c>
      <c r="E54" s="529"/>
      <c r="F54" s="530"/>
      <c r="G54" s="208"/>
      <c r="H54" s="208"/>
      <c r="I54" s="208"/>
      <c r="J54" s="208"/>
      <c r="K54" s="202"/>
      <c r="L54" s="203"/>
      <c r="M54" s="203"/>
      <c r="N54" s="203"/>
      <c r="O54" s="203"/>
      <c r="P54" s="203"/>
    </row>
    <row r="55" spans="1:16" ht="13.5" thickBot="1">
      <c r="A55" s="355" t="s">
        <v>175</v>
      </c>
      <c r="B55" s="256"/>
      <c r="C55" s="390">
        <v>0.00175</v>
      </c>
      <c r="D55" s="528" t="s">
        <v>500</v>
      </c>
      <c r="E55" s="529"/>
      <c r="F55" s="530"/>
      <c r="G55" s="208"/>
      <c r="H55" s="208"/>
      <c r="I55" s="208"/>
      <c r="J55" s="208"/>
      <c r="K55" s="202"/>
      <c r="L55" s="203"/>
      <c r="M55" s="203"/>
      <c r="N55" s="203"/>
      <c r="O55" s="203"/>
      <c r="P55" s="203"/>
    </row>
    <row r="56" spans="1:16" ht="13.5" thickBot="1">
      <c r="A56" s="355" t="s">
        <v>178</v>
      </c>
      <c r="B56" s="256"/>
      <c r="C56" s="391"/>
      <c r="D56" s="531" t="s">
        <v>501</v>
      </c>
      <c r="E56" s="529"/>
      <c r="F56" s="530"/>
      <c r="G56" s="208"/>
      <c r="H56" s="208"/>
      <c r="I56" s="208"/>
      <c r="J56" s="208"/>
      <c r="K56" s="202"/>
      <c r="L56" s="203"/>
      <c r="M56" s="203"/>
      <c r="N56" s="203"/>
      <c r="O56" s="203"/>
      <c r="P56" s="203"/>
    </row>
    <row r="57" spans="1:16" ht="26.25" thickBot="1">
      <c r="A57" s="357" t="s">
        <v>427</v>
      </c>
      <c r="B57" s="433" t="s">
        <v>459</v>
      </c>
      <c r="C57" s="392">
        <v>7500000</v>
      </c>
      <c r="D57" s="522" t="s">
        <v>497</v>
      </c>
      <c r="E57" s="523"/>
      <c r="F57" s="524"/>
      <c r="G57" s="208"/>
      <c r="H57" s="208"/>
      <c r="I57" s="208"/>
      <c r="J57" s="208"/>
      <c r="K57" s="202"/>
      <c r="L57" s="203"/>
      <c r="M57" s="203"/>
      <c r="N57" s="203"/>
      <c r="O57" s="203"/>
      <c r="P57" s="203"/>
    </row>
    <row r="58" spans="1:16" ht="39" thickBot="1">
      <c r="A58" s="357" t="s">
        <v>428</v>
      </c>
      <c r="B58" s="432" t="s">
        <v>393</v>
      </c>
      <c r="C58" s="393">
        <v>50000000</v>
      </c>
      <c r="D58" s="522" t="s">
        <v>498</v>
      </c>
      <c r="E58" s="523"/>
      <c r="F58" s="524"/>
      <c r="G58" s="208"/>
      <c r="H58" s="208"/>
      <c r="I58" s="208"/>
      <c r="J58" s="208"/>
      <c r="K58" s="202"/>
      <c r="L58" s="203"/>
      <c r="M58" s="203"/>
      <c r="N58" s="203"/>
      <c r="O58" s="203"/>
      <c r="P58" s="203"/>
    </row>
    <row r="59" spans="1:16" ht="12.75">
      <c r="A59" s="532" t="s">
        <v>530</v>
      </c>
      <c r="B59" s="534"/>
      <c r="C59" s="534"/>
      <c r="D59" s="534"/>
      <c r="E59" s="534"/>
      <c r="F59" s="534"/>
      <c r="G59" s="206"/>
      <c r="H59" s="206"/>
      <c r="I59" s="206"/>
      <c r="J59" s="206"/>
      <c r="K59" s="202"/>
      <c r="L59" s="202"/>
      <c r="M59" s="202"/>
      <c r="N59" s="202"/>
      <c r="O59" s="202"/>
      <c r="P59" s="202"/>
    </row>
    <row r="60" spans="1:16" ht="12.75">
      <c r="A60" s="535"/>
      <c r="B60" s="535"/>
      <c r="C60" s="535"/>
      <c r="D60" s="535"/>
      <c r="E60" s="535"/>
      <c r="F60" s="535"/>
      <c r="G60" s="208"/>
      <c r="H60" s="208"/>
      <c r="I60" s="208"/>
      <c r="J60" s="208"/>
      <c r="K60" s="202"/>
      <c r="L60" s="202"/>
      <c r="M60" s="202"/>
      <c r="N60" s="202"/>
      <c r="O60" s="202"/>
      <c r="P60" s="202"/>
    </row>
    <row r="61" spans="1:16" ht="12.75">
      <c r="A61" s="381"/>
      <c r="B61" s="382"/>
      <c r="C61" s="382"/>
      <c r="D61" s="382"/>
      <c r="E61" s="382"/>
      <c r="F61" s="384"/>
      <c r="G61" s="205"/>
      <c r="H61" s="205"/>
      <c r="I61" s="205"/>
      <c r="J61" s="205"/>
      <c r="K61" s="202"/>
      <c r="L61" s="202"/>
      <c r="M61" s="202"/>
      <c r="N61" s="202"/>
      <c r="O61" s="202"/>
      <c r="P61" s="202"/>
    </row>
    <row r="62" spans="1:16" ht="12.75">
      <c r="A62" s="381"/>
      <c r="B62" s="382"/>
      <c r="C62" s="383"/>
      <c r="D62" s="383"/>
      <c r="E62" s="383"/>
      <c r="F62" s="385"/>
      <c r="G62" s="208"/>
      <c r="H62" s="208"/>
      <c r="I62" s="208"/>
      <c r="J62" s="208"/>
      <c r="K62" s="202"/>
      <c r="L62" s="202"/>
      <c r="M62" s="202"/>
      <c r="N62" s="202"/>
      <c r="O62" s="202"/>
      <c r="P62" s="202"/>
    </row>
    <row r="63" spans="1:16" ht="12.75">
      <c r="A63" s="381"/>
      <c r="B63" s="380"/>
      <c r="C63" s="380"/>
      <c r="D63" s="380"/>
      <c r="E63" s="380"/>
      <c r="F63" s="380"/>
      <c r="G63" s="206"/>
      <c r="H63" s="206"/>
      <c r="I63" s="206"/>
      <c r="J63" s="206"/>
      <c r="K63" s="202"/>
      <c r="L63" s="202"/>
      <c r="M63" s="202"/>
      <c r="N63" s="202"/>
      <c r="O63" s="202"/>
      <c r="P63" s="202"/>
    </row>
    <row r="64" spans="1:16" ht="64.5" customHeight="1">
      <c r="A64" s="386"/>
      <c r="B64" s="387"/>
      <c r="C64" s="388"/>
      <c r="D64" s="388"/>
      <c r="E64" s="388"/>
      <c r="F64" s="388"/>
      <c r="G64" s="207"/>
      <c r="H64" s="207"/>
      <c r="I64" s="207"/>
      <c r="J64" s="207"/>
      <c r="K64" s="202"/>
      <c r="L64" s="202"/>
      <c r="M64" s="202"/>
      <c r="N64" s="202"/>
      <c r="O64" s="202"/>
      <c r="P64" s="202"/>
    </row>
    <row r="65" spans="1:16" ht="3.75" customHeight="1">
      <c r="A65" s="209"/>
      <c r="B65" s="210"/>
      <c r="C65" s="210"/>
      <c r="D65" s="210"/>
      <c r="E65" s="210"/>
      <c r="F65" s="210"/>
      <c r="G65" s="206"/>
      <c r="H65" s="206"/>
      <c r="I65" s="206"/>
      <c r="J65" s="206"/>
      <c r="K65" s="202"/>
      <c r="L65" s="202"/>
      <c r="M65" s="202"/>
      <c r="N65" s="202"/>
      <c r="O65" s="202"/>
      <c r="P65" s="202"/>
    </row>
    <row r="66" spans="1:16" ht="12.75">
      <c r="A66" s="202"/>
      <c r="B66" s="258"/>
      <c r="C66" s="258"/>
      <c r="D66" s="258"/>
      <c r="E66" s="258"/>
      <c r="F66" s="258"/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ht="12.75">
      <c r="A67" s="202"/>
      <c r="B67" s="258"/>
      <c r="C67" s="258"/>
      <c r="D67" s="258"/>
      <c r="E67" s="258"/>
      <c r="F67" s="258"/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6" ht="12.75">
      <c r="A68" s="202"/>
      <c r="B68" s="258"/>
      <c r="C68" s="258"/>
      <c r="D68" s="258"/>
      <c r="E68" s="258"/>
      <c r="F68" s="258"/>
      <c r="G68" s="202"/>
      <c r="H68" s="202"/>
      <c r="I68" s="202"/>
      <c r="J68" s="202"/>
      <c r="K68" s="202"/>
      <c r="L68" s="202"/>
      <c r="M68" s="202"/>
      <c r="N68" s="202"/>
      <c r="O68" s="202"/>
      <c r="P68" s="202"/>
    </row>
    <row r="69" spans="1:16" ht="12.75">
      <c r="A69" s="202"/>
      <c r="B69" s="258"/>
      <c r="C69" s="258"/>
      <c r="D69" s="258"/>
      <c r="E69" s="258"/>
      <c r="F69" s="258"/>
      <c r="G69" s="202"/>
      <c r="H69" s="202"/>
      <c r="I69" s="202"/>
      <c r="J69" s="202"/>
      <c r="K69" s="202"/>
      <c r="L69" s="202"/>
      <c r="M69" s="202"/>
      <c r="N69" s="202"/>
      <c r="O69" s="202"/>
      <c r="P69" s="202"/>
    </row>
    <row r="70" spans="1:16" ht="12.75">
      <c r="A70" s="202"/>
      <c r="B70" s="258"/>
      <c r="C70" s="258"/>
      <c r="D70" s="258"/>
      <c r="E70" s="258"/>
      <c r="F70" s="258"/>
      <c r="G70" s="202"/>
      <c r="H70" s="202"/>
      <c r="I70" s="202"/>
      <c r="J70" s="202"/>
      <c r="K70" s="202"/>
      <c r="L70" s="202"/>
      <c r="M70" s="202"/>
      <c r="N70" s="202"/>
      <c r="O70" s="202"/>
      <c r="P70" s="202"/>
    </row>
    <row r="71" spans="1:16" ht="12.75">
      <c r="A71" s="202"/>
      <c r="B71" s="258"/>
      <c r="C71" s="258"/>
      <c r="D71" s="258"/>
      <c r="E71" s="258"/>
      <c r="F71" s="258"/>
      <c r="G71" s="202"/>
      <c r="H71" s="202"/>
      <c r="I71" s="202"/>
      <c r="J71" s="202"/>
      <c r="K71" s="202"/>
      <c r="L71" s="202"/>
      <c r="M71" s="202"/>
      <c r="N71" s="202"/>
      <c r="O71" s="202"/>
      <c r="P71" s="202"/>
    </row>
    <row r="72" spans="1:16" ht="12.75">
      <c r="A72" s="202"/>
      <c r="B72" s="258"/>
      <c r="C72" s="258"/>
      <c r="D72" s="258"/>
      <c r="E72" s="258"/>
      <c r="F72" s="258"/>
      <c r="G72" s="202"/>
      <c r="H72" s="202"/>
      <c r="I72" s="202"/>
      <c r="J72" s="202"/>
      <c r="K72" s="202"/>
      <c r="L72" s="202"/>
      <c r="M72" s="202"/>
      <c r="N72" s="202"/>
      <c r="O72" s="202"/>
      <c r="P72" s="202"/>
    </row>
    <row r="73" spans="1:16" ht="12.75">
      <c r="A73" s="202"/>
      <c r="B73" s="258"/>
      <c r="C73" s="258"/>
      <c r="D73" s="258"/>
      <c r="E73" s="258"/>
      <c r="F73" s="258"/>
      <c r="G73" s="202"/>
      <c r="H73" s="202"/>
      <c r="I73" s="202"/>
      <c r="J73" s="202"/>
      <c r="K73" s="202"/>
      <c r="L73" s="202"/>
      <c r="M73" s="202"/>
      <c r="N73" s="202"/>
      <c r="O73" s="202"/>
      <c r="P73" s="202"/>
    </row>
    <row r="74" spans="1:16" ht="12.75">
      <c r="A74" s="202"/>
      <c r="B74" s="258"/>
      <c r="C74" s="258"/>
      <c r="D74" s="258"/>
      <c r="E74" s="258"/>
      <c r="F74" s="258"/>
      <c r="G74" s="202"/>
      <c r="H74" s="202"/>
      <c r="I74" s="202"/>
      <c r="J74" s="202"/>
      <c r="K74" s="202"/>
      <c r="L74" s="202"/>
      <c r="M74" s="202"/>
      <c r="N74" s="202"/>
      <c r="O74" s="202"/>
      <c r="P74" s="202"/>
    </row>
    <row r="75" spans="1:16" ht="12.75">
      <c r="A75" s="202"/>
      <c r="B75" s="258"/>
      <c r="C75" s="258"/>
      <c r="D75" s="258"/>
      <c r="E75" s="258"/>
      <c r="F75" s="258"/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1:16" ht="12.75">
      <c r="A76" s="202"/>
      <c r="B76" s="258"/>
      <c r="C76" s="258"/>
      <c r="D76" s="258"/>
      <c r="E76" s="258"/>
      <c r="F76" s="258"/>
      <c r="G76" s="202"/>
      <c r="H76" s="202"/>
      <c r="I76" s="202"/>
      <c r="J76" s="202"/>
      <c r="K76" s="202"/>
      <c r="L76" s="202"/>
      <c r="M76" s="202"/>
      <c r="N76" s="202"/>
      <c r="O76" s="202"/>
      <c r="P76" s="202"/>
    </row>
    <row r="77" spans="1:16" ht="12.75">
      <c r="A77" s="202"/>
      <c r="B77" s="258"/>
      <c r="C77" s="258"/>
      <c r="D77" s="258"/>
      <c r="E77" s="258"/>
      <c r="F77" s="258"/>
      <c r="G77" s="202"/>
      <c r="H77" s="202"/>
      <c r="I77" s="202"/>
      <c r="J77" s="202"/>
      <c r="K77" s="202"/>
      <c r="L77" s="202"/>
      <c r="M77" s="202"/>
      <c r="N77" s="202"/>
      <c r="O77" s="202"/>
      <c r="P77" s="202"/>
    </row>
    <row r="78" spans="1:16" ht="12.75">
      <c r="A78" s="202"/>
      <c r="B78" s="258"/>
      <c r="C78" s="258"/>
      <c r="D78" s="258"/>
      <c r="E78" s="258"/>
      <c r="F78" s="258"/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  <row r="79" spans="1:16" ht="12.75">
      <c r="A79" s="202"/>
      <c r="B79" s="258"/>
      <c r="C79" s="258"/>
      <c r="D79" s="258"/>
      <c r="E79" s="258"/>
      <c r="F79" s="258"/>
      <c r="G79" s="202"/>
      <c r="H79" s="202"/>
      <c r="I79" s="202"/>
      <c r="J79" s="202"/>
      <c r="K79" s="202"/>
      <c r="L79" s="202"/>
      <c r="M79" s="202"/>
      <c r="N79" s="202"/>
      <c r="O79" s="202"/>
      <c r="P79" s="202"/>
    </row>
    <row r="80" spans="1:16" ht="12.75">
      <c r="A80" s="202"/>
      <c r="B80" s="258"/>
      <c r="C80" s="258"/>
      <c r="D80" s="258"/>
      <c r="E80" s="258"/>
      <c r="F80" s="258"/>
      <c r="G80" s="202"/>
      <c r="H80" s="202"/>
      <c r="I80" s="202"/>
      <c r="J80" s="202"/>
      <c r="K80" s="202"/>
      <c r="L80" s="202"/>
      <c r="M80" s="202"/>
      <c r="N80" s="202"/>
      <c r="O80" s="202"/>
      <c r="P80" s="202"/>
    </row>
    <row r="81" spans="1:16" ht="12.75">
      <c r="A81" s="202"/>
      <c r="B81" s="258"/>
      <c r="C81" s="258"/>
      <c r="D81" s="258"/>
      <c r="E81" s="258"/>
      <c r="F81" s="258"/>
      <c r="G81" s="202"/>
      <c r="H81" s="202"/>
      <c r="I81" s="202"/>
      <c r="J81" s="202"/>
      <c r="K81" s="202"/>
      <c r="L81" s="202"/>
      <c r="M81" s="202"/>
      <c r="N81" s="202"/>
      <c r="O81" s="202"/>
      <c r="P81" s="202"/>
    </row>
    <row r="82" spans="1:16" ht="12.75">
      <c r="A82" s="202"/>
      <c r="B82" s="258"/>
      <c r="C82" s="258"/>
      <c r="D82" s="258"/>
      <c r="E82" s="258"/>
      <c r="F82" s="258"/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16" ht="12.75">
      <c r="A83" s="202"/>
      <c r="B83" s="258"/>
      <c r="C83" s="258"/>
      <c r="D83" s="258"/>
      <c r="E83" s="258"/>
      <c r="F83" s="258"/>
      <c r="G83" s="202"/>
      <c r="H83" s="202"/>
      <c r="I83" s="202"/>
      <c r="J83" s="202"/>
      <c r="K83" s="202"/>
      <c r="L83" s="202"/>
      <c r="M83" s="202"/>
      <c r="N83" s="202"/>
      <c r="O83" s="202"/>
      <c r="P83" s="202"/>
    </row>
    <row r="84" spans="1:16" ht="12.75">
      <c r="A84" s="202"/>
      <c r="B84" s="258"/>
      <c r="C84" s="258"/>
      <c r="D84" s="258"/>
      <c r="E84" s="258"/>
      <c r="F84" s="258"/>
      <c r="G84" s="202"/>
      <c r="H84" s="202"/>
      <c r="I84" s="202"/>
      <c r="J84" s="202"/>
      <c r="K84" s="202"/>
      <c r="L84" s="202"/>
      <c r="M84" s="202"/>
      <c r="N84" s="202"/>
      <c r="O84" s="202"/>
      <c r="P84" s="202"/>
    </row>
    <row r="85" spans="1:16" ht="12.75">
      <c r="A85" s="202"/>
      <c r="B85" s="258"/>
      <c r="C85" s="258"/>
      <c r="D85" s="258"/>
      <c r="E85" s="258"/>
      <c r="F85" s="258"/>
      <c r="G85" s="202"/>
      <c r="H85" s="202"/>
      <c r="I85" s="202"/>
      <c r="J85" s="202"/>
      <c r="K85" s="202"/>
      <c r="L85" s="202"/>
      <c r="M85" s="202"/>
      <c r="N85" s="202"/>
      <c r="O85" s="202"/>
      <c r="P85" s="202"/>
    </row>
    <row r="86" spans="1:16" ht="12.75">
      <c r="A86" s="202"/>
      <c r="B86" s="258"/>
      <c r="C86" s="258"/>
      <c r="D86" s="258"/>
      <c r="E86" s="258"/>
      <c r="F86" s="258"/>
      <c r="G86" s="202"/>
      <c r="H86" s="202"/>
      <c r="I86" s="202"/>
      <c r="J86" s="202"/>
      <c r="K86" s="202"/>
      <c r="L86" s="202"/>
      <c r="M86" s="202"/>
      <c r="N86" s="202"/>
      <c r="O86" s="202"/>
      <c r="P86" s="202"/>
    </row>
    <row r="87" spans="1:16" ht="12.75">
      <c r="A87" s="202"/>
      <c r="B87" s="258"/>
      <c r="C87" s="258"/>
      <c r="D87" s="258"/>
      <c r="E87" s="258"/>
      <c r="F87" s="258"/>
      <c r="G87" s="202"/>
      <c r="H87" s="202"/>
      <c r="I87" s="202"/>
      <c r="J87" s="202"/>
      <c r="K87" s="202"/>
      <c r="L87" s="202"/>
      <c r="M87" s="202"/>
      <c r="N87" s="202"/>
      <c r="O87" s="202"/>
      <c r="P87" s="202"/>
    </row>
    <row r="88" spans="1:16" ht="12.75">
      <c r="A88" s="202"/>
      <c r="B88" s="258"/>
      <c r="C88" s="258"/>
      <c r="D88" s="258"/>
      <c r="E88" s="258"/>
      <c r="F88" s="258"/>
      <c r="G88" s="202"/>
      <c r="H88" s="202"/>
      <c r="I88" s="202"/>
      <c r="J88" s="202"/>
      <c r="K88" s="202"/>
      <c r="L88" s="202"/>
      <c r="M88" s="202"/>
      <c r="N88" s="202"/>
      <c r="O88" s="202"/>
      <c r="P88" s="202"/>
    </row>
    <row r="89" spans="1:16" ht="12.75">
      <c r="A89" s="202"/>
      <c r="B89" s="258"/>
      <c r="C89" s="258"/>
      <c r="D89" s="258"/>
      <c r="E89" s="258"/>
      <c r="F89" s="258"/>
      <c r="G89" s="202"/>
      <c r="H89" s="202"/>
      <c r="I89" s="202"/>
      <c r="J89" s="202"/>
      <c r="K89" s="202"/>
      <c r="L89" s="202"/>
      <c r="M89" s="202"/>
      <c r="N89" s="202"/>
      <c r="O89" s="202"/>
      <c r="P89" s="202"/>
    </row>
    <row r="90" spans="1:16" ht="12.75">
      <c r="A90" s="202"/>
      <c r="B90" s="258"/>
      <c r="C90" s="258"/>
      <c r="D90" s="258"/>
      <c r="E90" s="258"/>
      <c r="F90" s="258"/>
      <c r="G90" s="202"/>
      <c r="H90" s="202"/>
      <c r="I90" s="202"/>
      <c r="J90" s="202"/>
      <c r="K90" s="202"/>
      <c r="L90" s="202"/>
      <c r="M90" s="202"/>
      <c r="N90" s="202"/>
      <c r="O90" s="202"/>
      <c r="P90" s="202"/>
    </row>
    <row r="91" spans="1:16" ht="12.75">
      <c r="A91" s="202"/>
      <c r="B91" s="258"/>
      <c r="C91" s="258"/>
      <c r="D91" s="258"/>
      <c r="E91" s="258"/>
      <c r="F91" s="258"/>
      <c r="G91" s="202"/>
      <c r="H91" s="202"/>
      <c r="I91" s="202"/>
      <c r="J91" s="202"/>
      <c r="K91" s="202"/>
      <c r="L91" s="202"/>
      <c r="M91" s="202"/>
      <c r="N91" s="202"/>
      <c r="O91" s="202"/>
      <c r="P91" s="202"/>
    </row>
    <row r="92" spans="1:16" ht="12.75">
      <c r="A92" s="202"/>
      <c r="B92" s="258"/>
      <c r="C92" s="258"/>
      <c r="D92" s="258"/>
      <c r="E92" s="258"/>
      <c r="F92" s="258"/>
      <c r="G92" s="202"/>
      <c r="H92" s="202"/>
      <c r="I92" s="202"/>
      <c r="J92" s="202"/>
      <c r="K92" s="202"/>
      <c r="L92" s="202"/>
      <c r="M92" s="202"/>
      <c r="N92" s="202"/>
      <c r="O92" s="202"/>
      <c r="P92" s="202"/>
    </row>
    <row r="93" spans="1:16" ht="12.75">
      <c r="A93" s="202"/>
      <c r="B93" s="258"/>
      <c r="C93" s="258"/>
      <c r="D93" s="258"/>
      <c r="E93" s="258"/>
      <c r="F93" s="258"/>
      <c r="G93" s="202"/>
      <c r="H93" s="202"/>
      <c r="I93" s="202"/>
      <c r="J93" s="202"/>
      <c r="K93" s="202"/>
      <c r="L93" s="202"/>
      <c r="M93" s="202"/>
      <c r="N93" s="202"/>
      <c r="O93" s="202"/>
      <c r="P93" s="202"/>
    </row>
    <row r="94" spans="1:16" ht="12.75">
      <c r="A94" s="202"/>
      <c r="B94" s="258"/>
      <c r="C94" s="258"/>
      <c r="D94" s="258"/>
      <c r="E94" s="258"/>
      <c r="F94" s="258"/>
      <c r="G94" s="202"/>
      <c r="H94" s="202"/>
      <c r="I94" s="202"/>
      <c r="J94" s="202"/>
      <c r="K94" s="202"/>
      <c r="L94" s="202"/>
      <c r="M94" s="202"/>
      <c r="N94" s="202"/>
      <c r="O94" s="202"/>
      <c r="P94" s="202"/>
    </row>
    <row r="95" spans="1:16" ht="12.75">
      <c r="A95" s="202"/>
      <c r="B95" s="258"/>
      <c r="C95" s="258"/>
      <c r="D95" s="258"/>
      <c r="E95" s="258"/>
      <c r="F95" s="258"/>
      <c r="G95" s="202"/>
      <c r="H95" s="202"/>
      <c r="I95" s="202"/>
      <c r="J95" s="202"/>
      <c r="K95" s="202"/>
      <c r="L95" s="202"/>
      <c r="M95" s="202"/>
      <c r="N95" s="202"/>
      <c r="O95" s="202"/>
      <c r="P95" s="202"/>
    </row>
    <row r="96" spans="1:16" ht="12.75">
      <c r="A96" s="202"/>
      <c r="B96" s="258"/>
      <c r="C96" s="258"/>
      <c r="D96" s="258"/>
      <c r="E96" s="258"/>
      <c r="F96" s="258"/>
      <c r="G96" s="202"/>
      <c r="H96" s="202"/>
      <c r="I96" s="202"/>
      <c r="J96" s="202"/>
      <c r="K96" s="202"/>
      <c r="L96" s="202"/>
      <c r="M96" s="202"/>
      <c r="N96" s="202"/>
      <c r="O96" s="202"/>
      <c r="P96" s="202"/>
    </row>
    <row r="97" spans="1:16" ht="12.75">
      <c r="A97" s="202"/>
      <c r="B97" s="258"/>
      <c r="C97" s="258"/>
      <c r="D97" s="258"/>
      <c r="E97" s="258"/>
      <c r="F97" s="258"/>
      <c r="G97" s="202"/>
      <c r="H97" s="202"/>
      <c r="I97" s="202"/>
      <c r="J97" s="202"/>
      <c r="K97" s="202"/>
      <c r="L97" s="202"/>
      <c r="M97" s="202"/>
      <c r="N97" s="202"/>
      <c r="O97" s="202"/>
      <c r="P97" s="202"/>
    </row>
    <row r="98" spans="1:6" ht="12.75">
      <c r="A98" s="202"/>
      <c r="B98" s="258"/>
      <c r="C98" s="258"/>
      <c r="D98" s="258"/>
      <c r="E98" s="258"/>
      <c r="F98" s="258"/>
    </row>
  </sheetData>
  <sheetProtection/>
  <mergeCells count="20"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</mergeCells>
  <printOptions/>
  <pageMargins left="0.75" right="0.25" top="0.18" bottom="0.25" header="0.5" footer="0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63.8515625" style="67" bestFit="1" customWidth="1"/>
    <col min="2" max="2" width="9.140625" style="67" customWidth="1"/>
    <col min="3" max="5" width="13.7109375" style="67" customWidth="1"/>
    <col min="6" max="16384" width="9.140625" style="67" customWidth="1"/>
  </cols>
  <sheetData>
    <row r="1" spans="1:6" ht="12.75">
      <c r="A1" s="485" t="s">
        <v>564</v>
      </c>
      <c r="B1" s="486"/>
      <c r="C1" s="486"/>
      <c r="D1" s="486"/>
      <c r="E1" s="486"/>
      <c r="F1" s="486"/>
    </row>
    <row r="2" spans="1:6" ht="12.75">
      <c r="A2" s="487" t="s">
        <v>565</v>
      </c>
      <c r="B2" s="486"/>
      <c r="C2" s="486"/>
      <c r="D2" s="486"/>
      <c r="E2" s="488"/>
      <c r="F2" s="486"/>
    </row>
    <row r="3" spans="1:6" ht="15.75">
      <c r="A3" s="489" t="s">
        <v>566</v>
      </c>
      <c r="B3" s="490" t="s">
        <v>51</v>
      </c>
      <c r="C3" s="490" t="s">
        <v>30</v>
      </c>
      <c r="D3" s="490" t="s">
        <v>7</v>
      </c>
      <c r="E3" s="491" t="s">
        <v>8</v>
      </c>
      <c r="F3" s="490"/>
    </row>
    <row r="4" spans="1:6" ht="18">
      <c r="A4" s="492" t="s">
        <v>567</v>
      </c>
      <c r="B4" s="490"/>
      <c r="C4" s="490" t="s">
        <v>110</v>
      </c>
      <c r="D4" s="490" t="s">
        <v>47</v>
      </c>
      <c r="E4" s="491" t="s">
        <v>10</v>
      </c>
      <c r="F4" s="490"/>
    </row>
    <row r="5" spans="1:6" ht="12.75">
      <c r="A5" s="493" t="s">
        <v>48</v>
      </c>
      <c r="B5" s="490"/>
      <c r="C5" s="490" t="s">
        <v>10</v>
      </c>
      <c r="D5" s="490"/>
      <c r="E5" s="491" t="s">
        <v>9</v>
      </c>
      <c r="F5" s="490"/>
    </row>
    <row r="6" spans="1:6" ht="12.75">
      <c r="A6" s="487">
        <v>0</v>
      </c>
      <c r="B6" s="490"/>
      <c r="C6" s="490" t="s">
        <v>9</v>
      </c>
      <c r="D6" s="490"/>
      <c r="E6" s="490"/>
      <c r="F6" s="490"/>
    </row>
    <row r="7" spans="1:6" ht="12.75">
      <c r="A7" s="494" t="s">
        <v>568</v>
      </c>
      <c r="B7" s="490"/>
      <c r="C7" s="490"/>
      <c r="D7" s="490"/>
      <c r="E7" s="491" t="s">
        <v>569</v>
      </c>
      <c r="F7" s="490"/>
    </row>
    <row r="8" spans="1:6" ht="12.75">
      <c r="A8" s="486"/>
      <c r="B8" s="486"/>
      <c r="C8" s="486"/>
      <c r="D8" s="486"/>
      <c r="E8" s="486"/>
      <c r="F8" s="495"/>
    </row>
    <row r="9" spans="1:6" ht="12.75">
      <c r="A9" s="486"/>
      <c r="B9" s="495"/>
      <c r="C9" s="496"/>
      <c r="D9" s="496"/>
      <c r="E9" s="496"/>
      <c r="F9" s="495"/>
    </row>
    <row r="10" spans="1:6" ht="12.75">
      <c r="A10" s="494" t="s">
        <v>570</v>
      </c>
      <c r="B10" s="495"/>
      <c r="C10" s="496"/>
      <c r="D10" s="496"/>
      <c r="E10" s="496"/>
      <c r="F10" s="495"/>
    </row>
    <row r="11" spans="1:6" ht="12.75">
      <c r="A11" s="487" t="s">
        <v>187</v>
      </c>
      <c r="B11" s="495"/>
      <c r="C11" s="497">
        <v>365</v>
      </c>
      <c r="D11" s="498"/>
      <c r="E11" s="496"/>
      <c r="F11" s="495"/>
    </row>
    <row r="12" spans="1:6" ht="13.5" thickBot="1">
      <c r="A12" s="487"/>
      <c r="B12" s="495"/>
      <c r="C12" s="499"/>
      <c r="D12" s="496"/>
      <c r="E12" s="496"/>
      <c r="F12" s="495"/>
    </row>
    <row r="13" spans="1:6" ht="13.5" thickTop="1">
      <c r="A13" s="500"/>
      <c r="B13" s="501"/>
      <c r="C13" s="502"/>
      <c r="D13" s="502"/>
      <c r="E13" s="502"/>
      <c r="F13" s="495"/>
    </row>
    <row r="14" spans="1:6" ht="12.75">
      <c r="A14" s="487"/>
      <c r="B14" s="495"/>
      <c r="C14" s="503"/>
      <c r="D14" s="496"/>
      <c r="E14" s="496"/>
      <c r="F14" s="495"/>
    </row>
    <row r="15" spans="1:6" ht="12.75">
      <c r="A15" s="504" t="s">
        <v>244</v>
      </c>
      <c r="B15" s="495"/>
      <c r="C15" s="496"/>
      <c r="D15" s="496"/>
      <c r="E15" s="505"/>
      <c r="F15" s="490"/>
    </row>
    <row r="16" spans="1:6" ht="12.75">
      <c r="A16" s="487" t="s">
        <v>188</v>
      </c>
      <c r="B16" s="495"/>
      <c r="C16" s="496"/>
      <c r="D16" s="496"/>
      <c r="E16" s="505"/>
      <c r="F16" s="490"/>
    </row>
    <row r="18" spans="1:6" ht="12.75">
      <c r="A18" s="506" t="s">
        <v>198</v>
      </c>
      <c r="B18" s="486" t="s">
        <v>258</v>
      </c>
      <c r="C18" s="507"/>
      <c r="D18" s="507"/>
      <c r="E18" s="508">
        <f>+C18-D18</f>
        <v>0</v>
      </c>
      <c r="F18" s="486"/>
    </row>
    <row r="19" spans="1:6" ht="12.75">
      <c r="A19" s="486" t="s">
        <v>571</v>
      </c>
      <c r="B19" s="486" t="s">
        <v>258</v>
      </c>
      <c r="C19" s="507"/>
      <c r="D19" s="507"/>
      <c r="E19" s="508">
        <f aca="true" t="shared" si="0" ref="E19:E44">+C19-D19</f>
        <v>0</v>
      </c>
      <c r="F19" s="486"/>
    </row>
    <row r="20" spans="1:6" ht="12.75">
      <c r="A20" s="486" t="s">
        <v>572</v>
      </c>
      <c r="B20" s="486" t="s">
        <v>258</v>
      </c>
      <c r="C20" s="507"/>
      <c r="D20" s="507"/>
      <c r="E20" s="508">
        <f t="shared" si="0"/>
        <v>0</v>
      </c>
      <c r="F20" s="486"/>
    </row>
    <row r="21" spans="1:6" ht="12.75">
      <c r="A21" s="506" t="s">
        <v>573</v>
      </c>
      <c r="B21" s="486" t="s">
        <v>258</v>
      </c>
      <c r="C21" s="507"/>
      <c r="D21" s="509"/>
      <c r="E21" s="508">
        <f t="shared" si="0"/>
        <v>0</v>
      </c>
      <c r="F21" s="486"/>
    </row>
    <row r="22" spans="1:6" ht="12.75">
      <c r="A22" s="506" t="s">
        <v>574</v>
      </c>
      <c r="B22" s="486" t="s">
        <v>258</v>
      </c>
      <c r="C22" s="507"/>
      <c r="D22" s="507"/>
      <c r="E22" s="508">
        <f t="shared" si="0"/>
        <v>0</v>
      </c>
      <c r="F22" s="486"/>
    </row>
    <row r="23" spans="1:6" ht="12.75">
      <c r="A23" s="506" t="s">
        <v>575</v>
      </c>
      <c r="B23" s="486" t="s">
        <v>258</v>
      </c>
      <c r="C23" s="507"/>
      <c r="D23" s="507"/>
      <c r="E23" s="508">
        <f t="shared" si="0"/>
        <v>0</v>
      </c>
      <c r="F23" s="486"/>
    </row>
    <row r="24" spans="1:6" ht="12.75">
      <c r="A24" s="506" t="s">
        <v>190</v>
      </c>
      <c r="B24" s="486" t="s">
        <v>258</v>
      </c>
      <c r="C24" s="507"/>
      <c r="D24" s="507"/>
      <c r="E24" s="508">
        <f t="shared" si="0"/>
        <v>0</v>
      </c>
      <c r="F24" s="486"/>
    </row>
    <row r="25" spans="1:6" ht="12.75">
      <c r="A25" s="506" t="s">
        <v>199</v>
      </c>
      <c r="B25" s="486" t="s">
        <v>258</v>
      </c>
      <c r="C25" s="507"/>
      <c r="D25" s="507"/>
      <c r="E25" s="508">
        <f t="shared" si="0"/>
        <v>0</v>
      </c>
      <c r="F25" s="486"/>
    </row>
    <row r="26" spans="1:6" ht="12.75">
      <c r="A26" s="506" t="s">
        <v>576</v>
      </c>
      <c r="B26" s="486" t="s">
        <v>258</v>
      </c>
      <c r="C26" s="507"/>
      <c r="D26" s="507"/>
      <c r="E26" s="508">
        <f t="shared" si="0"/>
        <v>0</v>
      </c>
      <c r="F26" s="486"/>
    </row>
    <row r="27" spans="1:6" ht="12.75">
      <c r="A27" s="506" t="s">
        <v>577</v>
      </c>
      <c r="B27" s="486" t="s">
        <v>258</v>
      </c>
      <c r="C27" s="507"/>
      <c r="D27" s="507"/>
      <c r="E27" s="508">
        <f t="shared" si="0"/>
        <v>0</v>
      </c>
      <c r="F27" s="486"/>
    </row>
    <row r="28" spans="1:6" ht="12.75">
      <c r="A28" s="506" t="s">
        <v>202</v>
      </c>
      <c r="B28" s="486" t="s">
        <v>258</v>
      </c>
      <c r="C28" s="507"/>
      <c r="D28" s="507"/>
      <c r="E28" s="508">
        <f t="shared" si="0"/>
        <v>0</v>
      </c>
      <c r="F28" s="486"/>
    </row>
    <row r="29" spans="1:6" ht="12.75">
      <c r="A29" s="506" t="s">
        <v>578</v>
      </c>
      <c r="B29" s="486" t="s">
        <v>258</v>
      </c>
      <c r="C29" s="507"/>
      <c r="D29" s="507"/>
      <c r="E29" s="508">
        <f t="shared" si="0"/>
        <v>0</v>
      </c>
      <c r="F29" s="486"/>
    </row>
    <row r="30" spans="1:6" ht="12.75">
      <c r="A30" s="506" t="s">
        <v>278</v>
      </c>
      <c r="B30" s="486" t="s">
        <v>258</v>
      </c>
      <c r="C30" s="507"/>
      <c r="D30" s="507"/>
      <c r="E30" s="508">
        <f t="shared" si="0"/>
        <v>0</v>
      </c>
      <c r="F30" s="486"/>
    </row>
    <row r="31" spans="1:6" ht="12.75">
      <c r="A31" s="506" t="s">
        <v>579</v>
      </c>
      <c r="B31" s="486" t="s">
        <v>258</v>
      </c>
      <c r="C31" s="507">
        <f>+TAXREC!C77</f>
        <v>5748</v>
      </c>
      <c r="D31" s="507"/>
      <c r="E31" s="508">
        <f t="shared" si="0"/>
        <v>5748</v>
      </c>
      <c r="F31" s="486"/>
    </row>
    <row r="32" spans="1:5" ht="12.75">
      <c r="A32" s="506" t="s">
        <v>580</v>
      </c>
      <c r="B32" s="486" t="s">
        <v>258</v>
      </c>
      <c r="C32" s="507"/>
      <c r="D32" s="507"/>
      <c r="E32" s="508">
        <f t="shared" si="0"/>
        <v>0</v>
      </c>
    </row>
    <row r="33" spans="1:5" ht="12.75">
      <c r="A33" s="506" t="s">
        <v>581</v>
      </c>
      <c r="B33" s="486" t="s">
        <v>258</v>
      </c>
      <c r="C33" s="507"/>
      <c r="D33" s="507"/>
      <c r="E33" s="508">
        <f t="shared" si="0"/>
        <v>0</v>
      </c>
    </row>
    <row r="34" spans="1:5" ht="12.75">
      <c r="A34" s="510" t="s">
        <v>582</v>
      </c>
      <c r="B34" s="486"/>
      <c r="C34" s="507"/>
      <c r="D34" s="507"/>
      <c r="E34" s="508">
        <f t="shared" si="0"/>
        <v>0</v>
      </c>
    </row>
    <row r="35" spans="1:5" ht="12.75">
      <c r="A35" s="506" t="s">
        <v>583</v>
      </c>
      <c r="B35" s="486"/>
      <c r="C35" s="507"/>
      <c r="D35" s="507"/>
      <c r="E35" s="508">
        <f t="shared" si="0"/>
        <v>0</v>
      </c>
    </row>
    <row r="36" spans="1:5" ht="12.75">
      <c r="A36" s="506" t="s">
        <v>584</v>
      </c>
      <c r="B36" s="486"/>
      <c r="C36" s="507"/>
      <c r="D36" s="507"/>
      <c r="E36" s="508">
        <f t="shared" si="0"/>
        <v>0</v>
      </c>
    </row>
    <row r="37" spans="1:5" ht="12.75">
      <c r="A37" s="506" t="s">
        <v>585</v>
      </c>
      <c r="B37" s="486"/>
      <c r="C37" s="507"/>
      <c r="D37" s="507"/>
      <c r="E37" s="508">
        <f t="shared" si="0"/>
        <v>0</v>
      </c>
    </row>
    <row r="38" spans="1:5" ht="12.75">
      <c r="A38" s="486"/>
      <c r="B38" s="486" t="s">
        <v>258</v>
      </c>
      <c r="C38" s="507"/>
      <c r="D38" s="507"/>
      <c r="E38" s="508">
        <f t="shared" si="0"/>
        <v>0</v>
      </c>
    </row>
    <row r="39" spans="1:5" ht="12.75">
      <c r="A39" s="510" t="s">
        <v>586</v>
      </c>
      <c r="B39" s="486" t="s">
        <v>258</v>
      </c>
      <c r="C39" s="507"/>
      <c r="D39" s="507"/>
      <c r="E39" s="508">
        <f t="shared" si="0"/>
        <v>0</v>
      </c>
    </row>
    <row r="40" spans="1:5" ht="12.75">
      <c r="A40" s="510" t="s">
        <v>587</v>
      </c>
      <c r="B40" s="486" t="s">
        <v>258</v>
      </c>
      <c r="C40" s="507">
        <f>+TAXREC!C68</f>
        <v>10074133</v>
      </c>
      <c r="D40" s="507"/>
      <c r="E40" s="508">
        <f t="shared" si="0"/>
        <v>10074133</v>
      </c>
    </row>
    <row r="41" spans="1:5" ht="12.75">
      <c r="A41" s="486"/>
      <c r="B41" s="486" t="s">
        <v>258</v>
      </c>
      <c r="C41" s="507"/>
      <c r="D41" s="507"/>
      <c r="E41" s="508">
        <f t="shared" si="0"/>
        <v>0</v>
      </c>
    </row>
    <row r="42" spans="1:5" ht="12.75">
      <c r="A42" s="511" t="s">
        <v>290</v>
      </c>
      <c r="B42" s="486" t="s">
        <v>258</v>
      </c>
      <c r="C42" s="507"/>
      <c r="D42" s="507"/>
      <c r="E42" s="508">
        <f t="shared" si="0"/>
        <v>0</v>
      </c>
    </row>
    <row r="43" spans="1:5" ht="12.75">
      <c r="A43" s="506" t="s">
        <v>588</v>
      </c>
      <c r="B43" s="486" t="s">
        <v>258</v>
      </c>
      <c r="C43" s="512">
        <f>+TAXREC!C81</f>
        <v>-1342</v>
      </c>
      <c r="D43" s="512"/>
      <c r="E43" s="508">
        <f t="shared" si="0"/>
        <v>-1342</v>
      </c>
    </row>
    <row r="44" spans="1:5" ht="12.75">
      <c r="A44" s="486"/>
      <c r="B44" s="486" t="s">
        <v>258</v>
      </c>
      <c r="C44" s="512"/>
      <c r="D44" s="512"/>
      <c r="E44" s="508">
        <f t="shared" si="0"/>
        <v>0</v>
      </c>
    </row>
    <row r="45" spans="1:5" ht="12.75">
      <c r="A45" s="506"/>
      <c r="B45" s="486" t="s">
        <v>258</v>
      </c>
      <c r="C45" s="512"/>
      <c r="D45" s="512"/>
      <c r="E45" s="513"/>
    </row>
    <row r="46" spans="1:5" ht="12.75">
      <c r="A46" s="514" t="s">
        <v>589</v>
      </c>
      <c r="B46" s="486" t="s">
        <v>261</v>
      </c>
      <c r="C46" s="515">
        <f>SUM(C18:C45)</f>
        <v>10078539</v>
      </c>
      <c r="D46" s="515">
        <f>SUM(D18:D45)</f>
        <v>0</v>
      </c>
      <c r="E46" s="515">
        <f>SUM(E18:E45)</f>
        <v>10078539</v>
      </c>
    </row>
    <row r="47" spans="1:5" ht="12.75">
      <c r="A47" s="506"/>
      <c r="B47" s="486"/>
      <c r="C47" s="486"/>
      <c r="D47" s="486"/>
      <c r="E47" s="486"/>
    </row>
    <row r="48" spans="1:5" ht="12.75">
      <c r="A48" s="510" t="s">
        <v>213</v>
      </c>
      <c r="B48" s="486"/>
      <c r="C48" s="486"/>
      <c r="D48" s="486"/>
      <c r="E48" s="486"/>
    </row>
    <row r="50" spans="1:5" ht="12.75">
      <c r="A50" s="516" t="s">
        <v>571</v>
      </c>
      <c r="B50" s="490" t="s">
        <v>259</v>
      </c>
      <c r="C50" s="512"/>
      <c r="D50" s="512"/>
      <c r="E50" s="508">
        <f aca="true" t="shared" si="1" ref="E50:E71">+C50-D50</f>
        <v>0</v>
      </c>
    </row>
    <row r="51" spans="1:5" ht="12.75">
      <c r="A51" s="506" t="s">
        <v>572</v>
      </c>
      <c r="B51" s="490" t="s">
        <v>259</v>
      </c>
      <c r="C51" s="512">
        <f>+TAXREC!C101</f>
        <v>72665</v>
      </c>
      <c r="D51" s="512"/>
      <c r="E51" s="508">
        <f t="shared" si="1"/>
        <v>72665</v>
      </c>
    </row>
    <row r="52" spans="1:5" ht="12.75">
      <c r="A52" s="486" t="s">
        <v>578</v>
      </c>
      <c r="B52" s="490" t="s">
        <v>259</v>
      </c>
      <c r="C52" s="512"/>
      <c r="D52" s="512"/>
      <c r="E52" s="508">
        <f t="shared" si="1"/>
        <v>0</v>
      </c>
    </row>
    <row r="53" spans="1:5" ht="12.75">
      <c r="A53" s="486" t="s">
        <v>590</v>
      </c>
      <c r="B53" s="490" t="s">
        <v>259</v>
      </c>
      <c r="C53" s="512"/>
      <c r="D53" s="512"/>
      <c r="E53" s="508">
        <f t="shared" si="1"/>
        <v>0</v>
      </c>
    </row>
    <row r="54" spans="1:5" ht="12.75">
      <c r="A54" s="506" t="s">
        <v>591</v>
      </c>
      <c r="B54" s="490" t="s">
        <v>259</v>
      </c>
      <c r="C54" s="512"/>
      <c r="D54" s="512"/>
      <c r="E54" s="508">
        <f t="shared" si="1"/>
        <v>0</v>
      </c>
    </row>
    <row r="55" spans="1:5" ht="12.75">
      <c r="A55" s="506" t="s">
        <v>592</v>
      </c>
      <c r="B55" s="490" t="s">
        <v>259</v>
      </c>
      <c r="C55" s="512"/>
      <c r="D55" s="512"/>
      <c r="E55" s="508">
        <f t="shared" si="1"/>
        <v>0</v>
      </c>
    </row>
    <row r="56" spans="1:5" ht="12.75">
      <c r="A56" s="487" t="s">
        <v>593</v>
      </c>
      <c r="B56" s="490" t="s">
        <v>259</v>
      </c>
      <c r="C56" s="512"/>
      <c r="D56" s="512"/>
      <c r="E56" s="508">
        <f t="shared" si="1"/>
        <v>0</v>
      </c>
    </row>
    <row r="57" spans="1:5" ht="12.75">
      <c r="A57" s="506" t="s">
        <v>588</v>
      </c>
      <c r="B57" s="490" t="s">
        <v>259</v>
      </c>
      <c r="C57" s="512"/>
      <c r="D57" s="512"/>
      <c r="E57" s="508">
        <f t="shared" si="1"/>
        <v>0</v>
      </c>
    </row>
    <row r="58" spans="1:5" ht="12.75">
      <c r="A58" s="506"/>
      <c r="B58" s="490" t="s">
        <v>259</v>
      </c>
      <c r="C58" s="512"/>
      <c r="D58" s="512"/>
      <c r="E58" s="508">
        <f t="shared" si="1"/>
        <v>0</v>
      </c>
    </row>
    <row r="59" spans="1:5" ht="12.75">
      <c r="A59" s="486"/>
      <c r="B59" s="490" t="s">
        <v>259</v>
      </c>
      <c r="C59" s="512"/>
      <c r="D59" s="512"/>
      <c r="E59" s="508">
        <f t="shared" si="1"/>
        <v>0</v>
      </c>
    </row>
    <row r="60" spans="1:5" ht="12.75">
      <c r="A60" s="486"/>
      <c r="B60" s="490" t="s">
        <v>259</v>
      </c>
      <c r="C60" s="512"/>
      <c r="D60" s="512"/>
      <c r="E60" s="508">
        <f t="shared" si="1"/>
        <v>0</v>
      </c>
    </row>
    <row r="61" spans="1:5" ht="12.75">
      <c r="A61" s="486"/>
      <c r="B61" s="490" t="s">
        <v>259</v>
      </c>
      <c r="C61" s="512"/>
      <c r="D61" s="512"/>
      <c r="E61" s="508">
        <f t="shared" si="1"/>
        <v>0</v>
      </c>
    </row>
    <row r="62" spans="1:5" ht="12.75">
      <c r="A62" s="486"/>
      <c r="B62" s="490" t="s">
        <v>259</v>
      </c>
      <c r="C62" s="512"/>
      <c r="D62" s="512"/>
      <c r="E62" s="508">
        <f t="shared" si="1"/>
        <v>0</v>
      </c>
    </row>
    <row r="63" spans="1:5" ht="12.75">
      <c r="A63" s="517" t="s">
        <v>594</v>
      </c>
      <c r="B63" s="490" t="s">
        <v>259</v>
      </c>
      <c r="C63" s="512"/>
      <c r="D63" s="512"/>
      <c r="E63" s="508">
        <f t="shared" si="1"/>
        <v>0</v>
      </c>
    </row>
    <row r="64" spans="1:5" ht="12.75">
      <c r="A64" s="486"/>
      <c r="B64" s="490" t="s">
        <v>259</v>
      </c>
      <c r="C64" s="512"/>
      <c r="D64" s="512"/>
      <c r="E64" s="508">
        <f t="shared" si="1"/>
        <v>0</v>
      </c>
    </row>
    <row r="65" spans="1:5" ht="12.75">
      <c r="A65" s="517" t="s">
        <v>587</v>
      </c>
      <c r="B65" s="490" t="s">
        <v>259</v>
      </c>
      <c r="C65" s="512">
        <f>+TAXREC!C107</f>
        <v>9893847</v>
      </c>
      <c r="D65" s="512"/>
      <c r="E65" s="508">
        <f t="shared" si="1"/>
        <v>9893847</v>
      </c>
    </row>
    <row r="66" spans="1:5" ht="12.75">
      <c r="A66" s="506"/>
      <c r="B66" s="490" t="s">
        <v>259</v>
      </c>
      <c r="C66" s="512"/>
      <c r="D66" s="512"/>
      <c r="E66" s="508">
        <f t="shared" si="1"/>
        <v>0</v>
      </c>
    </row>
    <row r="67" spans="1:5" ht="12.75">
      <c r="A67" s="511" t="s">
        <v>291</v>
      </c>
      <c r="B67" s="490" t="s">
        <v>259</v>
      </c>
      <c r="C67" s="512"/>
      <c r="D67" s="512"/>
      <c r="E67" s="508">
        <f t="shared" si="1"/>
        <v>0</v>
      </c>
    </row>
    <row r="68" spans="1:5" ht="12.75">
      <c r="A68" s="506"/>
      <c r="B68" s="490" t="s">
        <v>259</v>
      </c>
      <c r="C68" s="512"/>
      <c r="D68" s="512"/>
      <c r="E68" s="508">
        <f t="shared" si="1"/>
        <v>0</v>
      </c>
    </row>
    <row r="69" spans="1:5" ht="12.75">
      <c r="A69" s="506"/>
      <c r="B69" s="490" t="s">
        <v>259</v>
      </c>
      <c r="C69" s="512"/>
      <c r="D69" s="512"/>
      <c r="E69" s="508">
        <f t="shared" si="1"/>
        <v>0</v>
      </c>
    </row>
    <row r="70" spans="1:5" ht="12.75">
      <c r="A70" s="506"/>
      <c r="B70" s="490" t="s">
        <v>259</v>
      </c>
      <c r="C70" s="512"/>
      <c r="D70" s="512"/>
      <c r="E70" s="508">
        <f t="shared" si="1"/>
        <v>0</v>
      </c>
    </row>
    <row r="71" spans="1:5" ht="12.75">
      <c r="A71" s="506"/>
      <c r="B71" s="490" t="s">
        <v>259</v>
      </c>
      <c r="C71" s="512"/>
      <c r="D71" s="512"/>
      <c r="E71" s="508">
        <f t="shared" si="1"/>
        <v>0</v>
      </c>
    </row>
    <row r="72" spans="1:5" ht="12.75">
      <c r="A72" s="518" t="s">
        <v>595</v>
      </c>
      <c r="B72" s="490" t="s">
        <v>261</v>
      </c>
      <c r="C72" s="515">
        <f>SUM(C50:C71)</f>
        <v>9966512</v>
      </c>
      <c r="D72" s="515">
        <f>SUM(D50:D71)</f>
        <v>0</v>
      </c>
      <c r="E72" s="515">
        <f>SUM(E50:E71)</f>
        <v>9966512</v>
      </c>
    </row>
    <row r="73" spans="1:5" ht="12.75">
      <c r="A73" s="506"/>
      <c r="B73" s="486"/>
      <c r="C73" s="486"/>
      <c r="D73" s="486"/>
      <c r="E73" s="486"/>
    </row>
    <row r="74" spans="1:5" ht="12.75">
      <c r="A74" s="493"/>
      <c r="B74" s="486"/>
      <c r="C74" s="486"/>
      <c r="D74" s="486"/>
      <c r="E74" s="486"/>
    </row>
    <row r="75" spans="1:5" ht="12.75">
      <c r="A75" s="493"/>
      <c r="B75" s="486"/>
      <c r="C75" s="486"/>
      <c r="D75" s="486"/>
      <c r="E75" s="486"/>
    </row>
    <row r="76" spans="1:5" ht="12.75">
      <c r="A76" s="493"/>
      <c r="B76" s="486"/>
      <c r="C76" s="486"/>
      <c r="D76" s="486"/>
      <c r="E76" s="486"/>
    </row>
    <row r="77" spans="1:5" ht="12.75">
      <c r="A77" s="493"/>
      <c r="B77" s="486"/>
      <c r="C77" s="486"/>
      <c r="D77" s="486"/>
      <c r="E77" s="486"/>
    </row>
    <row r="78" spans="1:5" ht="12.75">
      <c r="A78" s="493"/>
      <c r="B78" s="486"/>
      <c r="C78" s="486"/>
      <c r="D78" s="486"/>
      <c r="E78" s="486"/>
    </row>
    <row r="79" spans="1:5" ht="12.75">
      <c r="A79" s="493"/>
      <c r="B79" s="486"/>
      <c r="C79" s="486"/>
      <c r="D79" s="486"/>
      <c r="E79" s="486"/>
    </row>
    <row r="80" ht="12.75">
      <c r="A80" s="493"/>
    </row>
    <row r="81" ht="12.75">
      <c r="A81" s="493"/>
    </row>
    <row r="82" ht="12.75">
      <c r="A82" s="493"/>
    </row>
    <row r="83" ht="12.75">
      <c r="A83" s="493"/>
    </row>
    <row r="84" ht="12.75">
      <c r="A84" s="493"/>
    </row>
    <row r="85" ht="12.75">
      <c r="A85" s="493"/>
    </row>
    <row r="86" ht="12.75">
      <c r="A86" s="493"/>
    </row>
    <row r="87" ht="12.75">
      <c r="A87" s="493"/>
    </row>
    <row r="88" ht="12.75">
      <c r="A88" s="493"/>
    </row>
    <row r="89" ht="12.75">
      <c r="A89" s="493"/>
    </row>
    <row r="90" ht="12.75">
      <c r="A90" s="493"/>
    </row>
    <row r="91" ht="12.75">
      <c r="A91" s="4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Kim Mitchell</cp:lastModifiedBy>
  <cp:lastPrinted>2012-01-19T17:16:41Z</cp:lastPrinted>
  <dcterms:created xsi:type="dcterms:W3CDTF">2001-11-07T16:15:53Z</dcterms:created>
  <dcterms:modified xsi:type="dcterms:W3CDTF">2012-01-19T17:34:26Z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