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Account 1562 - Revised SIMPI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Jackie Scott</author>
  </authors>
  <commentList>
    <comment ref="G141" authorId="0">
      <text>
        <r>
          <rPr>
            <b/>
            <sz val="9"/>
            <rFont val="Tahoma"/>
            <family val="2"/>
          </rPr>
          <t>Jackie Scott:</t>
        </r>
        <r>
          <rPr>
            <sz val="9"/>
            <rFont val="Tahoma"/>
            <family val="2"/>
          </rPr>
          <t xml:space="preserve">
Includes ALL rate recoveries/adjustments booked for the remainder of 2006 plus all of 2007, 2008.</t>
        </r>
      </text>
    </comment>
  </commentList>
</comments>
</file>

<file path=xl/sharedStrings.xml><?xml version="1.0" encoding="utf-8"?>
<sst xmlns="http://schemas.openxmlformats.org/spreadsheetml/2006/main" count="271" uniqueCount="35">
  <si>
    <t>Opening Balance</t>
  </si>
  <si>
    <t>Rate Recoveries</t>
  </si>
  <si>
    <t>PRINICIPAL</t>
  </si>
  <si>
    <t>INTEREST</t>
  </si>
  <si>
    <t>Carrying Charges</t>
  </si>
  <si>
    <t>Closing Balalnce</t>
  </si>
  <si>
    <t>Additions / Adjustments</t>
  </si>
  <si>
    <t>Closing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</si>
  <si>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</si>
  <si>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</si>
  <si>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</si>
  <si>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</si>
  <si>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</si>
  <si>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</si>
  <si>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</si>
  <si>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</si>
  <si>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</si>
  <si>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</si>
  <si>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</si>
  <si>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</si>
  <si>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</si>
  <si>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2002 Proxy (Jan. to Dec.)</t>
  </si>
  <si>
    <t>2001 Deferred (Jan. to Dec.)</t>
  </si>
  <si>
    <t>2001 Deferred (Oct. to Dec.)</t>
  </si>
  <si>
    <t>2002 SIMPIL Model True-Ups</t>
  </si>
  <si>
    <t>2001 Deferred (Jan. to Mar.)</t>
  </si>
  <si>
    <t>2003 SIMPIL Model True-Ups</t>
  </si>
  <si>
    <t>2004 Proxy (Jan. to Dec.)</t>
  </si>
  <si>
    <t>2003 Proxy (Jan. to Dec.)</t>
  </si>
  <si>
    <t>2002 Proxy (Jan. to Mar.)</t>
  </si>
  <si>
    <t>2005 Proxy (Apr. to Dec.)</t>
  </si>
  <si>
    <t>2004 SIMPIL Model True-Ups</t>
  </si>
  <si>
    <t>2005 Proxy (Jan. to Apr.)</t>
  </si>
  <si>
    <t>2005 SIMPIL Model True-Ups</t>
  </si>
  <si>
    <t>Projected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</si>
</sst>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\(#,##0\)"/>
    <numFmt numFmtId="173" formatCode="_-&quot;$&quot;* #,##0_-;\-&quot;$&quot;* #,##0_-;_-&quot;$&quot;* &quot;-&quot;??_-;_-@_-"/>
    <numFmt numFmtId="174" formatCode="&quot;$&quot;#,##0;\(&quot;$&quot;#,##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172" fontId="42" fillId="0" borderId="0" xfId="0" applyNumberFormat="1" applyFont="1" applyAlignment="1">
      <alignment/>
    </xf>
    <xf numFmtId="10" fontId="44" fillId="0" borderId="0" xfId="57" applyNumberFormat="1" applyFont="1" applyAlignment="1">
      <alignment/>
    </xf>
    <xf numFmtId="10" fontId="45" fillId="0" borderId="0" xfId="57" applyNumberFormat="1" applyFont="1" applyAlignment="1">
      <alignment horizontal="right"/>
    </xf>
    <xf numFmtId="0" fontId="46" fillId="2" borderId="0" xfId="0" applyFont="1" applyFill="1" applyAlignment="1">
      <alignment horizontal="left"/>
    </xf>
    <xf numFmtId="0" fontId="43" fillId="2" borderId="0" xfId="0" applyNumberFormat="1" applyFont="1" applyFill="1" applyAlignment="1">
      <alignment horizontal="center"/>
    </xf>
    <xf numFmtId="0" fontId="42" fillId="2" borderId="0" xfId="0" applyFont="1" applyFill="1" applyAlignment="1">
      <alignment/>
    </xf>
    <xf numFmtId="172" fontId="43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2" fillId="3" borderId="0" xfId="0" applyFont="1" applyFill="1" applyAlignment="1">
      <alignment/>
    </xf>
    <xf numFmtId="0" fontId="43" fillId="3" borderId="0" xfId="0" applyNumberFormat="1" applyFont="1" applyFill="1" applyAlignment="1">
      <alignment horizontal="center"/>
    </xf>
    <xf numFmtId="172" fontId="43" fillId="3" borderId="0" xfId="0" applyNumberFormat="1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2" fillId="5" borderId="0" xfId="0" applyFont="1" applyFill="1" applyAlignment="1">
      <alignment/>
    </xf>
    <xf numFmtId="0" fontId="43" fillId="5" borderId="0" xfId="0" applyNumberFormat="1" applyFont="1" applyFill="1" applyAlignment="1">
      <alignment horizontal="center"/>
    </xf>
    <xf numFmtId="172" fontId="43" fillId="5" borderId="0" xfId="0" applyNumberFormat="1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42" fillId="4" borderId="0" xfId="0" applyFont="1" applyFill="1" applyAlignment="1">
      <alignment/>
    </xf>
    <xf numFmtId="0" fontId="43" fillId="4" borderId="0" xfId="0" applyNumberFormat="1" applyFont="1" applyFill="1" applyAlignment="1">
      <alignment horizontal="center"/>
    </xf>
    <xf numFmtId="172" fontId="43" fillId="4" borderId="0" xfId="0" applyNumberFormat="1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42" fillId="6" borderId="0" xfId="0" applyFont="1" applyFill="1" applyAlignment="1">
      <alignment/>
    </xf>
    <xf numFmtId="0" fontId="43" fillId="6" borderId="0" xfId="0" applyNumberFormat="1" applyFont="1" applyFill="1" applyAlignment="1">
      <alignment horizontal="center"/>
    </xf>
    <xf numFmtId="172" fontId="43" fillId="6" borderId="0" xfId="0" applyNumberFormat="1" applyFont="1" applyFill="1" applyAlignment="1">
      <alignment horizontal="center"/>
    </xf>
    <xf numFmtId="0" fontId="43" fillId="6" borderId="0" xfId="0" applyFont="1" applyFill="1" applyAlignment="1">
      <alignment horizontal="center"/>
    </xf>
    <xf numFmtId="0" fontId="42" fillId="7" borderId="0" xfId="0" applyFont="1" applyFill="1" applyAlignment="1">
      <alignment/>
    </xf>
    <xf numFmtId="0" fontId="43" fillId="7" borderId="0" xfId="0" applyNumberFormat="1" applyFont="1" applyFill="1" applyAlignment="1">
      <alignment horizontal="center"/>
    </xf>
    <xf numFmtId="172" fontId="43" fillId="7" borderId="0" xfId="0" applyNumberFormat="1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6" fillId="3" borderId="0" xfId="0" applyFont="1" applyFill="1" applyAlignment="1">
      <alignment horizontal="left"/>
    </xf>
    <xf numFmtId="0" fontId="46" fillId="4" borderId="0" xfId="0" applyFont="1" applyFill="1" applyAlignment="1">
      <alignment horizontal="left"/>
    </xf>
    <xf numFmtId="0" fontId="46" fillId="5" borderId="0" xfId="0" applyFont="1" applyFill="1" applyAlignment="1">
      <alignment horizontal="left"/>
    </xf>
    <xf numFmtId="0" fontId="46" fillId="6" borderId="0" xfId="0" applyFont="1" applyFill="1" applyAlignment="1">
      <alignment horizontal="left"/>
    </xf>
    <xf numFmtId="0" fontId="46" fillId="7" borderId="0" xfId="0" applyFont="1" applyFill="1" applyAlignment="1">
      <alignment horizontal="left"/>
    </xf>
    <xf numFmtId="0" fontId="47" fillId="7" borderId="0" xfId="0" applyFont="1" applyFill="1" applyAlignment="1">
      <alignment/>
    </xf>
    <xf numFmtId="0" fontId="47" fillId="6" borderId="0" xfId="0" applyFont="1" applyFill="1" applyAlignment="1">
      <alignment/>
    </xf>
    <xf numFmtId="173" fontId="42" fillId="0" borderId="0" xfId="44" applyNumberFormat="1" applyFont="1" applyAlignment="1">
      <alignment/>
    </xf>
    <xf numFmtId="173" fontId="42" fillId="0" borderId="10" xfId="44" applyNumberFormat="1" applyFont="1" applyBorder="1" applyAlignment="1">
      <alignment/>
    </xf>
    <xf numFmtId="10" fontId="42" fillId="0" borderId="0" xfId="57" applyNumberFormat="1" applyFont="1" applyAlignment="1">
      <alignment/>
    </xf>
    <xf numFmtId="174" fontId="42" fillId="0" borderId="10" xfId="44" applyNumberFormat="1" applyFont="1" applyBorder="1" applyAlignment="1">
      <alignment/>
    </xf>
    <xf numFmtId="174" fontId="42" fillId="0" borderId="0" xfId="44" applyNumberFormat="1" applyFont="1" applyAlignment="1">
      <alignment/>
    </xf>
    <xf numFmtId="174" fontId="42" fillId="0" borderId="11" xfId="44" applyNumberFormat="1" applyFont="1" applyBorder="1" applyAlignment="1">
      <alignment/>
    </xf>
    <xf numFmtId="174" fontId="42" fillId="0" borderId="0" xfId="0" applyNumberFormat="1" applyFont="1" applyAlignment="1">
      <alignment/>
    </xf>
    <xf numFmtId="174" fontId="42" fillId="33" borderId="0" xfId="0" applyNumberFormat="1" applyFont="1" applyFill="1" applyAlignment="1">
      <alignment/>
    </xf>
    <xf numFmtId="174" fontId="42" fillId="0" borderId="10" xfId="0" applyNumberFormat="1" applyFont="1" applyBorder="1" applyAlignment="1">
      <alignment/>
    </xf>
    <xf numFmtId="174" fontId="42" fillId="0" borderId="11" xfId="0" applyNumberFormat="1" applyFont="1" applyBorder="1" applyAlignment="1">
      <alignment/>
    </xf>
    <xf numFmtId="174" fontId="4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zoomScale="60" zoomScaleNormal="60" zoomScalePageLayoutView="0" workbookViewId="0" topLeftCell="A28">
      <selection activeCell="R33" sqref="R33"/>
    </sheetView>
  </sheetViews>
  <sheetFormatPr defaultColWidth="8.8515625" defaultRowHeight="15"/>
  <cols>
    <col min="1" max="1" width="32.28125" style="1" customWidth="1"/>
    <col min="2" max="10" width="12.421875" style="6" bestFit="1" customWidth="1"/>
    <col min="11" max="11" width="10.7109375" style="6" bestFit="1" customWidth="1"/>
    <col min="12" max="13" width="12.57421875" style="6" bestFit="1" customWidth="1"/>
    <col min="14" max="14" width="12.00390625" style="1" bestFit="1" customWidth="1"/>
    <col min="15" max="16384" width="8.8515625" style="1" customWidth="1"/>
  </cols>
  <sheetData>
    <row r="1" spans="1:14" ht="46.5" customHeight="1">
      <c r="A1" s="9">
        <v>2001</v>
      </c>
      <c r="B1" s="10">
        <v>2001</v>
      </c>
      <c r="C1" s="10">
        <v>2001</v>
      </c>
      <c r="D1" s="10">
        <v>2001</v>
      </c>
      <c r="E1" s="10">
        <v>2001</v>
      </c>
      <c r="F1" s="10">
        <v>2001</v>
      </c>
      <c r="G1" s="10">
        <v>2001</v>
      </c>
      <c r="H1" s="10">
        <v>2001</v>
      </c>
      <c r="I1" s="10">
        <v>2001</v>
      </c>
      <c r="J1" s="10">
        <v>2001</v>
      </c>
      <c r="K1" s="10">
        <v>2001</v>
      </c>
      <c r="L1" s="10">
        <v>2001</v>
      </c>
      <c r="M1" s="10">
        <v>2001</v>
      </c>
      <c r="N1" s="10">
        <v>2001</v>
      </c>
    </row>
    <row r="2" spans="1:14" ht="12.75">
      <c r="A2" s="11"/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12" t="s">
        <v>17</v>
      </c>
      <c r="L2" s="12" t="s">
        <v>18</v>
      </c>
      <c r="M2" s="12" t="s">
        <v>19</v>
      </c>
      <c r="N2" s="13" t="s">
        <v>20</v>
      </c>
    </row>
    <row r="3" ht="12.75">
      <c r="B3" s="1"/>
    </row>
    <row r="4" spans="1:14" ht="12.75">
      <c r="A4" s="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3" t="s">
        <v>0</v>
      </c>
      <c r="B6" s="42">
        <v>0</v>
      </c>
      <c r="C6" s="42">
        <f>B15</f>
        <v>0</v>
      </c>
      <c r="D6" s="42">
        <f>C15</f>
        <v>0</v>
      </c>
      <c r="E6" s="42">
        <f aca="true" t="shared" si="0" ref="E6:M6">D15</f>
        <v>0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  <c r="J6" s="42">
        <f t="shared" si="0"/>
        <v>0</v>
      </c>
      <c r="K6" s="42">
        <f t="shared" si="0"/>
        <v>0</v>
      </c>
      <c r="L6" s="42">
        <f t="shared" si="0"/>
        <v>111642.33333333333</v>
      </c>
      <c r="M6" s="42">
        <f t="shared" si="0"/>
        <v>223284.66666666666</v>
      </c>
      <c r="N6" s="41"/>
    </row>
    <row r="7" spans="2:14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4" t="s">
        <v>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>
      <c r="A9" s="5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>
        <f>334927/3</f>
        <v>111642.33333333333</v>
      </c>
      <c r="L9" s="44">
        <f>334927/3</f>
        <v>111642.33333333333</v>
      </c>
      <c r="M9" s="44">
        <f>334927/3</f>
        <v>111642.33333333333</v>
      </c>
      <c r="N9" s="45">
        <f>SUM(B9:M9)</f>
        <v>334927</v>
      </c>
    </row>
    <row r="10" spans="1:14" ht="12.75">
      <c r="A10" s="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2.75">
      <c r="A11" s="5"/>
      <c r="B11" s="45">
        <f>SUM(B9:B10)</f>
        <v>0</v>
      </c>
      <c r="C11" s="45">
        <f aca="true" t="shared" si="1" ref="C11:N11">SUM(C9:C10)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111642.33333333333</v>
      </c>
      <c r="L11" s="45">
        <f t="shared" si="1"/>
        <v>111642.33333333333</v>
      </c>
      <c r="M11" s="45">
        <f t="shared" si="1"/>
        <v>111642.33333333333</v>
      </c>
      <c r="N11" s="45">
        <f t="shared" si="1"/>
        <v>334927</v>
      </c>
    </row>
    <row r="12" spans="2:14" ht="12.7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1" t="s">
        <v>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f>SUM(B13:M13)</f>
        <v>0</v>
      </c>
    </row>
    <row r="14" spans="2:14" ht="13.5" thickBo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6"/>
    </row>
    <row r="15" spans="1:14" ht="12.75">
      <c r="A15" s="3" t="s">
        <v>7</v>
      </c>
      <c r="B15" s="45">
        <f>SUM(B6,B11,B13)</f>
        <v>0</v>
      </c>
      <c r="C15" s="45">
        <f aca="true" t="shared" si="2" ref="C15:M15">SUM(C6,C11,C13)</f>
        <v>0</v>
      </c>
      <c r="D15" s="45">
        <f t="shared" si="2"/>
        <v>0</v>
      </c>
      <c r="E15" s="45">
        <f t="shared" si="2"/>
        <v>0</v>
      </c>
      <c r="F15" s="45">
        <f t="shared" si="2"/>
        <v>0</v>
      </c>
      <c r="G15" s="45">
        <f t="shared" si="2"/>
        <v>0</v>
      </c>
      <c r="H15" s="45">
        <f t="shared" si="2"/>
        <v>0</v>
      </c>
      <c r="I15" s="45">
        <f t="shared" si="2"/>
        <v>0</v>
      </c>
      <c r="J15" s="45">
        <f t="shared" si="2"/>
        <v>0</v>
      </c>
      <c r="K15" s="45">
        <f t="shared" si="2"/>
        <v>111642.33333333333</v>
      </c>
      <c r="L15" s="45">
        <f t="shared" si="2"/>
        <v>223284.66666666666</v>
      </c>
      <c r="M15" s="45">
        <f t="shared" si="2"/>
        <v>334927</v>
      </c>
      <c r="N15" s="45"/>
    </row>
    <row r="16" spans="2:1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2.75">
      <c r="A17" s="2" t="s">
        <v>3</v>
      </c>
      <c r="B17" s="7"/>
      <c r="C17" s="43"/>
      <c r="D17" s="43"/>
      <c r="E17" s="43"/>
      <c r="F17" s="43"/>
      <c r="G17" s="43"/>
      <c r="H17" s="43"/>
      <c r="I17" s="43"/>
      <c r="J17" s="43"/>
      <c r="K17" s="43"/>
      <c r="L17" s="8">
        <v>0.0725</v>
      </c>
      <c r="M17" s="8">
        <v>0.0725</v>
      </c>
      <c r="N17" s="41"/>
    </row>
    <row r="18" spans="2:1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>
      <c r="A19" s="3" t="s">
        <v>0</v>
      </c>
      <c r="B19" s="45">
        <v>0</v>
      </c>
      <c r="C19" s="45">
        <f>B23</f>
        <v>0</v>
      </c>
      <c r="D19" s="45">
        <f aca="true" t="shared" si="3" ref="D19:M19">C23</f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674.5057638888889</v>
      </c>
      <c r="N19" s="45"/>
    </row>
    <row r="20" spans="2:14" ht="12.7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3.5" thickBot="1">
      <c r="A21" s="1" t="s">
        <v>4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f>L6*L17/12</f>
        <v>674.5057638888889</v>
      </c>
      <c r="M21" s="45">
        <f>M6*M17/12</f>
        <v>1349.0115277777777</v>
      </c>
      <c r="N21" s="46">
        <f>SUM(B21:M21)</f>
        <v>2023.5172916666666</v>
      </c>
    </row>
    <row r="22" spans="2:14" ht="12.7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3.5" thickBot="1">
      <c r="A23" s="1" t="s">
        <v>5</v>
      </c>
      <c r="B23" s="46">
        <f>SUM(B19,B21)</f>
        <v>0</v>
      </c>
      <c r="C23" s="46">
        <f>SUM(C19,C21)</f>
        <v>0</v>
      </c>
      <c r="D23" s="46">
        <f aca="true" t="shared" si="4" ref="D23:M23">SUM(D19,D21)</f>
        <v>0</v>
      </c>
      <c r="E23" s="46">
        <f t="shared" si="4"/>
        <v>0</v>
      </c>
      <c r="F23" s="46">
        <f t="shared" si="4"/>
        <v>0</v>
      </c>
      <c r="G23" s="46">
        <f t="shared" si="4"/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674.5057638888889</v>
      </c>
      <c r="M23" s="46">
        <f t="shared" si="4"/>
        <v>2023.5172916666666</v>
      </c>
      <c r="N23" s="45"/>
    </row>
    <row r="24" ht="12.75"/>
    <row r="25" ht="12.75"/>
    <row r="26" spans="1:14" ht="15.75">
      <c r="A26" s="34">
        <v>2002</v>
      </c>
      <c r="B26" s="15">
        <v>2002</v>
      </c>
      <c r="C26" s="15">
        <v>2002</v>
      </c>
      <c r="D26" s="15">
        <v>2002</v>
      </c>
      <c r="E26" s="15">
        <v>2002</v>
      </c>
      <c r="F26" s="15">
        <v>2002</v>
      </c>
      <c r="G26" s="15">
        <v>2002</v>
      </c>
      <c r="H26" s="15">
        <v>2002</v>
      </c>
      <c r="I26" s="15">
        <v>2002</v>
      </c>
      <c r="J26" s="15">
        <v>2002</v>
      </c>
      <c r="K26" s="15">
        <v>2002</v>
      </c>
      <c r="L26" s="15">
        <v>2002</v>
      </c>
      <c r="M26" s="15">
        <v>2002</v>
      </c>
      <c r="N26" s="15">
        <v>2002</v>
      </c>
    </row>
    <row r="27" spans="1:14" ht="12.75">
      <c r="A27" s="14"/>
      <c r="B27" s="16" t="s">
        <v>8</v>
      </c>
      <c r="C27" s="16" t="s">
        <v>9</v>
      </c>
      <c r="D27" s="16" t="s">
        <v>10</v>
      </c>
      <c r="E27" s="16" t="s">
        <v>11</v>
      </c>
      <c r="F27" s="16" t="s">
        <v>12</v>
      </c>
      <c r="G27" s="16" t="s">
        <v>13</v>
      </c>
      <c r="H27" s="16" t="s">
        <v>14</v>
      </c>
      <c r="I27" s="16" t="s">
        <v>15</v>
      </c>
      <c r="J27" s="16" t="s">
        <v>16</v>
      </c>
      <c r="K27" s="16" t="s">
        <v>17</v>
      </c>
      <c r="L27" s="16" t="s">
        <v>18</v>
      </c>
      <c r="M27" s="16" t="s">
        <v>19</v>
      </c>
      <c r="N27" s="17" t="s">
        <v>20</v>
      </c>
    </row>
    <row r="28" ht="12.75">
      <c r="B28" s="1"/>
    </row>
    <row r="29" ht="12.75">
      <c r="A29" s="2" t="s">
        <v>2</v>
      </c>
    </row>
    <row r="30" ht="12.75"/>
    <row r="31" spans="1:14" ht="12.75">
      <c r="A31" s="3" t="s">
        <v>0</v>
      </c>
      <c r="B31" s="44">
        <f>M15</f>
        <v>334927</v>
      </c>
      <c r="C31" s="44">
        <f>B40</f>
        <v>426289.25</v>
      </c>
      <c r="D31" s="44">
        <f>C40</f>
        <v>517651.5</v>
      </c>
      <c r="E31" s="44">
        <f aca="true" t="shared" si="5" ref="E31:M31">D40</f>
        <v>609013.75</v>
      </c>
      <c r="F31" s="44">
        <f t="shared" si="5"/>
        <v>700376</v>
      </c>
      <c r="G31" s="44">
        <f t="shared" si="5"/>
        <v>791738.25</v>
      </c>
      <c r="H31" s="44">
        <f t="shared" si="5"/>
        <v>823108.07</v>
      </c>
      <c r="I31" s="44">
        <f t="shared" si="5"/>
        <v>791521.5499999999</v>
      </c>
      <c r="J31" s="44">
        <f t="shared" si="5"/>
        <v>759572.0499999999</v>
      </c>
      <c r="K31" s="44">
        <f t="shared" si="5"/>
        <v>732568.8099999999</v>
      </c>
      <c r="L31" s="44">
        <f t="shared" si="5"/>
        <v>721253.82</v>
      </c>
      <c r="M31" s="44">
        <f t="shared" si="5"/>
        <v>707595.2699999999</v>
      </c>
      <c r="N31" s="45"/>
    </row>
    <row r="32" spans="2:14" ht="12.7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" t="s">
        <v>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5" t="s">
        <v>21</v>
      </c>
      <c r="B34" s="45">
        <f>1096347/12</f>
        <v>91362.25</v>
      </c>
      <c r="C34" s="45">
        <f aca="true" t="shared" si="6" ref="C34:M34">1096347/12</f>
        <v>91362.25</v>
      </c>
      <c r="D34" s="45">
        <f t="shared" si="6"/>
        <v>91362.25</v>
      </c>
      <c r="E34" s="45">
        <f t="shared" si="6"/>
        <v>91362.25</v>
      </c>
      <c r="F34" s="45">
        <f t="shared" si="6"/>
        <v>91362.25</v>
      </c>
      <c r="G34" s="45">
        <f t="shared" si="6"/>
        <v>91362.25</v>
      </c>
      <c r="H34" s="45">
        <f t="shared" si="6"/>
        <v>91362.25</v>
      </c>
      <c r="I34" s="45">
        <f t="shared" si="6"/>
        <v>91362.25</v>
      </c>
      <c r="J34" s="45">
        <f t="shared" si="6"/>
        <v>91362.25</v>
      </c>
      <c r="K34" s="45">
        <f t="shared" si="6"/>
        <v>91362.25</v>
      </c>
      <c r="L34" s="45">
        <f t="shared" si="6"/>
        <v>91362.25</v>
      </c>
      <c r="M34" s="45">
        <f t="shared" si="6"/>
        <v>91362.25</v>
      </c>
      <c r="N34" s="45">
        <f>SUM(B34:M34)</f>
        <v>1096347</v>
      </c>
    </row>
    <row r="35" spans="1:14" ht="12.75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.5" thickBot="1">
      <c r="A36" s="5"/>
      <c r="B36" s="44">
        <f aca="true" t="shared" si="7" ref="B36:N36">SUM(B34:B35)</f>
        <v>91362.25</v>
      </c>
      <c r="C36" s="44">
        <f t="shared" si="7"/>
        <v>91362.25</v>
      </c>
      <c r="D36" s="44">
        <f t="shared" si="7"/>
        <v>91362.25</v>
      </c>
      <c r="E36" s="44">
        <f t="shared" si="7"/>
        <v>91362.25</v>
      </c>
      <c r="F36" s="44">
        <f t="shared" si="7"/>
        <v>91362.25</v>
      </c>
      <c r="G36" s="44">
        <f t="shared" si="7"/>
        <v>91362.25</v>
      </c>
      <c r="H36" s="44">
        <f t="shared" si="7"/>
        <v>91362.25</v>
      </c>
      <c r="I36" s="44">
        <f t="shared" si="7"/>
        <v>91362.25</v>
      </c>
      <c r="J36" s="44">
        <f t="shared" si="7"/>
        <v>91362.25</v>
      </c>
      <c r="K36" s="44">
        <f t="shared" si="7"/>
        <v>91362.25</v>
      </c>
      <c r="L36" s="44">
        <f t="shared" si="7"/>
        <v>91362.25</v>
      </c>
      <c r="M36" s="44">
        <f t="shared" si="7"/>
        <v>91362.25</v>
      </c>
      <c r="N36" s="46">
        <f t="shared" si="7"/>
        <v>1096347</v>
      </c>
    </row>
    <row r="37" spans="2:14" ht="12.7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3.5" thickBot="1">
      <c r="A38" s="1" t="s">
        <v>1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f>-14081.47-45910.96</f>
        <v>-59992.43</v>
      </c>
      <c r="H38" s="44">
        <f>-28849.16-94099.61</f>
        <v>-122948.77</v>
      </c>
      <c r="I38" s="44">
        <f>-28929.37-94382.38</f>
        <v>-123311.75</v>
      </c>
      <c r="J38" s="44">
        <f>-27764.75-90600.74</f>
        <v>-118365.49</v>
      </c>
      <c r="K38" s="44">
        <f>-24087.17-78590.07</f>
        <v>-102677.24</v>
      </c>
      <c r="L38" s="44">
        <f>-24638.09-80382.71</f>
        <v>-105020.8</v>
      </c>
      <c r="M38" s="44">
        <f>-20116.37-65617.27</f>
        <v>-85733.64</v>
      </c>
      <c r="N38" s="46">
        <f>SUM(B38:M38)</f>
        <v>-718050.1200000001</v>
      </c>
    </row>
    <row r="39" spans="2:14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3.5" thickBot="1">
      <c r="A40" s="3" t="s">
        <v>7</v>
      </c>
      <c r="B40" s="46">
        <f>SUM(B31,B36,B38)</f>
        <v>426289.25</v>
      </c>
      <c r="C40" s="46">
        <f aca="true" t="shared" si="8" ref="C40:M40">SUM(C31,C36,C38)</f>
        <v>517651.5</v>
      </c>
      <c r="D40" s="46">
        <f t="shared" si="8"/>
        <v>609013.75</v>
      </c>
      <c r="E40" s="46">
        <f t="shared" si="8"/>
        <v>700376</v>
      </c>
      <c r="F40" s="46">
        <f t="shared" si="8"/>
        <v>791738.25</v>
      </c>
      <c r="G40" s="46">
        <f t="shared" si="8"/>
        <v>823108.07</v>
      </c>
      <c r="H40" s="46">
        <f t="shared" si="8"/>
        <v>791521.5499999999</v>
      </c>
      <c r="I40" s="46">
        <f t="shared" si="8"/>
        <v>759572.0499999999</v>
      </c>
      <c r="J40" s="46">
        <f t="shared" si="8"/>
        <v>732568.8099999999</v>
      </c>
      <c r="K40" s="46">
        <f t="shared" si="8"/>
        <v>721253.82</v>
      </c>
      <c r="L40" s="46">
        <f t="shared" si="8"/>
        <v>707595.2699999999</v>
      </c>
      <c r="M40" s="46">
        <f t="shared" si="8"/>
        <v>713223.8799999999</v>
      </c>
      <c r="N40" s="45"/>
    </row>
    <row r="41" ht="12.75"/>
    <row r="42" spans="1:13" ht="12.75">
      <c r="A42" s="2" t="s">
        <v>3</v>
      </c>
      <c r="B42" s="8">
        <v>0.0725</v>
      </c>
      <c r="C42" s="8">
        <v>0.0725</v>
      </c>
      <c r="D42" s="8">
        <v>0.0725</v>
      </c>
      <c r="E42" s="8">
        <v>0.0725</v>
      </c>
      <c r="F42" s="8">
        <v>0.0725</v>
      </c>
      <c r="G42" s="8">
        <v>0.0725</v>
      </c>
      <c r="H42" s="8">
        <v>0.0725</v>
      </c>
      <c r="I42" s="8">
        <v>0.0725</v>
      </c>
      <c r="J42" s="8">
        <v>0.0725</v>
      </c>
      <c r="K42" s="8">
        <v>0.0725</v>
      </c>
      <c r="L42" s="8">
        <v>0.0725</v>
      </c>
      <c r="M42" s="8">
        <v>0.0725</v>
      </c>
    </row>
    <row r="43" ht="12.75"/>
    <row r="44" spans="1:14" ht="12.75">
      <c r="A44" s="3" t="s">
        <v>0</v>
      </c>
      <c r="B44" s="45">
        <f>M23</f>
        <v>2023.5172916666666</v>
      </c>
      <c r="C44" s="45">
        <f>B48</f>
        <v>4047.034583333333</v>
      </c>
      <c r="D44" s="45">
        <f aca="true" t="shared" si="9" ref="D44:M44">C48</f>
        <v>6622.532135416666</v>
      </c>
      <c r="E44" s="45">
        <f t="shared" si="9"/>
        <v>9750.009947916666</v>
      </c>
      <c r="F44" s="45">
        <f t="shared" si="9"/>
        <v>13429.468020833332</v>
      </c>
      <c r="G44" s="45">
        <f t="shared" si="9"/>
        <v>17660.906354166666</v>
      </c>
      <c r="H44" s="45">
        <f t="shared" si="9"/>
        <v>22444.324947916666</v>
      </c>
      <c r="I44" s="45">
        <f t="shared" si="9"/>
        <v>27417.2695375</v>
      </c>
      <c r="J44" s="45">
        <f t="shared" si="9"/>
        <v>32199.378902083332</v>
      </c>
      <c r="K44" s="45">
        <f t="shared" si="9"/>
        <v>36788.4600375</v>
      </c>
      <c r="L44" s="45">
        <f t="shared" si="9"/>
        <v>41214.39659791667</v>
      </c>
      <c r="M44" s="45">
        <f t="shared" si="9"/>
        <v>45571.971760416665</v>
      </c>
      <c r="N44" s="45"/>
    </row>
    <row r="45" spans="2:14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3.5" thickBot="1">
      <c r="A46" s="1" t="s">
        <v>4</v>
      </c>
      <c r="B46" s="45">
        <f>B31*B42/12</f>
        <v>2023.5172916666663</v>
      </c>
      <c r="C46" s="45">
        <f>C31*C42/12</f>
        <v>2575.497552083333</v>
      </c>
      <c r="D46" s="45">
        <f aca="true" t="shared" si="10" ref="D46:K46">D31*D42/12</f>
        <v>3127.4778125</v>
      </c>
      <c r="E46" s="45">
        <f t="shared" si="10"/>
        <v>3679.4580729166664</v>
      </c>
      <c r="F46" s="45">
        <f t="shared" si="10"/>
        <v>4231.438333333333</v>
      </c>
      <c r="G46" s="45">
        <f t="shared" si="10"/>
        <v>4783.41859375</v>
      </c>
      <c r="H46" s="45">
        <f>H31*H42/12</f>
        <v>4972.944589583333</v>
      </c>
      <c r="I46" s="45">
        <f t="shared" si="10"/>
        <v>4782.1093645833325</v>
      </c>
      <c r="J46" s="45">
        <f t="shared" si="10"/>
        <v>4589.081135416666</v>
      </c>
      <c r="K46" s="45">
        <f t="shared" si="10"/>
        <v>4425.936560416666</v>
      </c>
      <c r="L46" s="45">
        <f>L31*L42/12</f>
        <v>4357.575162499999</v>
      </c>
      <c r="M46" s="45">
        <f>M31*M42/12</f>
        <v>4275.054756249999</v>
      </c>
      <c r="N46" s="46">
        <f>SUM(B46:M46)</f>
        <v>47823.509224999994</v>
      </c>
    </row>
    <row r="47" spans="2:14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3.5" thickBot="1">
      <c r="A48" s="1" t="s">
        <v>5</v>
      </c>
      <c r="B48" s="46">
        <f>SUM(B44,B46)</f>
        <v>4047.034583333333</v>
      </c>
      <c r="C48" s="46">
        <f>SUM(C44,C46)</f>
        <v>6622.532135416666</v>
      </c>
      <c r="D48" s="46">
        <f aca="true" t="shared" si="11" ref="D48:M48">SUM(D44,D46)</f>
        <v>9750.009947916666</v>
      </c>
      <c r="E48" s="46">
        <f t="shared" si="11"/>
        <v>13429.468020833332</v>
      </c>
      <c r="F48" s="46">
        <f t="shared" si="11"/>
        <v>17660.906354166666</v>
      </c>
      <c r="G48" s="46">
        <f t="shared" si="11"/>
        <v>22444.324947916666</v>
      </c>
      <c r="H48" s="46">
        <f t="shared" si="11"/>
        <v>27417.2695375</v>
      </c>
      <c r="I48" s="46">
        <f t="shared" si="11"/>
        <v>32199.378902083332</v>
      </c>
      <c r="J48" s="46">
        <f t="shared" si="11"/>
        <v>36788.4600375</v>
      </c>
      <c r="K48" s="46">
        <f t="shared" si="11"/>
        <v>41214.39659791667</v>
      </c>
      <c r="L48" s="46">
        <f t="shared" si="11"/>
        <v>45571.971760416665</v>
      </c>
      <c r="M48" s="46">
        <f t="shared" si="11"/>
        <v>49847.026516666665</v>
      </c>
      <c r="N48" s="45"/>
    </row>
    <row r="49" ht="12.75"/>
    <row r="50" ht="12.75"/>
    <row r="51" spans="1:14" ht="15.75">
      <c r="A51" s="35">
        <v>2003</v>
      </c>
      <c r="B51" s="23">
        <v>2003</v>
      </c>
      <c r="C51" s="23">
        <v>2003</v>
      </c>
      <c r="D51" s="23">
        <v>2003</v>
      </c>
      <c r="E51" s="23">
        <v>2003</v>
      </c>
      <c r="F51" s="23">
        <v>2003</v>
      </c>
      <c r="G51" s="23">
        <v>2003</v>
      </c>
      <c r="H51" s="23">
        <v>2003</v>
      </c>
      <c r="I51" s="23">
        <v>2003</v>
      </c>
      <c r="J51" s="23">
        <v>2003</v>
      </c>
      <c r="K51" s="23">
        <v>2003</v>
      </c>
      <c r="L51" s="23">
        <v>2003</v>
      </c>
      <c r="M51" s="23">
        <v>2003</v>
      </c>
      <c r="N51" s="23">
        <v>2003</v>
      </c>
    </row>
    <row r="52" spans="1:14" ht="12.75">
      <c r="A52" s="22"/>
      <c r="B52" s="24" t="s">
        <v>8</v>
      </c>
      <c r="C52" s="24" t="s">
        <v>9</v>
      </c>
      <c r="D52" s="24" t="s">
        <v>10</v>
      </c>
      <c r="E52" s="24" t="s">
        <v>11</v>
      </c>
      <c r="F52" s="24" t="s">
        <v>12</v>
      </c>
      <c r="G52" s="24" t="s">
        <v>13</v>
      </c>
      <c r="H52" s="24" t="s">
        <v>14</v>
      </c>
      <c r="I52" s="24" t="s">
        <v>15</v>
      </c>
      <c r="J52" s="24" t="s">
        <v>16</v>
      </c>
      <c r="K52" s="24" t="s">
        <v>17</v>
      </c>
      <c r="L52" s="24" t="s">
        <v>18</v>
      </c>
      <c r="M52" s="24" t="s">
        <v>19</v>
      </c>
      <c r="N52" s="25" t="s">
        <v>20</v>
      </c>
    </row>
    <row r="53" ht="12.75">
      <c r="B53" s="1"/>
    </row>
    <row r="54" ht="12.75">
      <c r="A54" s="2" t="s">
        <v>2</v>
      </c>
    </row>
    <row r="55" ht="12.75"/>
    <row r="56" spans="1:14" ht="13.5" thickBot="1">
      <c r="A56" s="3" t="s">
        <v>0</v>
      </c>
      <c r="B56" s="46">
        <f>M40</f>
        <v>713223.8799999999</v>
      </c>
      <c r="C56" s="46">
        <f>B66</f>
        <v>702002.7533333333</v>
      </c>
      <c r="D56" s="46">
        <f>C66</f>
        <v>682356.0166666666</v>
      </c>
      <c r="E56" s="46">
        <f aca="true" t="shared" si="12" ref="E56:L56">D66</f>
        <v>675904.26</v>
      </c>
      <c r="F56" s="46">
        <f t="shared" si="12"/>
        <v>673558.9933333334</v>
      </c>
      <c r="G56" s="46">
        <f t="shared" si="12"/>
        <v>678372.3466666668</v>
      </c>
      <c r="H56" s="46">
        <f t="shared" si="12"/>
        <v>-410329.71999999986</v>
      </c>
      <c r="I56" s="46">
        <f t="shared" si="12"/>
        <v>-400848.37666666653</v>
      </c>
      <c r="J56" s="46">
        <f t="shared" si="12"/>
        <v>-402697.2833333332</v>
      </c>
      <c r="K56" s="46">
        <f t="shared" si="12"/>
        <v>-405134.1599999999</v>
      </c>
      <c r="L56" s="46">
        <f t="shared" si="12"/>
        <v>-400058.6166666666</v>
      </c>
      <c r="M56" s="46">
        <f>L66</f>
        <v>-396741.1033333333</v>
      </c>
      <c r="N56" s="6"/>
    </row>
    <row r="57" ht="12.75"/>
    <row r="58" ht="12.75">
      <c r="A58" s="4" t="s">
        <v>6</v>
      </c>
    </row>
    <row r="59" spans="1:14" ht="12.75">
      <c r="A59" s="5" t="s">
        <v>22</v>
      </c>
      <c r="B59" s="47">
        <f>334927/12</f>
        <v>27910.583333333332</v>
      </c>
      <c r="C59" s="47">
        <f aca="true" t="shared" si="13" ref="C59:M59">334927/12</f>
        <v>27910.583333333332</v>
      </c>
      <c r="D59" s="47">
        <f t="shared" si="13"/>
        <v>27910.583333333332</v>
      </c>
      <c r="E59" s="47">
        <f t="shared" si="13"/>
        <v>27910.583333333332</v>
      </c>
      <c r="F59" s="47">
        <f t="shared" si="13"/>
        <v>27910.583333333332</v>
      </c>
      <c r="G59" s="47">
        <f t="shared" si="13"/>
        <v>27910.583333333332</v>
      </c>
      <c r="H59" s="47">
        <f t="shared" si="13"/>
        <v>27910.583333333332</v>
      </c>
      <c r="I59" s="47">
        <f t="shared" si="13"/>
        <v>27910.583333333332</v>
      </c>
      <c r="J59" s="47">
        <f t="shared" si="13"/>
        <v>27910.583333333332</v>
      </c>
      <c r="K59" s="47">
        <f t="shared" si="13"/>
        <v>27910.583333333332</v>
      </c>
      <c r="L59" s="47">
        <f t="shared" si="13"/>
        <v>27910.583333333332</v>
      </c>
      <c r="M59" s="47">
        <f t="shared" si="13"/>
        <v>27910.583333333332</v>
      </c>
      <c r="N59" s="47">
        <f>SUM(B59:M59)</f>
        <v>334927</v>
      </c>
    </row>
    <row r="60" spans="1:14" ht="12.75">
      <c r="A60" s="5" t="s">
        <v>28</v>
      </c>
      <c r="B60" s="47">
        <f>1096347/12</f>
        <v>91362.25</v>
      </c>
      <c r="C60" s="47">
        <f aca="true" t="shared" si="14" ref="C60:M60">1096347/12</f>
        <v>91362.25</v>
      </c>
      <c r="D60" s="47">
        <f t="shared" si="14"/>
        <v>91362.25</v>
      </c>
      <c r="E60" s="47">
        <f t="shared" si="14"/>
        <v>91362.25</v>
      </c>
      <c r="F60" s="47">
        <f t="shared" si="14"/>
        <v>91362.25</v>
      </c>
      <c r="G60" s="47">
        <f t="shared" si="14"/>
        <v>91362.25</v>
      </c>
      <c r="H60" s="47">
        <f t="shared" si="14"/>
        <v>91362.25</v>
      </c>
      <c r="I60" s="47">
        <f t="shared" si="14"/>
        <v>91362.25</v>
      </c>
      <c r="J60" s="47">
        <f t="shared" si="14"/>
        <v>91362.25</v>
      </c>
      <c r="K60" s="47">
        <f t="shared" si="14"/>
        <v>91362.25</v>
      </c>
      <c r="L60" s="47">
        <f t="shared" si="14"/>
        <v>91362.25</v>
      </c>
      <c r="M60" s="47">
        <f t="shared" si="14"/>
        <v>91362.25</v>
      </c>
      <c r="N60" s="47">
        <f>SUM(B60:M60)</f>
        <v>1096347</v>
      </c>
    </row>
    <row r="61" spans="1:14" ht="12.75">
      <c r="A61" s="5" t="s">
        <v>24</v>
      </c>
      <c r="B61" s="47"/>
      <c r="C61" s="47"/>
      <c r="D61" s="47"/>
      <c r="E61" s="47"/>
      <c r="F61" s="47"/>
      <c r="G61" s="48">
        <f>-1103647-0</f>
        <v>-1103647</v>
      </c>
      <c r="H61" s="47"/>
      <c r="I61" s="47"/>
      <c r="J61" s="47"/>
      <c r="K61" s="47"/>
      <c r="L61" s="47"/>
      <c r="M61" s="47"/>
      <c r="N61" s="47">
        <f>SUM(B61:M61)</f>
        <v>-1103647</v>
      </c>
    </row>
    <row r="62" spans="1:14" ht="13.5" thickBot="1">
      <c r="A62" s="5"/>
      <c r="B62" s="49">
        <f>SUM(B59:B61)</f>
        <v>119272.83333333333</v>
      </c>
      <c r="C62" s="49">
        <f aca="true" t="shared" si="15" ref="C62:M62">SUM(C59:C61)</f>
        <v>119272.83333333333</v>
      </c>
      <c r="D62" s="49">
        <f t="shared" si="15"/>
        <v>119272.83333333333</v>
      </c>
      <c r="E62" s="49">
        <f t="shared" si="15"/>
        <v>119272.83333333333</v>
      </c>
      <c r="F62" s="49">
        <f t="shared" si="15"/>
        <v>119272.83333333333</v>
      </c>
      <c r="G62" s="49">
        <f t="shared" si="15"/>
        <v>-984374.1666666666</v>
      </c>
      <c r="H62" s="49">
        <f t="shared" si="15"/>
        <v>119272.83333333333</v>
      </c>
      <c r="I62" s="49">
        <f t="shared" si="15"/>
        <v>119272.83333333333</v>
      </c>
      <c r="J62" s="49">
        <f t="shared" si="15"/>
        <v>119272.83333333333</v>
      </c>
      <c r="K62" s="49">
        <f t="shared" si="15"/>
        <v>119272.83333333333</v>
      </c>
      <c r="L62" s="49">
        <f t="shared" si="15"/>
        <v>119272.83333333333</v>
      </c>
      <c r="M62" s="49">
        <f t="shared" si="15"/>
        <v>119272.83333333333</v>
      </c>
      <c r="N62" s="50">
        <f>SUM(N59:N61)</f>
        <v>327627</v>
      </c>
    </row>
    <row r="63" spans="2:14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3.5" thickBot="1">
      <c r="A64" s="1" t="s">
        <v>1</v>
      </c>
      <c r="B64" s="49">
        <f>-30632.18-99861.78</f>
        <v>-130493.95999999999</v>
      </c>
      <c r="C64" s="49">
        <f>-32604.7-106314.87</f>
        <v>-138919.57</v>
      </c>
      <c r="D64" s="49">
        <f>-29504.52-96220.07</f>
        <v>-125724.59000000001</v>
      </c>
      <c r="E64" s="49">
        <f>-28536.97-93081.13</f>
        <v>-121618.1</v>
      </c>
      <c r="F64" s="49">
        <f>-26851.35-87608.13</f>
        <v>-114459.48000000001</v>
      </c>
      <c r="G64" s="49">
        <f>-24472.18-79855.72</f>
        <v>-104327.9</v>
      </c>
      <c r="H64" s="49">
        <f>-25751.82-84039.67</f>
        <v>-109791.48999999999</v>
      </c>
      <c r="I64" s="49">
        <f>-28413.95-92707.79</f>
        <v>-121121.73999999999</v>
      </c>
      <c r="J64" s="49">
        <f>-28551.41-93158.3</f>
        <v>-121709.71</v>
      </c>
      <c r="K64" s="49">
        <f>-26782.71-87414.58</f>
        <v>-114197.29000000001</v>
      </c>
      <c r="L64" s="49">
        <f>-27195.07-88760.25</f>
        <v>-115955.32</v>
      </c>
      <c r="M64" s="49">
        <f>-26695.41-87115.32</f>
        <v>-113810.73000000001</v>
      </c>
      <c r="N64" s="50">
        <f>SUM(B64:M64)</f>
        <v>-1432129.8800000001</v>
      </c>
    </row>
    <row r="65" spans="2:14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3.5" thickBot="1">
      <c r="A66" s="3" t="s">
        <v>7</v>
      </c>
      <c r="B66" s="50">
        <f>SUM(B56,B62,B64)</f>
        <v>702002.7533333333</v>
      </c>
      <c r="C66" s="50">
        <f>SUM(C56,C62,C64)</f>
        <v>682356.0166666666</v>
      </c>
      <c r="D66" s="50">
        <f aca="true" t="shared" si="16" ref="D66:L66">SUM(D56,D62,D64)</f>
        <v>675904.26</v>
      </c>
      <c r="E66" s="50">
        <f t="shared" si="16"/>
        <v>673558.9933333334</v>
      </c>
      <c r="F66" s="50">
        <f t="shared" si="16"/>
        <v>678372.3466666668</v>
      </c>
      <c r="G66" s="50">
        <f t="shared" si="16"/>
        <v>-410329.71999999986</v>
      </c>
      <c r="H66" s="50">
        <f t="shared" si="16"/>
        <v>-400848.37666666653</v>
      </c>
      <c r="I66" s="50">
        <f t="shared" si="16"/>
        <v>-402697.2833333332</v>
      </c>
      <c r="J66" s="50">
        <f t="shared" si="16"/>
        <v>-405134.1599999999</v>
      </c>
      <c r="K66" s="50">
        <f t="shared" si="16"/>
        <v>-400058.6166666666</v>
      </c>
      <c r="L66" s="50">
        <f t="shared" si="16"/>
        <v>-396741.1033333333</v>
      </c>
      <c r="M66" s="50">
        <f>SUM(M56,M62,M64)</f>
        <v>-391279</v>
      </c>
      <c r="N66" s="47"/>
    </row>
    <row r="67" ht="12.75"/>
    <row r="68" spans="1:13" ht="12.75">
      <c r="A68" s="2" t="s">
        <v>3</v>
      </c>
      <c r="B68" s="8">
        <v>0.0725</v>
      </c>
      <c r="C68" s="8">
        <v>0.0725</v>
      </c>
      <c r="D68" s="8">
        <v>0.0725</v>
      </c>
      <c r="E68" s="8">
        <v>0.0725</v>
      </c>
      <c r="F68" s="8">
        <v>0.0725</v>
      </c>
      <c r="G68" s="8">
        <v>0.0725</v>
      </c>
      <c r="H68" s="8">
        <v>0.0725</v>
      </c>
      <c r="I68" s="8">
        <v>0.0725</v>
      </c>
      <c r="J68" s="8">
        <v>0.0725</v>
      </c>
      <c r="K68" s="8">
        <v>0.0725</v>
      </c>
      <c r="L68" s="8">
        <v>0.0725</v>
      </c>
      <c r="M68" s="8">
        <v>0.0725</v>
      </c>
    </row>
    <row r="69" ht="12.75"/>
    <row r="70" spans="1:14" ht="12.75">
      <c r="A70" s="3" t="s">
        <v>0</v>
      </c>
      <c r="B70" s="47">
        <f>M48</f>
        <v>49847.026516666665</v>
      </c>
      <c r="C70" s="47">
        <f>B74</f>
        <v>54156.08745833333</v>
      </c>
      <c r="D70" s="47">
        <f aca="true" t="shared" si="17" ref="D70:M70">C74</f>
        <v>58397.35409305555</v>
      </c>
      <c r="E70" s="47">
        <f t="shared" si="17"/>
        <v>62519.92169374999</v>
      </c>
      <c r="F70" s="47">
        <f t="shared" si="17"/>
        <v>66603.50993124998</v>
      </c>
      <c r="G70" s="47">
        <f t="shared" si="17"/>
        <v>70672.92884930554</v>
      </c>
      <c r="H70" s="47">
        <f t="shared" si="17"/>
        <v>74771.42844374997</v>
      </c>
      <c r="I70" s="47">
        <f t="shared" si="17"/>
        <v>72292.3530520833</v>
      </c>
      <c r="J70" s="47">
        <f t="shared" si="17"/>
        <v>69870.56077638885</v>
      </c>
      <c r="K70" s="47">
        <f t="shared" si="17"/>
        <v>67437.59802291663</v>
      </c>
      <c r="L70" s="47">
        <f t="shared" si="17"/>
        <v>64989.91247291663</v>
      </c>
      <c r="M70" s="47">
        <f t="shared" si="17"/>
        <v>62572.891663888855</v>
      </c>
      <c r="N70" s="47"/>
    </row>
    <row r="71" spans="2:14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3.5" thickBot="1">
      <c r="A72" s="1" t="s">
        <v>4</v>
      </c>
      <c r="B72" s="47">
        <f aca="true" t="shared" si="18" ref="B72:M72">B56*B68/12</f>
        <v>4309.060941666666</v>
      </c>
      <c r="C72" s="47">
        <f t="shared" si="18"/>
        <v>4241.266634722221</v>
      </c>
      <c r="D72" s="47">
        <f t="shared" si="18"/>
        <v>4122.567600694444</v>
      </c>
      <c r="E72" s="47">
        <f t="shared" si="18"/>
        <v>4083.5882374999997</v>
      </c>
      <c r="F72" s="47">
        <f t="shared" si="18"/>
        <v>4069.4189180555554</v>
      </c>
      <c r="G72" s="47">
        <f t="shared" si="18"/>
        <v>4098.4995944444445</v>
      </c>
      <c r="H72" s="47">
        <f t="shared" si="18"/>
        <v>-2479.075391666666</v>
      </c>
      <c r="I72" s="47">
        <f t="shared" si="18"/>
        <v>-2421.7922756944436</v>
      </c>
      <c r="J72" s="47">
        <f t="shared" si="18"/>
        <v>-2432.9627534722213</v>
      </c>
      <c r="K72" s="47">
        <f t="shared" si="18"/>
        <v>-2447.6855499999992</v>
      </c>
      <c r="L72" s="47">
        <f t="shared" si="18"/>
        <v>-2417.020809027777</v>
      </c>
      <c r="M72" s="47">
        <f t="shared" si="18"/>
        <v>-2396.977499305555</v>
      </c>
      <c r="N72" s="50">
        <f>SUM(B72:M72)</f>
        <v>10328.887647916672</v>
      </c>
    </row>
    <row r="73" spans="2:14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3.5" thickBot="1">
      <c r="A74" s="1" t="s">
        <v>5</v>
      </c>
      <c r="B74" s="50">
        <f>SUM(B70,B72)</f>
        <v>54156.08745833333</v>
      </c>
      <c r="C74" s="50">
        <f>SUM(C70,C72)</f>
        <v>58397.35409305555</v>
      </c>
      <c r="D74" s="50">
        <f aca="true" t="shared" si="19" ref="D74:M74">SUM(D70,D72)</f>
        <v>62519.92169374999</v>
      </c>
      <c r="E74" s="50">
        <f t="shared" si="19"/>
        <v>66603.50993124998</v>
      </c>
      <c r="F74" s="50">
        <f t="shared" si="19"/>
        <v>70672.92884930554</v>
      </c>
      <c r="G74" s="50">
        <f t="shared" si="19"/>
        <v>74771.42844374997</v>
      </c>
      <c r="H74" s="50">
        <f t="shared" si="19"/>
        <v>72292.3530520833</v>
      </c>
      <c r="I74" s="50">
        <f t="shared" si="19"/>
        <v>69870.56077638885</v>
      </c>
      <c r="J74" s="50">
        <f t="shared" si="19"/>
        <v>67437.59802291663</v>
      </c>
      <c r="K74" s="50">
        <f t="shared" si="19"/>
        <v>64989.91247291663</v>
      </c>
      <c r="L74" s="50">
        <f t="shared" si="19"/>
        <v>62572.891663888855</v>
      </c>
      <c r="M74" s="50">
        <f t="shared" si="19"/>
        <v>60175.9141645833</v>
      </c>
      <c r="N74" s="47"/>
    </row>
    <row r="75" ht="12.75"/>
    <row r="76" ht="12.75"/>
    <row r="77" spans="1:14" ht="15.75">
      <c r="A77" s="36">
        <v>2004</v>
      </c>
      <c r="B77" s="19">
        <v>2004</v>
      </c>
      <c r="C77" s="19">
        <v>2004</v>
      </c>
      <c r="D77" s="19">
        <v>2004</v>
      </c>
      <c r="E77" s="19">
        <v>2004</v>
      </c>
      <c r="F77" s="19">
        <v>2004</v>
      </c>
      <c r="G77" s="19">
        <v>2004</v>
      </c>
      <c r="H77" s="19">
        <v>2004</v>
      </c>
      <c r="I77" s="19">
        <v>2004</v>
      </c>
      <c r="J77" s="19">
        <v>2004</v>
      </c>
      <c r="K77" s="19">
        <v>2004</v>
      </c>
      <c r="L77" s="19">
        <v>2004</v>
      </c>
      <c r="M77" s="19">
        <v>2004</v>
      </c>
      <c r="N77" s="19">
        <v>2004</v>
      </c>
    </row>
    <row r="78" spans="1:14" ht="12.75">
      <c r="A78" s="18"/>
      <c r="B78" s="20" t="s">
        <v>8</v>
      </c>
      <c r="C78" s="20" t="s">
        <v>9</v>
      </c>
      <c r="D78" s="20" t="s">
        <v>10</v>
      </c>
      <c r="E78" s="20" t="s">
        <v>11</v>
      </c>
      <c r="F78" s="20" t="s">
        <v>12</v>
      </c>
      <c r="G78" s="20" t="s">
        <v>13</v>
      </c>
      <c r="H78" s="20" t="s">
        <v>14</v>
      </c>
      <c r="I78" s="20" t="s">
        <v>15</v>
      </c>
      <c r="J78" s="20" t="s">
        <v>16</v>
      </c>
      <c r="K78" s="20" t="s">
        <v>17</v>
      </c>
      <c r="L78" s="20" t="s">
        <v>18</v>
      </c>
      <c r="M78" s="20" t="s">
        <v>19</v>
      </c>
      <c r="N78" s="21" t="s">
        <v>20</v>
      </c>
    </row>
    <row r="79" ht="12.75">
      <c r="B79" s="1"/>
    </row>
    <row r="80" ht="12.75">
      <c r="A80" s="2" t="s">
        <v>2</v>
      </c>
    </row>
    <row r="81" ht="12.75"/>
    <row r="82" spans="1:14" ht="12.75">
      <c r="A82" s="3" t="s">
        <v>0</v>
      </c>
      <c r="B82" s="49">
        <f>M66</f>
        <v>-391279</v>
      </c>
      <c r="C82" s="49">
        <f>B92</f>
        <v>-400450.6766666667</v>
      </c>
      <c r="D82" s="49">
        <f>C92</f>
        <v>-419867.30333333334</v>
      </c>
      <c r="E82" s="49">
        <f aca="true" t="shared" si="20" ref="E82:L82">D92</f>
        <v>-432410.28</v>
      </c>
      <c r="F82" s="49">
        <f t="shared" si="20"/>
        <v>-465735.49</v>
      </c>
      <c r="G82" s="49">
        <f t="shared" si="20"/>
        <v>-473289.88</v>
      </c>
      <c r="H82" s="49">
        <f t="shared" si="20"/>
        <v>-164887.62</v>
      </c>
      <c r="I82" s="49">
        <f t="shared" si="20"/>
        <v>-159963.3</v>
      </c>
      <c r="J82" s="49">
        <f t="shared" si="20"/>
        <v>-163304.43</v>
      </c>
      <c r="K82" s="49">
        <f t="shared" si="20"/>
        <v>-161517.72</v>
      </c>
      <c r="L82" s="49">
        <f t="shared" si="20"/>
        <v>-158417.54</v>
      </c>
      <c r="M82" s="49">
        <f>L92</f>
        <v>-157423.32</v>
      </c>
      <c r="N82" s="6"/>
    </row>
    <row r="83" ht="12.75"/>
    <row r="84" ht="12.75">
      <c r="A84" s="4" t="s">
        <v>6</v>
      </c>
    </row>
    <row r="85" spans="1:14" ht="12.75">
      <c r="A85" s="5" t="s">
        <v>25</v>
      </c>
      <c r="B85" s="47">
        <f>334927/12</f>
        <v>27910.583333333332</v>
      </c>
      <c r="C85" s="47">
        <f>334927/12</f>
        <v>27910.583333333332</v>
      </c>
      <c r="D85" s="47">
        <f>334927/12</f>
        <v>27910.583333333332</v>
      </c>
      <c r="E85" s="47"/>
      <c r="F85" s="47"/>
      <c r="G85" s="47"/>
      <c r="H85" s="47"/>
      <c r="I85" s="47"/>
      <c r="J85" s="47"/>
      <c r="K85" s="47"/>
      <c r="L85" s="47"/>
      <c r="M85" s="47"/>
      <c r="N85" s="47">
        <f>SUM(B85:M85)</f>
        <v>83731.75</v>
      </c>
    </row>
    <row r="86" spans="1:14" ht="12.75">
      <c r="A86" s="5" t="s">
        <v>27</v>
      </c>
      <c r="B86" s="47">
        <f>1096347/12</f>
        <v>91362.25</v>
      </c>
      <c r="C86" s="47">
        <f aca="true" t="shared" si="21" ref="C86:M86">1096347/12</f>
        <v>91362.25</v>
      </c>
      <c r="D86" s="47">
        <f t="shared" si="21"/>
        <v>91362.25</v>
      </c>
      <c r="E86" s="47">
        <f t="shared" si="21"/>
        <v>91362.25</v>
      </c>
      <c r="F86" s="47">
        <f t="shared" si="21"/>
        <v>91362.25</v>
      </c>
      <c r="G86" s="47">
        <f t="shared" si="21"/>
        <v>91362.25</v>
      </c>
      <c r="H86" s="47">
        <f t="shared" si="21"/>
        <v>91362.25</v>
      </c>
      <c r="I86" s="47">
        <f t="shared" si="21"/>
        <v>91362.25</v>
      </c>
      <c r="J86" s="47">
        <f t="shared" si="21"/>
        <v>91362.25</v>
      </c>
      <c r="K86" s="47">
        <f t="shared" si="21"/>
        <v>91362.25</v>
      </c>
      <c r="L86" s="47">
        <f t="shared" si="21"/>
        <v>91362.25</v>
      </c>
      <c r="M86" s="47">
        <f t="shared" si="21"/>
        <v>91362.25</v>
      </c>
      <c r="N86" s="47">
        <f>SUM(B86:M86)</f>
        <v>1096347</v>
      </c>
    </row>
    <row r="87" spans="1:14" ht="12.75">
      <c r="A87" s="5" t="s">
        <v>26</v>
      </c>
      <c r="B87" s="47"/>
      <c r="C87" s="47"/>
      <c r="D87" s="47"/>
      <c r="E87" s="47"/>
      <c r="F87" s="47"/>
      <c r="G87" s="48">
        <f>370214-56176</f>
        <v>314038</v>
      </c>
      <c r="H87" s="47"/>
      <c r="I87" s="47"/>
      <c r="J87" s="47"/>
      <c r="K87" s="47"/>
      <c r="L87" s="47"/>
      <c r="M87" s="47"/>
      <c r="N87" s="47">
        <f>SUM(B87:M87)</f>
        <v>314038</v>
      </c>
    </row>
    <row r="88" spans="1:14" ht="13.5" thickBot="1">
      <c r="A88" s="5"/>
      <c r="B88" s="49">
        <f aca="true" t="shared" si="22" ref="B88:N88">SUM(B85:B87)</f>
        <v>119272.83333333333</v>
      </c>
      <c r="C88" s="49">
        <f t="shared" si="22"/>
        <v>119272.83333333333</v>
      </c>
      <c r="D88" s="49">
        <f t="shared" si="22"/>
        <v>119272.83333333333</v>
      </c>
      <c r="E88" s="49">
        <f t="shared" si="22"/>
        <v>91362.25</v>
      </c>
      <c r="F88" s="49">
        <f t="shared" si="22"/>
        <v>91362.25</v>
      </c>
      <c r="G88" s="49">
        <f t="shared" si="22"/>
        <v>405400.25</v>
      </c>
      <c r="H88" s="49">
        <f t="shared" si="22"/>
        <v>91362.25</v>
      </c>
      <c r="I88" s="49">
        <f t="shared" si="22"/>
        <v>91362.25</v>
      </c>
      <c r="J88" s="49">
        <f t="shared" si="22"/>
        <v>91362.25</v>
      </c>
      <c r="K88" s="49">
        <f t="shared" si="22"/>
        <v>91362.25</v>
      </c>
      <c r="L88" s="49">
        <f t="shared" si="22"/>
        <v>91362.25</v>
      </c>
      <c r="M88" s="49">
        <f t="shared" si="22"/>
        <v>91362.25</v>
      </c>
      <c r="N88" s="50">
        <f t="shared" si="22"/>
        <v>1494116.75</v>
      </c>
    </row>
    <row r="89" spans="2:14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3.5" thickBot="1">
      <c r="A90" s="1" t="s">
        <v>1</v>
      </c>
      <c r="B90" s="49">
        <f>-128444.51</f>
        <v>-128444.51</v>
      </c>
      <c r="C90" s="49">
        <f>-138689.46</f>
        <v>-138689.46</v>
      </c>
      <c r="D90" s="49">
        <f>-131815.81</f>
        <v>-131815.81</v>
      </c>
      <c r="E90" s="49">
        <f>-123800.26-887.2</f>
        <v>-124687.45999999999</v>
      </c>
      <c r="F90" s="49">
        <f>-36798.84-62117.8</f>
        <v>-98916.64</v>
      </c>
      <c r="G90" s="49">
        <f>-353.49-96644.5</f>
        <v>-96997.99</v>
      </c>
      <c r="H90" s="49">
        <f>-31.62-86406.31</f>
        <v>-86437.93</v>
      </c>
      <c r="I90" s="49">
        <f>46.77-94750.15</f>
        <v>-94703.37999999999</v>
      </c>
      <c r="J90" s="49">
        <f>9.43-89584.97</f>
        <v>-89575.54000000001</v>
      </c>
      <c r="K90" s="49">
        <f>0-88262.07</f>
        <v>-88262.07</v>
      </c>
      <c r="L90" s="49">
        <f>66.57-90434.6</f>
        <v>-90368.03</v>
      </c>
      <c r="M90" s="49">
        <f>505.23-86981.98</f>
        <v>-86476.75</v>
      </c>
      <c r="N90" s="50">
        <f>SUM(B90:M90)</f>
        <v>-1255375.57</v>
      </c>
    </row>
    <row r="91" spans="2:14" ht="12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3.5" thickBot="1">
      <c r="A92" s="3" t="s">
        <v>7</v>
      </c>
      <c r="B92" s="50">
        <f aca="true" t="shared" si="23" ref="B92:M92">SUM(B82,B88,B90)</f>
        <v>-400450.6766666667</v>
      </c>
      <c r="C92" s="50">
        <f t="shared" si="23"/>
        <v>-419867.30333333334</v>
      </c>
      <c r="D92" s="50">
        <f t="shared" si="23"/>
        <v>-432410.28</v>
      </c>
      <c r="E92" s="50">
        <f t="shared" si="23"/>
        <v>-465735.49</v>
      </c>
      <c r="F92" s="50">
        <f t="shared" si="23"/>
        <v>-473289.88</v>
      </c>
      <c r="G92" s="50">
        <f t="shared" si="23"/>
        <v>-164887.62</v>
      </c>
      <c r="H92" s="50">
        <f t="shared" si="23"/>
        <v>-159963.3</v>
      </c>
      <c r="I92" s="50">
        <f t="shared" si="23"/>
        <v>-163304.43</v>
      </c>
      <c r="J92" s="50">
        <f t="shared" si="23"/>
        <v>-161517.72</v>
      </c>
      <c r="K92" s="50">
        <f t="shared" si="23"/>
        <v>-158417.54</v>
      </c>
      <c r="L92" s="50">
        <f t="shared" si="23"/>
        <v>-157423.32</v>
      </c>
      <c r="M92" s="50">
        <f t="shared" si="23"/>
        <v>-152537.82</v>
      </c>
      <c r="N92" s="47"/>
    </row>
    <row r="93" ht="12.75"/>
    <row r="94" spans="1:13" ht="12.75">
      <c r="A94" s="2" t="s">
        <v>3</v>
      </c>
      <c r="B94" s="8">
        <v>0.0725</v>
      </c>
      <c r="C94" s="8">
        <v>0.0725</v>
      </c>
      <c r="D94" s="8">
        <v>0.0725</v>
      </c>
      <c r="E94" s="8">
        <v>0.0725</v>
      </c>
      <c r="F94" s="8">
        <v>0.0725</v>
      </c>
      <c r="G94" s="8">
        <v>0.0725</v>
      </c>
      <c r="H94" s="8">
        <v>0.0725</v>
      </c>
      <c r="I94" s="8">
        <v>0.0725</v>
      </c>
      <c r="J94" s="8">
        <v>0.0725</v>
      </c>
      <c r="K94" s="8">
        <v>0.0725</v>
      </c>
      <c r="L94" s="8">
        <v>0.0725</v>
      </c>
      <c r="M94" s="8">
        <v>0.0725</v>
      </c>
    </row>
    <row r="95" ht="12.75"/>
    <row r="96" spans="1:14" ht="12.75">
      <c r="A96" s="3" t="s">
        <v>0</v>
      </c>
      <c r="B96" s="47">
        <f>M74</f>
        <v>60175.9141645833</v>
      </c>
      <c r="C96" s="47">
        <f>B100</f>
        <v>57811.93687291663</v>
      </c>
      <c r="D96" s="47">
        <f aca="true" t="shared" si="24" ref="D96:M96">C100</f>
        <v>55392.54736805552</v>
      </c>
      <c r="E96" s="47">
        <f t="shared" si="24"/>
        <v>52855.8490770833</v>
      </c>
      <c r="F96" s="47">
        <f t="shared" si="24"/>
        <v>50243.3703020833</v>
      </c>
      <c r="G96" s="47">
        <f t="shared" si="24"/>
        <v>47429.55171666663</v>
      </c>
      <c r="H96" s="47">
        <f t="shared" si="24"/>
        <v>44570.09202499997</v>
      </c>
      <c r="I96" s="47">
        <f t="shared" si="24"/>
        <v>43573.89598749997</v>
      </c>
      <c r="J96" s="47">
        <f t="shared" si="24"/>
        <v>42607.451049999974</v>
      </c>
      <c r="K96" s="47">
        <f t="shared" si="24"/>
        <v>41620.82011874997</v>
      </c>
      <c r="L96" s="47">
        <f t="shared" si="24"/>
        <v>40644.98389374997</v>
      </c>
      <c r="M96" s="47">
        <f t="shared" si="24"/>
        <v>39687.87792291664</v>
      </c>
      <c r="N96" s="47"/>
    </row>
    <row r="97" spans="2:14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3.5" thickBot="1">
      <c r="A98" s="1" t="s">
        <v>4</v>
      </c>
      <c r="B98" s="47">
        <f aca="true" t="shared" si="25" ref="B98:M98">B82*B94/12</f>
        <v>-2363.9772916666666</v>
      </c>
      <c r="C98" s="47">
        <f t="shared" si="25"/>
        <v>-2419.389504861111</v>
      </c>
      <c r="D98" s="47">
        <f t="shared" si="25"/>
        <v>-2536.6982909722224</v>
      </c>
      <c r="E98" s="47">
        <f t="shared" si="25"/>
        <v>-2612.478775</v>
      </c>
      <c r="F98" s="47">
        <f t="shared" si="25"/>
        <v>-2813.8185854166663</v>
      </c>
      <c r="G98" s="47">
        <f t="shared" si="25"/>
        <v>-2859.4596916666665</v>
      </c>
      <c r="H98" s="47">
        <f t="shared" si="25"/>
        <v>-996.1960374999999</v>
      </c>
      <c r="I98" s="47">
        <f t="shared" si="25"/>
        <v>-966.4449374999999</v>
      </c>
      <c r="J98" s="47">
        <f t="shared" si="25"/>
        <v>-986.6309312499999</v>
      </c>
      <c r="K98" s="47">
        <f t="shared" si="25"/>
        <v>-975.836225</v>
      </c>
      <c r="L98" s="47">
        <f t="shared" si="25"/>
        <v>-957.1059708333333</v>
      </c>
      <c r="M98" s="47">
        <f t="shared" si="25"/>
        <v>-951.0992249999999</v>
      </c>
      <c r="N98" s="50">
        <f>SUM(B98:M98)</f>
        <v>-21439.135466666667</v>
      </c>
    </row>
    <row r="99" spans="2:14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3.5" thickBot="1">
      <c r="A100" s="1" t="s">
        <v>5</v>
      </c>
      <c r="B100" s="50">
        <f>SUM(B96,B98)</f>
        <v>57811.93687291663</v>
      </c>
      <c r="C100" s="50">
        <f>SUM(C96,C98)</f>
        <v>55392.54736805552</v>
      </c>
      <c r="D100" s="50">
        <f aca="true" t="shared" si="26" ref="D100:M100">SUM(D96,D98)</f>
        <v>52855.8490770833</v>
      </c>
      <c r="E100" s="50">
        <f t="shared" si="26"/>
        <v>50243.3703020833</v>
      </c>
      <c r="F100" s="50">
        <f t="shared" si="26"/>
        <v>47429.55171666663</v>
      </c>
      <c r="G100" s="50">
        <f t="shared" si="26"/>
        <v>44570.09202499997</v>
      </c>
      <c r="H100" s="50">
        <f t="shared" si="26"/>
        <v>43573.89598749997</v>
      </c>
      <c r="I100" s="50">
        <f t="shared" si="26"/>
        <v>42607.451049999974</v>
      </c>
      <c r="J100" s="50">
        <f t="shared" si="26"/>
        <v>41620.82011874997</v>
      </c>
      <c r="K100" s="50">
        <f t="shared" si="26"/>
        <v>40644.98389374997</v>
      </c>
      <c r="L100" s="50">
        <f t="shared" si="26"/>
        <v>39687.87792291664</v>
      </c>
      <c r="M100" s="50">
        <f t="shared" si="26"/>
        <v>38736.77869791664</v>
      </c>
      <c r="N100" s="47"/>
    </row>
    <row r="101" ht="12.75"/>
    <row r="102" ht="12.75"/>
    <row r="103" spans="1:14" ht="15.75">
      <c r="A103" s="37">
        <v>2005</v>
      </c>
      <c r="B103" s="27">
        <v>2005</v>
      </c>
      <c r="C103" s="27">
        <v>2005</v>
      </c>
      <c r="D103" s="27">
        <v>2005</v>
      </c>
      <c r="E103" s="27">
        <v>2005</v>
      </c>
      <c r="F103" s="27">
        <v>2005</v>
      </c>
      <c r="G103" s="27">
        <v>2005</v>
      </c>
      <c r="H103" s="27">
        <v>2005</v>
      </c>
      <c r="I103" s="27">
        <v>2005</v>
      </c>
      <c r="J103" s="27">
        <v>2005</v>
      </c>
      <c r="K103" s="27">
        <v>2005</v>
      </c>
      <c r="L103" s="27">
        <v>2005</v>
      </c>
      <c r="M103" s="27">
        <v>2005</v>
      </c>
      <c r="N103" s="27">
        <v>2005</v>
      </c>
    </row>
    <row r="104" spans="1:14" ht="12.75">
      <c r="A104" s="26"/>
      <c r="B104" s="28" t="s">
        <v>8</v>
      </c>
      <c r="C104" s="28" t="s">
        <v>9</v>
      </c>
      <c r="D104" s="28" t="s">
        <v>10</v>
      </c>
      <c r="E104" s="28" t="s">
        <v>11</v>
      </c>
      <c r="F104" s="28" t="s">
        <v>12</v>
      </c>
      <c r="G104" s="28" t="s">
        <v>13</v>
      </c>
      <c r="H104" s="28" t="s">
        <v>14</v>
      </c>
      <c r="I104" s="28" t="s">
        <v>15</v>
      </c>
      <c r="J104" s="28" t="s">
        <v>16</v>
      </c>
      <c r="K104" s="28" t="s">
        <v>17</v>
      </c>
      <c r="L104" s="28" t="s">
        <v>18</v>
      </c>
      <c r="M104" s="28" t="s">
        <v>19</v>
      </c>
      <c r="N104" s="29" t="s">
        <v>20</v>
      </c>
    </row>
    <row r="105" ht="12.75">
      <c r="B105" s="1"/>
    </row>
    <row r="106" ht="12.75">
      <c r="A106" s="2" t="s">
        <v>2</v>
      </c>
    </row>
    <row r="107" ht="12.75"/>
    <row r="108" spans="1:14" ht="12.75">
      <c r="A108" s="3" t="s">
        <v>0</v>
      </c>
      <c r="B108" s="49">
        <f>M92</f>
        <v>-152537.82</v>
      </c>
      <c r="C108" s="49">
        <f>B118</f>
        <v>-159503.91</v>
      </c>
      <c r="D108" s="49">
        <f>C118</f>
        <v>-177389.52000000002</v>
      </c>
      <c r="E108" s="49">
        <f aca="true" t="shared" si="27" ref="E108:L108">D118</f>
        <v>-188968.54000000004</v>
      </c>
      <c r="F108" s="49">
        <f t="shared" si="27"/>
        <v>-183222.81000000003</v>
      </c>
      <c r="G108" s="49">
        <f t="shared" si="27"/>
        <v>-175892.96000000002</v>
      </c>
      <c r="H108" s="49">
        <f t="shared" si="27"/>
        <v>748091.2000000001</v>
      </c>
      <c r="I108" s="49">
        <f t="shared" si="27"/>
        <v>748059.03</v>
      </c>
      <c r="J108" s="49">
        <f t="shared" si="27"/>
        <v>711102.46</v>
      </c>
      <c r="K108" s="49">
        <f t="shared" si="27"/>
        <v>704314.61</v>
      </c>
      <c r="L108" s="49">
        <f t="shared" si="27"/>
        <v>710440.62</v>
      </c>
      <c r="M108" s="49">
        <f>L118</f>
        <v>715829.9199999999</v>
      </c>
      <c r="N108" s="47"/>
    </row>
    <row r="109" spans="2:14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2.75">
      <c r="A110" s="4" t="s">
        <v>6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2.75">
      <c r="A111" s="5" t="s">
        <v>29</v>
      </c>
      <c r="B111" s="47">
        <f>1096347/12</f>
        <v>91362.25</v>
      </c>
      <c r="C111" s="47">
        <f>1096347/12</f>
        <v>91362.25</v>
      </c>
      <c r="D111" s="47">
        <f>1096347/12</f>
        <v>91362.25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>
        <f>SUM(B111:M111)</f>
        <v>274086.75</v>
      </c>
    </row>
    <row r="112" spans="1:14" ht="12.75">
      <c r="A112" s="5" t="s">
        <v>30</v>
      </c>
      <c r="B112" s="47"/>
      <c r="C112" s="47"/>
      <c r="D112" s="47"/>
      <c r="E112" s="47">
        <f>1179315/12</f>
        <v>98276.25</v>
      </c>
      <c r="F112" s="47">
        <f aca="true" t="shared" si="28" ref="F112:M112">1179315/12</f>
        <v>98276.25</v>
      </c>
      <c r="G112" s="47">
        <f t="shared" si="28"/>
        <v>98276.25</v>
      </c>
      <c r="H112" s="47">
        <f t="shared" si="28"/>
        <v>98276.25</v>
      </c>
      <c r="I112" s="47">
        <f t="shared" si="28"/>
        <v>98276.25</v>
      </c>
      <c r="J112" s="47">
        <f t="shared" si="28"/>
        <v>98276.25</v>
      </c>
      <c r="K112" s="47">
        <f t="shared" si="28"/>
        <v>98276.25</v>
      </c>
      <c r="L112" s="47">
        <f t="shared" si="28"/>
        <v>98276.25</v>
      </c>
      <c r="M112" s="47">
        <f t="shared" si="28"/>
        <v>98276.25</v>
      </c>
      <c r="N112" s="47">
        <f>SUM(B112:M112)</f>
        <v>884486.25</v>
      </c>
    </row>
    <row r="113" spans="1:14" ht="12.75">
      <c r="A113" s="5" t="s">
        <v>31</v>
      </c>
      <c r="B113" s="47"/>
      <c r="C113" s="47"/>
      <c r="D113" s="47"/>
      <c r="E113" s="47"/>
      <c r="F113" s="47"/>
      <c r="G113" s="48">
        <f>1037278-121547</f>
        <v>915731</v>
      </c>
      <c r="H113" s="47"/>
      <c r="I113" s="47"/>
      <c r="J113" s="47"/>
      <c r="K113" s="47"/>
      <c r="L113" s="47"/>
      <c r="M113" s="47"/>
      <c r="N113" s="47">
        <f>SUM(B113:M113)</f>
        <v>915731</v>
      </c>
    </row>
    <row r="114" spans="1:14" ht="13.5" thickBot="1">
      <c r="A114" s="5"/>
      <c r="B114" s="49">
        <f aca="true" t="shared" si="29" ref="B114:N114">SUM(B111:B113)</f>
        <v>91362.25</v>
      </c>
      <c r="C114" s="49">
        <f t="shared" si="29"/>
        <v>91362.25</v>
      </c>
      <c r="D114" s="49">
        <f t="shared" si="29"/>
        <v>91362.25</v>
      </c>
      <c r="E114" s="49">
        <f t="shared" si="29"/>
        <v>98276.25</v>
      </c>
      <c r="F114" s="49">
        <f t="shared" si="29"/>
        <v>98276.25</v>
      </c>
      <c r="G114" s="49">
        <f t="shared" si="29"/>
        <v>1014007.25</v>
      </c>
      <c r="H114" s="49">
        <f t="shared" si="29"/>
        <v>98276.25</v>
      </c>
      <c r="I114" s="49">
        <f t="shared" si="29"/>
        <v>98276.25</v>
      </c>
      <c r="J114" s="49">
        <f t="shared" si="29"/>
        <v>98276.25</v>
      </c>
      <c r="K114" s="49">
        <f t="shared" si="29"/>
        <v>98276.25</v>
      </c>
      <c r="L114" s="49">
        <f t="shared" si="29"/>
        <v>98276.25</v>
      </c>
      <c r="M114" s="49">
        <f t="shared" si="29"/>
        <v>98276.25</v>
      </c>
      <c r="N114" s="50">
        <f t="shared" si="29"/>
        <v>2074304</v>
      </c>
    </row>
    <row r="115" spans="2:14" ht="12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3.5" thickBot="1">
      <c r="A116" s="1" t="s">
        <v>1</v>
      </c>
      <c r="B116" s="49">
        <f>-98328.34</f>
        <v>-98328.34</v>
      </c>
      <c r="C116" s="49">
        <f>-12.97-109234.89</f>
        <v>-109247.86</v>
      </c>
      <c r="D116" s="49">
        <f>2.34-102943.61</f>
        <v>-102941.27</v>
      </c>
      <c r="E116" s="49">
        <f>41.41-86396.09-6175.84</f>
        <v>-92530.51999999999</v>
      </c>
      <c r="F116" s="49">
        <f>-18438.52-72507.88</f>
        <v>-90946.40000000001</v>
      </c>
      <c r="G116" s="49">
        <f>37.44-90060.53</f>
        <v>-90023.09</v>
      </c>
      <c r="H116" s="49">
        <f>132.28-98440.7</f>
        <v>-98308.42</v>
      </c>
      <c r="I116" s="49">
        <f>-132.82-135100</f>
        <v>-135232.82</v>
      </c>
      <c r="J116" s="49">
        <f>0.97-105065.07</f>
        <v>-105064.1</v>
      </c>
      <c r="K116" s="49">
        <f>-92150.24</f>
        <v>-92150.24</v>
      </c>
      <c r="L116" s="49">
        <f>10.01-92896.96</f>
        <v>-92886.95000000001</v>
      </c>
      <c r="M116" s="49">
        <f>-2.88-93394.31</f>
        <v>-93397.19</v>
      </c>
      <c r="N116" s="50">
        <f>SUM(B116:M116)</f>
        <v>-1201057.2</v>
      </c>
    </row>
    <row r="117" spans="2:14" ht="12.7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3.5" thickBot="1">
      <c r="A118" s="3" t="s">
        <v>7</v>
      </c>
      <c r="B118" s="50">
        <f aca="true" t="shared" si="30" ref="B118:M118">SUM(B108,B114,B116)</f>
        <v>-159503.91</v>
      </c>
      <c r="C118" s="50">
        <f t="shared" si="30"/>
        <v>-177389.52000000002</v>
      </c>
      <c r="D118" s="50">
        <f t="shared" si="30"/>
        <v>-188968.54000000004</v>
      </c>
      <c r="E118" s="50">
        <f t="shared" si="30"/>
        <v>-183222.81000000003</v>
      </c>
      <c r="F118" s="50">
        <f t="shared" si="30"/>
        <v>-175892.96000000002</v>
      </c>
      <c r="G118" s="50">
        <f t="shared" si="30"/>
        <v>748091.2000000001</v>
      </c>
      <c r="H118" s="50">
        <f t="shared" si="30"/>
        <v>748059.03</v>
      </c>
      <c r="I118" s="50">
        <f t="shared" si="30"/>
        <v>711102.46</v>
      </c>
      <c r="J118" s="50">
        <f t="shared" si="30"/>
        <v>704314.61</v>
      </c>
      <c r="K118" s="50">
        <f t="shared" si="30"/>
        <v>710440.62</v>
      </c>
      <c r="L118" s="50">
        <f t="shared" si="30"/>
        <v>715829.9199999999</v>
      </c>
      <c r="M118" s="50">
        <f t="shared" si="30"/>
        <v>720708.98</v>
      </c>
      <c r="N118" s="47"/>
    </row>
    <row r="119" ht="12.75"/>
    <row r="120" spans="1:13" ht="12.75">
      <c r="A120" s="2" t="s">
        <v>3</v>
      </c>
      <c r="B120" s="8">
        <v>0.0725</v>
      </c>
      <c r="C120" s="8">
        <v>0.0725</v>
      </c>
      <c r="D120" s="8">
        <v>0.0725</v>
      </c>
      <c r="E120" s="8">
        <v>0.0725</v>
      </c>
      <c r="F120" s="8">
        <v>0.0725</v>
      </c>
      <c r="G120" s="8">
        <v>0.0725</v>
      </c>
      <c r="H120" s="8">
        <v>0.0725</v>
      </c>
      <c r="I120" s="8">
        <v>0.0725</v>
      </c>
      <c r="J120" s="8">
        <v>0.0725</v>
      </c>
      <c r="K120" s="8">
        <v>0.0725</v>
      </c>
      <c r="L120" s="8">
        <v>0.0725</v>
      </c>
      <c r="M120" s="8">
        <v>0.0725</v>
      </c>
    </row>
    <row r="121" ht="12.75"/>
    <row r="122" spans="1:14" ht="12.75">
      <c r="A122" s="3" t="s">
        <v>0</v>
      </c>
      <c r="B122" s="47">
        <f>M100</f>
        <v>38736.77869791664</v>
      </c>
      <c r="C122" s="47">
        <f>B126</f>
        <v>37815.196035416644</v>
      </c>
      <c r="D122" s="47">
        <f aca="true" t="shared" si="31" ref="D122:M122">C126</f>
        <v>36851.526579166646</v>
      </c>
      <c r="E122" s="47">
        <f t="shared" si="31"/>
        <v>35779.79822916665</v>
      </c>
      <c r="F122" s="47">
        <f t="shared" si="31"/>
        <v>34638.11329999998</v>
      </c>
      <c r="G122" s="47">
        <f t="shared" si="31"/>
        <v>33531.14215624998</v>
      </c>
      <c r="H122" s="47">
        <f t="shared" si="31"/>
        <v>32468.455522916647</v>
      </c>
      <c r="I122" s="47">
        <f t="shared" si="31"/>
        <v>36988.173189583315</v>
      </c>
      <c r="J122" s="47">
        <f t="shared" si="31"/>
        <v>41507.69649583331</v>
      </c>
      <c r="K122" s="47">
        <f t="shared" si="31"/>
        <v>45803.940524999976</v>
      </c>
      <c r="L122" s="47">
        <f t="shared" si="31"/>
        <v>50059.17462708331</v>
      </c>
      <c r="M122" s="47">
        <f t="shared" si="31"/>
        <v>54351.42003958331</v>
      </c>
      <c r="N122" s="47"/>
    </row>
    <row r="123" spans="2:14" ht="12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13.5" thickBot="1">
      <c r="A124" s="1" t="s">
        <v>4</v>
      </c>
      <c r="B124" s="47">
        <f aca="true" t="shared" si="32" ref="B124:M124">B108*B120/12</f>
        <v>-921.5826625</v>
      </c>
      <c r="C124" s="47">
        <f t="shared" si="32"/>
        <v>-963.66945625</v>
      </c>
      <c r="D124" s="47">
        <f t="shared" si="32"/>
        <v>-1071.72835</v>
      </c>
      <c r="E124" s="47">
        <f t="shared" si="32"/>
        <v>-1141.684929166667</v>
      </c>
      <c r="F124" s="47">
        <f t="shared" si="32"/>
        <v>-1106.97114375</v>
      </c>
      <c r="G124" s="47">
        <f t="shared" si="32"/>
        <v>-1062.6866333333335</v>
      </c>
      <c r="H124" s="47">
        <f t="shared" si="32"/>
        <v>4519.717666666666</v>
      </c>
      <c r="I124" s="47">
        <f t="shared" si="32"/>
        <v>4519.52330625</v>
      </c>
      <c r="J124" s="47">
        <f t="shared" si="32"/>
        <v>4296.244029166666</v>
      </c>
      <c r="K124" s="47">
        <f t="shared" si="32"/>
        <v>4255.234102083333</v>
      </c>
      <c r="L124" s="47">
        <f t="shared" si="32"/>
        <v>4292.2454124999995</v>
      </c>
      <c r="M124" s="47">
        <f t="shared" si="32"/>
        <v>4324.8057666666655</v>
      </c>
      <c r="N124" s="50">
        <f>SUM(B124:M124)</f>
        <v>19939.44710833333</v>
      </c>
    </row>
    <row r="125" spans="2:14" ht="12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ht="13.5" thickBot="1">
      <c r="A126" s="1" t="s">
        <v>5</v>
      </c>
      <c r="B126" s="50">
        <f>SUM(B122,B124)</f>
        <v>37815.196035416644</v>
      </c>
      <c r="C126" s="50">
        <f>SUM(C122,C124)</f>
        <v>36851.526579166646</v>
      </c>
      <c r="D126" s="50">
        <f aca="true" t="shared" si="33" ref="D126:M126">SUM(D122,D124)</f>
        <v>35779.79822916665</v>
      </c>
      <c r="E126" s="50">
        <f t="shared" si="33"/>
        <v>34638.11329999998</v>
      </c>
      <c r="F126" s="50">
        <f t="shared" si="33"/>
        <v>33531.14215624998</v>
      </c>
      <c r="G126" s="50">
        <f t="shared" si="33"/>
        <v>32468.455522916647</v>
      </c>
      <c r="H126" s="50">
        <f t="shared" si="33"/>
        <v>36988.173189583315</v>
      </c>
      <c r="I126" s="50">
        <f t="shared" si="33"/>
        <v>41507.69649583331</v>
      </c>
      <c r="J126" s="50">
        <f t="shared" si="33"/>
        <v>45803.940524999976</v>
      </c>
      <c r="K126" s="50">
        <f t="shared" si="33"/>
        <v>50059.17462708331</v>
      </c>
      <c r="L126" s="50">
        <f t="shared" si="33"/>
        <v>54351.42003958331</v>
      </c>
      <c r="M126" s="50">
        <f t="shared" si="33"/>
        <v>58676.225806249975</v>
      </c>
      <c r="N126" s="47"/>
    </row>
    <row r="127" ht="12.75"/>
    <row r="128" ht="12.75"/>
    <row r="129" spans="1:14" ht="15.75">
      <c r="A129" s="38">
        <v>2006</v>
      </c>
      <c r="B129" s="31">
        <v>2006</v>
      </c>
      <c r="C129" s="31">
        <v>2006</v>
      </c>
      <c r="D129" s="31">
        <v>2006</v>
      </c>
      <c r="E129" s="31">
        <v>2006</v>
      </c>
      <c r="F129" s="31">
        <v>2006</v>
      </c>
      <c r="G129" s="31">
        <v>2006</v>
      </c>
      <c r="H129" s="31">
        <v>2006</v>
      </c>
      <c r="I129" s="31">
        <v>2006</v>
      </c>
      <c r="J129" s="31">
        <v>2006</v>
      </c>
      <c r="K129" s="31">
        <v>2006</v>
      </c>
      <c r="L129" s="31">
        <v>2006</v>
      </c>
      <c r="M129" s="31">
        <v>2006</v>
      </c>
      <c r="N129" s="31">
        <v>2006</v>
      </c>
    </row>
    <row r="130" spans="1:14" ht="12.75">
      <c r="A130" s="30"/>
      <c r="B130" s="32" t="s">
        <v>8</v>
      </c>
      <c r="C130" s="32" t="s">
        <v>9</v>
      </c>
      <c r="D130" s="32" t="s">
        <v>10</v>
      </c>
      <c r="E130" s="32" t="s">
        <v>11</v>
      </c>
      <c r="F130" s="32" t="s">
        <v>12</v>
      </c>
      <c r="G130" s="32" t="s">
        <v>13</v>
      </c>
      <c r="H130" s="32" t="s">
        <v>14</v>
      </c>
      <c r="I130" s="32" t="s">
        <v>15</v>
      </c>
      <c r="J130" s="32" t="s">
        <v>16</v>
      </c>
      <c r="K130" s="32" t="s">
        <v>17</v>
      </c>
      <c r="L130" s="32" t="s">
        <v>18</v>
      </c>
      <c r="M130" s="32" t="s">
        <v>19</v>
      </c>
      <c r="N130" s="33" t="s">
        <v>20</v>
      </c>
    </row>
    <row r="131" ht="12.75">
      <c r="B131" s="1"/>
    </row>
    <row r="132" ht="12.75">
      <c r="A132" s="2" t="s">
        <v>2</v>
      </c>
    </row>
    <row r="133" ht="12.75"/>
    <row r="134" spans="1:14" ht="12.75">
      <c r="A134" s="3" t="s">
        <v>0</v>
      </c>
      <c r="B134" s="49">
        <f>M118</f>
        <v>720708.98</v>
      </c>
      <c r="C134" s="49">
        <f>B143</f>
        <v>706835.22</v>
      </c>
      <c r="D134" s="49">
        <f>C143</f>
        <v>700597.82</v>
      </c>
      <c r="E134" s="49">
        <f aca="true" t="shared" si="34" ref="E134:L134">D143</f>
        <v>686651.1599999999</v>
      </c>
      <c r="F134" s="49">
        <f t="shared" si="34"/>
        <v>699493.23</v>
      </c>
      <c r="G134" s="49">
        <f t="shared" si="34"/>
        <v>610815.01</v>
      </c>
      <c r="H134" s="49">
        <f t="shared" si="34"/>
        <v>808241.88</v>
      </c>
      <c r="I134" s="49">
        <f t="shared" si="34"/>
        <v>808241.88</v>
      </c>
      <c r="J134" s="49">
        <f t="shared" si="34"/>
        <v>808241.88</v>
      </c>
      <c r="K134" s="49">
        <f t="shared" si="34"/>
        <v>808241.88</v>
      </c>
      <c r="L134" s="49">
        <f t="shared" si="34"/>
        <v>808241.88</v>
      </c>
      <c r="M134" s="49">
        <f>L143</f>
        <v>808241.88</v>
      </c>
      <c r="N134" s="47"/>
    </row>
    <row r="135" spans="2:14" ht="12.7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2.75">
      <c r="A136" s="4" t="s">
        <v>6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2.75">
      <c r="A137" s="5" t="s">
        <v>32</v>
      </c>
      <c r="B137" s="47">
        <f>1179315/12</f>
        <v>98276.25</v>
      </c>
      <c r="C137" s="47">
        <f>1179315/12</f>
        <v>98276.25</v>
      </c>
      <c r="D137" s="47">
        <f>1179315/12</f>
        <v>98276.25</v>
      </c>
      <c r="E137" s="47">
        <f>1179315/12</f>
        <v>98276.25</v>
      </c>
      <c r="F137" s="47"/>
      <c r="G137" s="47"/>
      <c r="H137" s="47"/>
      <c r="I137" s="47"/>
      <c r="J137" s="47"/>
      <c r="K137" s="47"/>
      <c r="L137" s="47"/>
      <c r="M137" s="47"/>
      <c r="N137" s="47">
        <f>SUM(B137:M137)</f>
        <v>393105</v>
      </c>
    </row>
    <row r="138" spans="1:14" ht="12.75">
      <c r="A138" s="5" t="s">
        <v>33</v>
      </c>
      <c r="B138" s="47"/>
      <c r="C138" s="47"/>
      <c r="D138" s="47"/>
      <c r="E138" s="47"/>
      <c r="F138" s="47"/>
      <c r="G138" s="48">
        <f>221698-9414</f>
        <v>212284</v>
      </c>
      <c r="H138" s="47"/>
      <c r="I138" s="47"/>
      <c r="J138" s="47"/>
      <c r="K138" s="47"/>
      <c r="L138" s="47"/>
      <c r="M138" s="47"/>
      <c r="N138" s="47">
        <f>SUM(B138:M138)</f>
        <v>212284</v>
      </c>
    </row>
    <row r="139" spans="1:14" ht="13.5" thickBot="1">
      <c r="A139" s="5"/>
      <c r="B139" s="49">
        <f aca="true" t="shared" si="35" ref="B139:N139">SUM(B137:B138)</f>
        <v>98276.25</v>
      </c>
      <c r="C139" s="49">
        <f t="shared" si="35"/>
        <v>98276.25</v>
      </c>
      <c r="D139" s="49">
        <f t="shared" si="35"/>
        <v>98276.25</v>
      </c>
      <c r="E139" s="49">
        <f t="shared" si="35"/>
        <v>98276.25</v>
      </c>
      <c r="F139" s="49">
        <f t="shared" si="35"/>
        <v>0</v>
      </c>
      <c r="G139" s="49">
        <f t="shared" si="35"/>
        <v>212284</v>
      </c>
      <c r="H139" s="49">
        <f t="shared" si="35"/>
        <v>0</v>
      </c>
      <c r="I139" s="49">
        <f t="shared" si="35"/>
        <v>0</v>
      </c>
      <c r="J139" s="49">
        <f t="shared" si="35"/>
        <v>0</v>
      </c>
      <c r="K139" s="49">
        <f t="shared" si="35"/>
        <v>0</v>
      </c>
      <c r="L139" s="49">
        <f t="shared" si="35"/>
        <v>0</v>
      </c>
      <c r="M139" s="49">
        <f t="shared" si="35"/>
        <v>0</v>
      </c>
      <c r="N139" s="50">
        <f t="shared" si="35"/>
        <v>605389</v>
      </c>
    </row>
    <row r="140" spans="2:14" ht="12.7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3.5" thickBot="1">
      <c r="A141" s="1" t="s">
        <v>1</v>
      </c>
      <c r="B141" s="49">
        <f>101.38+116.27-112367.66</f>
        <v>-112150.01000000001</v>
      </c>
      <c r="C141" s="49">
        <f>-96.92-111.72-104305.01</f>
        <v>-104513.65</v>
      </c>
      <c r="D141" s="49">
        <f>-180.29-24.01-112018.61</f>
        <v>-112222.91</v>
      </c>
      <c r="E141" s="49">
        <f>-85434.18</f>
        <v>-85434.18</v>
      </c>
      <c r="F141" s="49">
        <f>-88678.22</f>
        <v>-88678.22</v>
      </c>
      <c r="G141" s="49">
        <f>(1.32-13771.39-0.81-526.6-646.06+4.18+1.17+4.58+26.21+2.51)+(223.67+6.27+5.99+2.29-4.81+40.17+50.85-38.74+22.59+0.35+39.22+8.75-9.17-242.12+31.25+0.33)+(-1.9-0.27-0.27-0.27-77.65-8.82+0.05)</f>
        <v>-14857.13</v>
      </c>
      <c r="H141" s="49"/>
      <c r="I141" s="49"/>
      <c r="J141" s="49"/>
      <c r="K141" s="49"/>
      <c r="L141" s="49"/>
      <c r="M141" s="49"/>
      <c r="N141" s="50">
        <f>SUM(B141:M141)</f>
        <v>-517856.1</v>
      </c>
    </row>
    <row r="142" spans="2:14" ht="12.7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ht="13.5" thickBot="1">
      <c r="A143" s="3" t="s">
        <v>7</v>
      </c>
      <c r="B143" s="50">
        <f aca="true" t="shared" si="36" ref="B143:M143">SUM(B134,B139,B141)</f>
        <v>706835.22</v>
      </c>
      <c r="C143" s="50">
        <f t="shared" si="36"/>
        <v>700597.82</v>
      </c>
      <c r="D143" s="50">
        <f t="shared" si="36"/>
        <v>686651.1599999999</v>
      </c>
      <c r="E143" s="50">
        <f t="shared" si="36"/>
        <v>699493.23</v>
      </c>
      <c r="F143" s="50">
        <f t="shared" si="36"/>
        <v>610815.01</v>
      </c>
      <c r="G143" s="50">
        <f t="shared" si="36"/>
        <v>808241.88</v>
      </c>
      <c r="H143" s="50">
        <f t="shared" si="36"/>
        <v>808241.88</v>
      </c>
      <c r="I143" s="50">
        <f t="shared" si="36"/>
        <v>808241.88</v>
      </c>
      <c r="J143" s="50">
        <f t="shared" si="36"/>
        <v>808241.88</v>
      </c>
      <c r="K143" s="50">
        <f t="shared" si="36"/>
        <v>808241.88</v>
      </c>
      <c r="L143" s="50">
        <f t="shared" si="36"/>
        <v>808241.88</v>
      </c>
      <c r="M143" s="50">
        <f t="shared" si="36"/>
        <v>808241.88</v>
      </c>
      <c r="N143" s="47"/>
    </row>
    <row r="145" spans="1:13" ht="12.75">
      <c r="A145" s="2" t="s">
        <v>3</v>
      </c>
      <c r="B145" s="8">
        <v>0.0725</v>
      </c>
      <c r="C145" s="8">
        <v>0.0725</v>
      </c>
      <c r="D145" s="8">
        <v>0.0725</v>
      </c>
      <c r="E145" s="8">
        <v>0.0725</v>
      </c>
      <c r="F145" s="8">
        <v>0.0414</v>
      </c>
      <c r="G145" s="8">
        <v>0.0414</v>
      </c>
      <c r="H145" s="8">
        <v>0.0459</v>
      </c>
      <c r="I145" s="8">
        <v>0.0459</v>
      </c>
      <c r="J145" s="8">
        <v>0.0459</v>
      </c>
      <c r="K145" s="8">
        <v>0.0459</v>
      </c>
      <c r="L145" s="8">
        <v>0.0459</v>
      </c>
      <c r="M145" s="8">
        <v>0.0459</v>
      </c>
    </row>
    <row r="147" spans="1:14" ht="12.75">
      <c r="A147" s="3" t="s">
        <v>0</v>
      </c>
      <c r="B147" s="47">
        <f>M126</f>
        <v>58676.225806249975</v>
      </c>
      <c r="C147" s="47">
        <f>B151</f>
        <v>63030.509227083305</v>
      </c>
      <c r="D147" s="47">
        <f aca="true" t="shared" si="37" ref="D147:M147">C151</f>
        <v>67300.9720145833</v>
      </c>
      <c r="E147" s="47">
        <f t="shared" si="37"/>
        <v>71533.75051041663</v>
      </c>
      <c r="F147" s="47">
        <f t="shared" si="37"/>
        <v>75682.26793541663</v>
      </c>
      <c r="G147" s="47">
        <f t="shared" si="37"/>
        <v>78095.51957891663</v>
      </c>
      <c r="H147" s="47">
        <f t="shared" si="37"/>
        <v>80202.83136341663</v>
      </c>
      <c r="I147" s="47">
        <f t="shared" si="37"/>
        <v>83294.35655441662</v>
      </c>
      <c r="J147" s="47">
        <f t="shared" si="37"/>
        <v>86385.88174541661</v>
      </c>
      <c r="K147" s="47">
        <f t="shared" si="37"/>
        <v>89477.4069364166</v>
      </c>
      <c r="L147" s="47">
        <f t="shared" si="37"/>
        <v>92568.9321274166</v>
      </c>
      <c r="M147" s="47">
        <f t="shared" si="37"/>
        <v>95660.4573184166</v>
      </c>
      <c r="N147" s="47"/>
    </row>
    <row r="148" spans="2:14" ht="12.7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ht="13.5" thickBot="1">
      <c r="A149" s="1" t="s">
        <v>4</v>
      </c>
      <c r="B149" s="47">
        <f aca="true" t="shared" si="38" ref="B149:M149">B134*B145/12</f>
        <v>4354.2834208333325</v>
      </c>
      <c r="C149" s="47">
        <f t="shared" si="38"/>
        <v>4270.4627875</v>
      </c>
      <c r="D149" s="47">
        <f t="shared" si="38"/>
        <v>4232.778495833333</v>
      </c>
      <c r="E149" s="47">
        <f t="shared" si="38"/>
        <v>4148.517424999999</v>
      </c>
      <c r="F149" s="47">
        <f t="shared" si="38"/>
        <v>2413.2516435</v>
      </c>
      <c r="G149" s="47">
        <f t="shared" si="38"/>
        <v>2107.3117845</v>
      </c>
      <c r="H149" s="47">
        <f t="shared" si="38"/>
        <v>3091.525191</v>
      </c>
      <c r="I149" s="47">
        <f t="shared" si="38"/>
        <v>3091.525191</v>
      </c>
      <c r="J149" s="47">
        <f t="shared" si="38"/>
        <v>3091.525191</v>
      </c>
      <c r="K149" s="47">
        <f t="shared" si="38"/>
        <v>3091.525191</v>
      </c>
      <c r="L149" s="47">
        <f t="shared" si="38"/>
        <v>3091.525191</v>
      </c>
      <c r="M149" s="47">
        <f t="shared" si="38"/>
        <v>3091.525191</v>
      </c>
      <c r="N149" s="50">
        <f>SUM(B149:M149)</f>
        <v>40075.75670316667</v>
      </c>
    </row>
    <row r="150" spans="2:14" ht="12.7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ht="13.5" thickBot="1">
      <c r="A151" s="1" t="s">
        <v>5</v>
      </c>
      <c r="B151" s="50">
        <f>SUM(B147,B149)</f>
        <v>63030.509227083305</v>
      </c>
      <c r="C151" s="50">
        <f>SUM(C147,C149)</f>
        <v>67300.9720145833</v>
      </c>
      <c r="D151" s="50">
        <f aca="true" t="shared" si="39" ref="D151:M151">SUM(D147,D149)</f>
        <v>71533.75051041663</v>
      </c>
      <c r="E151" s="50">
        <f t="shared" si="39"/>
        <v>75682.26793541663</v>
      </c>
      <c r="F151" s="50">
        <f t="shared" si="39"/>
        <v>78095.51957891663</v>
      </c>
      <c r="G151" s="50">
        <f t="shared" si="39"/>
        <v>80202.83136341663</v>
      </c>
      <c r="H151" s="50">
        <f t="shared" si="39"/>
        <v>83294.35655441662</v>
      </c>
      <c r="I151" s="50">
        <f t="shared" si="39"/>
        <v>86385.88174541661</v>
      </c>
      <c r="J151" s="50">
        <f t="shared" si="39"/>
        <v>89477.4069364166</v>
      </c>
      <c r="K151" s="50">
        <f t="shared" si="39"/>
        <v>92568.9321274166</v>
      </c>
      <c r="L151" s="50">
        <f t="shared" si="39"/>
        <v>95660.4573184166</v>
      </c>
      <c r="M151" s="50">
        <f t="shared" si="39"/>
        <v>98751.98250941659</v>
      </c>
      <c r="N151" s="47"/>
    </row>
    <row r="154" spans="1:14" ht="15.75">
      <c r="A154" s="9">
        <v>2007</v>
      </c>
      <c r="B154" s="10">
        <v>2007</v>
      </c>
      <c r="C154" s="10">
        <v>2007</v>
      </c>
      <c r="D154" s="10">
        <v>2007</v>
      </c>
      <c r="E154" s="10">
        <v>2007</v>
      </c>
      <c r="F154" s="10">
        <v>2007</v>
      </c>
      <c r="G154" s="10">
        <v>2007</v>
      </c>
      <c r="H154" s="10">
        <v>2007</v>
      </c>
      <c r="I154" s="10">
        <v>2007</v>
      </c>
      <c r="J154" s="10">
        <v>2007</v>
      </c>
      <c r="K154" s="10">
        <v>2007</v>
      </c>
      <c r="L154" s="10">
        <v>2007</v>
      </c>
      <c r="M154" s="10">
        <v>2007</v>
      </c>
      <c r="N154" s="10">
        <v>2007</v>
      </c>
    </row>
    <row r="155" spans="1:14" ht="12.75">
      <c r="A155" s="11"/>
      <c r="B155" s="12" t="s">
        <v>8</v>
      </c>
      <c r="C155" s="12" t="s">
        <v>9</v>
      </c>
      <c r="D155" s="12" t="s">
        <v>10</v>
      </c>
      <c r="E155" s="12" t="s">
        <v>11</v>
      </c>
      <c r="F155" s="12" t="s">
        <v>12</v>
      </c>
      <c r="G155" s="12" t="s">
        <v>13</v>
      </c>
      <c r="H155" s="12" t="s">
        <v>14</v>
      </c>
      <c r="I155" s="12" t="s">
        <v>15</v>
      </c>
      <c r="J155" s="12" t="s">
        <v>16</v>
      </c>
      <c r="K155" s="12" t="s">
        <v>17</v>
      </c>
      <c r="L155" s="12" t="s">
        <v>18</v>
      </c>
      <c r="M155" s="12" t="s">
        <v>19</v>
      </c>
      <c r="N155" s="13" t="s">
        <v>20</v>
      </c>
    </row>
    <row r="156" ht="12.75">
      <c r="B156" s="1"/>
    </row>
    <row r="157" ht="12.75">
      <c r="A157" s="2" t="s">
        <v>2</v>
      </c>
    </row>
    <row r="159" spans="1:14" ht="12.75">
      <c r="A159" s="3" t="s">
        <v>0</v>
      </c>
      <c r="B159" s="49">
        <f>M143</f>
        <v>808241.88</v>
      </c>
      <c r="C159" s="49">
        <f>B168</f>
        <v>808241.88</v>
      </c>
      <c r="D159" s="49">
        <f>C168</f>
        <v>808241.88</v>
      </c>
      <c r="E159" s="49">
        <f aca="true" t="shared" si="40" ref="E159:L159">D168</f>
        <v>808241.88</v>
      </c>
      <c r="F159" s="49">
        <f t="shared" si="40"/>
        <v>808241.88</v>
      </c>
      <c r="G159" s="49">
        <f t="shared" si="40"/>
        <v>808241.88</v>
      </c>
      <c r="H159" s="49">
        <f t="shared" si="40"/>
        <v>808241.88</v>
      </c>
      <c r="I159" s="49">
        <f t="shared" si="40"/>
        <v>808241.88</v>
      </c>
      <c r="J159" s="49">
        <f t="shared" si="40"/>
        <v>808241.88</v>
      </c>
      <c r="K159" s="49">
        <f t="shared" si="40"/>
        <v>808241.88</v>
      </c>
      <c r="L159" s="49">
        <f t="shared" si="40"/>
        <v>808241.88</v>
      </c>
      <c r="M159" s="49">
        <f>L168</f>
        <v>808241.88</v>
      </c>
      <c r="N159" s="47"/>
    </row>
    <row r="160" spans="2:14" ht="12.7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2.75">
      <c r="A161" s="4" t="s">
        <v>6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2.75">
      <c r="A162" s="5"/>
      <c r="B162" s="51"/>
      <c r="C162" s="51"/>
      <c r="D162" s="51"/>
      <c r="E162" s="51"/>
      <c r="F162" s="51"/>
      <c r="G162" s="51"/>
      <c r="H162" s="47"/>
      <c r="I162" s="47"/>
      <c r="J162" s="47"/>
      <c r="K162" s="47"/>
      <c r="L162" s="47"/>
      <c r="M162" s="47"/>
      <c r="N162" s="47">
        <f>SUM(B162:M162)</f>
        <v>0</v>
      </c>
    </row>
    <row r="163" spans="1:14" ht="12.75">
      <c r="A163" s="5"/>
      <c r="B163" s="51"/>
      <c r="C163" s="51"/>
      <c r="D163" s="51"/>
      <c r="E163" s="51"/>
      <c r="F163" s="51"/>
      <c r="G163" s="51"/>
      <c r="H163" s="47"/>
      <c r="I163" s="47"/>
      <c r="J163" s="47"/>
      <c r="K163" s="47"/>
      <c r="L163" s="47"/>
      <c r="M163" s="47"/>
      <c r="N163" s="47">
        <f>SUM(B163:M163)</f>
        <v>0</v>
      </c>
    </row>
    <row r="164" spans="1:14" ht="13.5" thickBot="1">
      <c r="A164" s="5"/>
      <c r="B164" s="49">
        <f aca="true" t="shared" si="41" ref="B164:N164">SUM(B162:B163)</f>
        <v>0</v>
      </c>
      <c r="C164" s="49">
        <f t="shared" si="41"/>
        <v>0</v>
      </c>
      <c r="D164" s="49">
        <f t="shared" si="41"/>
        <v>0</v>
      </c>
      <c r="E164" s="49">
        <f t="shared" si="41"/>
        <v>0</v>
      </c>
      <c r="F164" s="49">
        <f t="shared" si="41"/>
        <v>0</v>
      </c>
      <c r="G164" s="49">
        <f t="shared" si="41"/>
        <v>0</v>
      </c>
      <c r="H164" s="49">
        <f t="shared" si="41"/>
        <v>0</v>
      </c>
      <c r="I164" s="49">
        <f t="shared" si="41"/>
        <v>0</v>
      </c>
      <c r="J164" s="49">
        <f t="shared" si="41"/>
        <v>0</v>
      </c>
      <c r="K164" s="49">
        <f t="shared" si="41"/>
        <v>0</v>
      </c>
      <c r="L164" s="49">
        <f t="shared" si="41"/>
        <v>0</v>
      </c>
      <c r="M164" s="49">
        <f t="shared" si="41"/>
        <v>0</v>
      </c>
      <c r="N164" s="50">
        <f t="shared" si="41"/>
        <v>0</v>
      </c>
    </row>
    <row r="165" spans="2:14" ht="12.7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ht="13.5" thickBot="1">
      <c r="A166" s="1" t="s">
        <v>1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50">
        <f>SUM(B166:M166)</f>
        <v>0</v>
      </c>
    </row>
    <row r="167" spans="2:14" ht="12.7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3.5" thickBot="1">
      <c r="A168" s="3" t="s">
        <v>7</v>
      </c>
      <c r="B168" s="50">
        <f aca="true" t="shared" si="42" ref="B168:M168">SUM(B159,B164,B166)</f>
        <v>808241.88</v>
      </c>
      <c r="C168" s="50">
        <f t="shared" si="42"/>
        <v>808241.88</v>
      </c>
      <c r="D168" s="50">
        <f t="shared" si="42"/>
        <v>808241.88</v>
      </c>
      <c r="E168" s="50">
        <f t="shared" si="42"/>
        <v>808241.88</v>
      </c>
      <c r="F168" s="50">
        <f t="shared" si="42"/>
        <v>808241.88</v>
      </c>
      <c r="G168" s="50">
        <f t="shared" si="42"/>
        <v>808241.88</v>
      </c>
      <c r="H168" s="50">
        <f t="shared" si="42"/>
        <v>808241.88</v>
      </c>
      <c r="I168" s="50">
        <f t="shared" si="42"/>
        <v>808241.88</v>
      </c>
      <c r="J168" s="50">
        <f t="shared" si="42"/>
        <v>808241.88</v>
      </c>
      <c r="K168" s="50">
        <f t="shared" si="42"/>
        <v>808241.88</v>
      </c>
      <c r="L168" s="50">
        <f t="shared" si="42"/>
        <v>808241.88</v>
      </c>
      <c r="M168" s="50">
        <f t="shared" si="42"/>
        <v>808241.88</v>
      </c>
      <c r="N168" s="47"/>
    </row>
    <row r="170" spans="1:13" ht="12.75">
      <c r="A170" s="2" t="s">
        <v>3</v>
      </c>
      <c r="B170" s="8">
        <v>0.0459</v>
      </c>
      <c r="C170" s="8">
        <v>0.0459</v>
      </c>
      <c r="D170" s="8">
        <v>0.0459</v>
      </c>
      <c r="E170" s="8">
        <v>0.0459</v>
      </c>
      <c r="F170" s="8">
        <v>0.0459</v>
      </c>
      <c r="G170" s="8">
        <v>0.0459</v>
      </c>
      <c r="H170" s="8">
        <v>0.0459</v>
      </c>
      <c r="I170" s="8">
        <v>0.0459</v>
      </c>
      <c r="J170" s="8">
        <v>0.0459</v>
      </c>
      <c r="K170" s="8">
        <v>0.0514</v>
      </c>
      <c r="L170" s="8">
        <v>0.0514</v>
      </c>
      <c r="M170" s="8">
        <v>0.0514</v>
      </c>
    </row>
    <row r="172" spans="1:14" ht="12.75">
      <c r="A172" s="3" t="s">
        <v>0</v>
      </c>
      <c r="B172" s="47">
        <f>M151</f>
        <v>98751.98250941659</v>
      </c>
      <c r="C172" s="47">
        <f>B176</f>
        <v>101843.50770041658</v>
      </c>
      <c r="D172" s="47">
        <f aca="true" t="shared" si="43" ref="D172:M172">C176</f>
        <v>104935.03289141657</v>
      </c>
      <c r="E172" s="47">
        <f t="shared" si="43"/>
        <v>108026.55808241657</v>
      </c>
      <c r="F172" s="47">
        <f t="shared" si="43"/>
        <v>111118.08327341656</v>
      </c>
      <c r="G172" s="47">
        <f t="shared" si="43"/>
        <v>114209.60846441655</v>
      </c>
      <c r="H172" s="47">
        <f t="shared" si="43"/>
        <v>117301.13365541655</v>
      </c>
      <c r="I172" s="47">
        <f t="shared" si="43"/>
        <v>120392.65884641654</v>
      </c>
      <c r="J172" s="47">
        <f t="shared" si="43"/>
        <v>123484.18403741653</v>
      </c>
      <c r="K172" s="47">
        <f t="shared" si="43"/>
        <v>126575.70922841653</v>
      </c>
      <c r="L172" s="47">
        <f t="shared" si="43"/>
        <v>130037.67861441652</v>
      </c>
      <c r="M172" s="47">
        <f t="shared" si="43"/>
        <v>133499.64800041652</v>
      </c>
      <c r="N172" s="47"/>
    </row>
    <row r="173" spans="2:14" ht="12.7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13.5" thickBot="1">
      <c r="A174" s="1" t="s">
        <v>4</v>
      </c>
      <c r="B174" s="47">
        <f aca="true" t="shared" si="44" ref="B174:M174">B159*B170/12</f>
        <v>3091.525191</v>
      </c>
      <c r="C174" s="47">
        <f t="shared" si="44"/>
        <v>3091.525191</v>
      </c>
      <c r="D174" s="47">
        <f t="shared" si="44"/>
        <v>3091.525191</v>
      </c>
      <c r="E174" s="47">
        <f t="shared" si="44"/>
        <v>3091.525191</v>
      </c>
      <c r="F174" s="47">
        <f t="shared" si="44"/>
        <v>3091.525191</v>
      </c>
      <c r="G174" s="47">
        <f t="shared" si="44"/>
        <v>3091.525191</v>
      </c>
      <c r="H174" s="47">
        <f t="shared" si="44"/>
        <v>3091.525191</v>
      </c>
      <c r="I174" s="47">
        <f t="shared" si="44"/>
        <v>3091.525191</v>
      </c>
      <c r="J174" s="47">
        <f t="shared" si="44"/>
        <v>3091.525191</v>
      </c>
      <c r="K174" s="47">
        <f t="shared" si="44"/>
        <v>3461.969386</v>
      </c>
      <c r="L174" s="47">
        <f t="shared" si="44"/>
        <v>3461.969386</v>
      </c>
      <c r="M174" s="47">
        <f t="shared" si="44"/>
        <v>3461.969386</v>
      </c>
      <c r="N174" s="50">
        <f>SUM(B174:M174)</f>
        <v>38209.634877</v>
      </c>
    </row>
    <row r="175" spans="2:14" ht="12.7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ht="13.5" thickBot="1">
      <c r="A176" s="1" t="s">
        <v>5</v>
      </c>
      <c r="B176" s="50">
        <f>SUM(B172,B174)</f>
        <v>101843.50770041658</v>
      </c>
      <c r="C176" s="50">
        <f>SUM(C172,C174)</f>
        <v>104935.03289141657</v>
      </c>
      <c r="D176" s="50">
        <f aca="true" t="shared" si="45" ref="D176:M176">SUM(D172,D174)</f>
        <v>108026.55808241657</v>
      </c>
      <c r="E176" s="50">
        <f t="shared" si="45"/>
        <v>111118.08327341656</v>
      </c>
      <c r="F176" s="50">
        <f t="shared" si="45"/>
        <v>114209.60846441655</v>
      </c>
      <c r="G176" s="50">
        <f t="shared" si="45"/>
        <v>117301.13365541655</v>
      </c>
      <c r="H176" s="50">
        <f t="shared" si="45"/>
        <v>120392.65884641654</v>
      </c>
      <c r="I176" s="50">
        <f t="shared" si="45"/>
        <v>123484.18403741653</v>
      </c>
      <c r="J176" s="50">
        <f t="shared" si="45"/>
        <v>126575.70922841653</v>
      </c>
      <c r="K176" s="50">
        <f t="shared" si="45"/>
        <v>130037.67861441652</v>
      </c>
      <c r="L176" s="50">
        <f t="shared" si="45"/>
        <v>133499.64800041652</v>
      </c>
      <c r="M176" s="50">
        <f t="shared" si="45"/>
        <v>136961.61738641653</v>
      </c>
      <c r="N176" s="47"/>
    </row>
    <row r="179" spans="1:14" ht="15.75">
      <c r="A179" s="34">
        <v>2008</v>
      </c>
      <c r="B179" s="15">
        <v>2008</v>
      </c>
      <c r="C179" s="15">
        <v>2008</v>
      </c>
      <c r="D179" s="15">
        <v>2008</v>
      </c>
      <c r="E179" s="15">
        <v>2008</v>
      </c>
      <c r="F179" s="15">
        <v>2008</v>
      </c>
      <c r="G179" s="15">
        <v>2008</v>
      </c>
      <c r="H179" s="15">
        <v>2008</v>
      </c>
      <c r="I179" s="15">
        <v>2008</v>
      </c>
      <c r="J179" s="15">
        <v>2008</v>
      </c>
      <c r="K179" s="15">
        <v>2008</v>
      </c>
      <c r="L179" s="15">
        <v>2008</v>
      </c>
      <c r="M179" s="15">
        <v>2008</v>
      </c>
      <c r="N179" s="15">
        <v>2008</v>
      </c>
    </row>
    <row r="180" spans="1:14" ht="12.75">
      <c r="A180" s="14"/>
      <c r="B180" s="16" t="s">
        <v>8</v>
      </c>
      <c r="C180" s="16" t="s">
        <v>9</v>
      </c>
      <c r="D180" s="16" t="s">
        <v>10</v>
      </c>
      <c r="E180" s="16" t="s">
        <v>11</v>
      </c>
      <c r="F180" s="16" t="s">
        <v>12</v>
      </c>
      <c r="G180" s="16" t="s">
        <v>13</v>
      </c>
      <c r="H180" s="16" t="s">
        <v>14</v>
      </c>
      <c r="I180" s="16" t="s">
        <v>15</v>
      </c>
      <c r="J180" s="16" t="s">
        <v>16</v>
      </c>
      <c r="K180" s="16" t="s">
        <v>17</v>
      </c>
      <c r="L180" s="16" t="s">
        <v>18</v>
      </c>
      <c r="M180" s="16" t="s">
        <v>19</v>
      </c>
      <c r="N180" s="17" t="s">
        <v>20</v>
      </c>
    </row>
    <row r="181" ht="12.75">
      <c r="B181" s="1"/>
    </row>
    <row r="182" ht="12.75">
      <c r="A182" s="2" t="s">
        <v>2</v>
      </c>
    </row>
    <row r="184" spans="1:14" ht="12.75">
      <c r="A184" s="3" t="s">
        <v>0</v>
      </c>
      <c r="B184" s="49">
        <f>M168</f>
        <v>808241.88</v>
      </c>
      <c r="C184" s="49">
        <f>B193</f>
        <v>808241.88</v>
      </c>
      <c r="D184" s="49">
        <f>C193</f>
        <v>808241.88</v>
      </c>
      <c r="E184" s="49">
        <f aca="true" t="shared" si="46" ref="E184:L184">D193</f>
        <v>808241.88</v>
      </c>
      <c r="F184" s="49">
        <f t="shared" si="46"/>
        <v>808241.88</v>
      </c>
      <c r="G184" s="49">
        <f t="shared" si="46"/>
        <v>808241.88</v>
      </c>
      <c r="H184" s="49">
        <f t="shared" si="46"/>
        <v>808241.88</v>
      </c>
      <c r="I184" s="49">
        <f t="shared" si="46"/>
        <v>808241.88</v>
      </c>
      <c r="J184" s="49">
        <f t="shared" si="46"/>
        <v>808241.88</v>
      </c>
      <c r="K184" s="49">
        <f t="shared" si="46"/>
        <v>808241.88</v>
      </c>
      <c r="L184" s="49">
        <f t="shared" si="46"/>
        <v>808241.88</v>
      </c>
      <c r="M184" s="49">
        <f>L193</f>
        <v>808241.88</v>
      </c>
      <c r="N184" s="47"/>
    </row>
    <row r="185" spans="2:14" ht="12.7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ht="12.75">
      <c r="A186" s="4" t="s">
        <v>6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2.75">
      <c r="A187" s="5"/>
      <c r="B187" s="51"/>
      <c r="C187" s="51"/>
      <c r="D187" s="51"/>
      <c r="E187" s="51"/>
      <c r="F187" s="51"/>
      <c r="G187" s="51"/>
      <c r="H187" s="47"/>
      <c r="I187" s="47"/>
      <c r="J187" s="47"/>
      <c r="K187" s="47"/>
      <c r="L187" s="47"/>
      <c r="M187" s="47"/>
      <c r="N187" s="47">
        <f>SUM(B187:M187)</f>
        <v>0</v>
      </c>
    </row>
    <row r="188" spans="1:14" ht="12.75">
      <c r="A188" s="5"/>
      <c r="B188" s="51"/>
      <c r="C188" s="51"/>
      <c r="D188" s="51"/>
      <c r="E188" s="51"/>
      <c r="F188" s="51"/>
      <c r="G188" s="51"/>
      <c r="H188" s="47"/>
      <c r="I188" s="47"/>
      <c r="J188" s="47"/>
      <c r="K188" s="47"/>
      <c r="L188" s="47"/>
      <c r="M188" s="47"/>
      <c r="N188" s="47">
        <f>SUM(B188:M188)</f>
        <v>0</v>
      </c>
    </row>
    <row r="189" spans="1:14" ht="13.5" thickBot="1">
      <c r="A189" s="5"/>
      <c r="B189" s="49">
        <f aca="true" t="shared" si="47" ref="B189:N189">SUM(B187:B188)</f>
        <v>0</v>
      </c>
      <c r="C189" s="49">
        <f t="shared" si="47"/>
        <v>0</v>
      </c>
      <c r="D189" s="49">
        <f t="shared" si="47"/>
        <v>0</v>
      </c>
      <c r="E189" s="49">
        <f t="shared" si="47"/>
        <v>0</v>
      </c>
      <c r="F189" s="49">
        <f t="shared" si="47"/>
        <v>0</v>
      </c>
      <c r="G189" s="49">
        <f t="shared" si="47"/>
        <v>0</v>
      </c>
      <c r="H189" s="49">
        <f t="shared" si="47"/>
        <v>0</v>
      </c>
      <c r="I189" s="49">
        <f t="shared" si="47"/>
        <v>0</v>
      </c>
      <c r="J189" s="49">
        <f t="shared" si="47"/>
        <v>0</v>
      </c>
      <c r="K189" s="49">
        <f t="shared" si="47"/>
        <v>0</v>
      </c>
      <c r="L189" s="49">
        <f t="shared" si="47"/>
        <v>0</v>
      </c>
      <c r="M189" s="49">
        <f t="shared" si="47"/>
        <v>0</v>
      </c>
      <c r="N189" s="50">
        <f t="shared" si="47"/>
        <v>0</v>
      </c>
    </row>
    <row r="190" spans="2:14" ht="12.7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ht="13.5" thickBot="1">
      <c r="A191" s="1" t="s">
        <v>1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50">
        <f>SUM(B191:M191)</f>
        <v>0</v>
      </c>
    </row>
    <row r="192" spans="2:14" ht="12.7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3.5" thickBot="1">
      <c r="A193" s="3" t="s">
        <v>7</v>
      </c>
      <c r="B193" s="50">
        <f aca="true" t="shared" si="48" ref="B193:M193">SUM(B184,B189,B191)</f>
        <v>808241.88</v>
      </c>
      <c r="C193" s="50">
        <f t="shared" si="48"/>
        <v>808241.88</v>
      </c>
      <c r="D193" s="50">
        <f t="shared" si="48"/>
        <v>808241.88</v>
      </c>
      <c r="E193" s="50">
        <f t="shared" si="48"/>
        <v>808241.88</v>
      </c>
      <c r="F193" s="50">
        <f t="shared" si="48"/>
        <v>808241.88</v>
      </c>
      <c r="G193" s="50">
        <f t="shared" si="48"/>
        <v>808241.88</v>
      </c>
      <c r="H193" s="50">
        <f t="shared" si="48"/>
        <v>808241.88</v>
      </c>
      <c r="I193" s="50">
        <f t="shared" si="48"/>
        <v>808241.88</v>
      </c>
      <c r="J193" s="50">
        <f t="shared" si="48"/>
        <v>808241.88</v>
      </c>
      <c r="K193" s="50">
        <f t="shared" si="48"/>
        <v>808241.88</v>
      </c>
      <c r="L193" s="50">
        <f t="shared" si="48"/>
        <v>808241.88</v>
      </c>
      <c r="M193" s="50">
        <f t="shared" si="48"/>
        <v>808241.88</v>
      </c>
      <c r="N193" s="47"/>
    </row>
    <row r="195" spans="1:13" ht="12.75">
      <c r="A195" s="2" t="s">
        <v>3</v>
      </c>
      <c r="B195" s="8">
        <v>0.0514</v>
      </c>
      <c r="C195" s="8">
        <v>0.0514</v>
      </c>
      <c r="D195" s="8">
        <v>0.0514</v>
      </c>
      <c r="E195" s="8">
        <v>0.0408</v>
      </c>
      <c r="F195" s="8">
        <v>0.0408</v>
      </c>
      <c r="G195" s="8">
        <v>0.0408</v>
      </c>
      <c r="H195" s="8">
        <v>0.0335</v>
      </c>
      <c r="I195" s="8">
        <v>0.0335</v>
      </c>
      <c r="J195" s="8">
        <v>0.0335</v>
      </c>
      <c r="K195" s="8">
        <v>0.0335</v>
      </c>
      <c r="L195" s="8">
        <v>0.0335</v>
      </c>
      <c r="M195" s="8">
        <v>0.0335</v>
      </c>
    </row>
    <row r="197" spans="1:14" ht="12.75">
      <c r="A197" s="3" t="s">
        <v>0</v>
      </c>
      <c r="B197" s="47">
        <f>M176</f>
        <v>136961.61738641653</v>
      </c>
      <c r="C197" s="47">
        <f>B201</f>
        <v>140423.58677241654</v>
      </c>
      <c r="D197" s="47">
        <f aca="true" t="shared" si="49" ref="D197:M197">C201</f>
        <v>143885.55615841656</v>
      </c>
      <c r="E197" s="47">
        <f t="shared" si="49"/>
        <v>147347.52554441657</v>
      </c>
      <c r="F197" s="47">
        <f t="shared" si="49"/>
        <v>150095.54793641658</v>
      </c>
      <c r="G197" s="47">
        <f t="shared" si="49"/>
        <v>152843.5703284166</v>
      </c>
      <c r="H197" s="47">
        <f t="shared" si="49"/>
        <v>155591.5927204166</v>
      </c>
      <c r="I197" s="47">
        <f t="shared" si="49"/>
        <v>157847.9346354166</v>
      </c>
      <c r="J197" s="47">
        <f t="shared" si="49"/>
        <v>160104.2765504166</v>
      </c>
      <c r="K197" s="47">
        <f t="shared" si="49"/>
        <v>162360.6184654166</v>
      </c>
      <c r="L197" s="47">
        <f t="shared" si="49"/>
        <v>164616.9603804166</v>
      </c>
      <c r="M197" s="47">
        <f t="shared" si="49"/>
        <v>166873.3022954166</v>
      </c>
      <c r="N197" s="47"/>
    </row>
    <row r="198" spans="2:14" ht="12.7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ht="13.5" thickBot="1">
      <c r="A199" s="1" t="s">
        <v>4</v>
      </c>
      <c r="B199" s="47">
        <f aca="true" t="shared" si="50" ref="B199:M199">B184*B195/12</f>
        <v>3461.969386</v>
      </c>
      <c r="C199" s="47">
        <f t="shared" si="50"/>
        <v>3461.969386</v>
      </c>
      <c r="D199" s="47">
        <f t="shared" si="50"/>
        <v>3461.969386</v>
      </c>
      <c r="E199" s="47">
        <f t="shared" si="50"/>
        <v>2748.0223920000003</v>
      </c>
      <c r="F199" s="47">
        <f t="shared" si="50"/>
        <v>2748.0223920000003</v>
      </c>
      <c r="G199" s="47">
        <f t="shared" si="50"/>
        <v>2748.0223920000003</v>
      </c>
      <c r="H199" s="47">
        <f t="shared" si="50"/>
        <v>2256.3419150000004</v>
      </c>
      <c r="I199" s="47">
        <f t="shared" si="50"/>
        <v>2256.3419150000004</v>
      </c>
      <c r="J199" s="47">
        <f t="shared" si="50"/>
        <v>2256.3419150000004</v>
      </c>
      <c r="K199" s="47">
        <f t="shared" si="50"/>
        <v>2256.3419150000004</v>
      </c>
      <c r="L199" s="47">
        <f t="shared" si="50"/>
        <v>2256.3419150000004</v>
      </c>
      <c r="M199" s="47">
        <f t="shared" si="50"/>
        <v>2256.3419150000004</v>
      </c>
      <c r="N199" s="50">
        <f>SUM(B199:M199)</f>
        <v>32168.026824000008</v>
      </c>
    </row>
    <row r="200" spans="2:14" ht="12.7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ht="13.5" thickBot="1">
      <c r="A201" s="1" t="s">
        <v>5</v>
      </c>
      <c r="B201" s="50">
        <f>SUM(B197,B199)</f>
        <v>140423.58677241654</v>
      </c>
      <c r="C201" s="50">
        <f>SUM(C197,C199)</f>
        <v>143885.55615841656</v>
      </c>
      <c r="D201" s="50">
        <f aca="true" t="shared" si="51" ref="D201:M201">SUM(D197,D199)</f>
        <v>147347.52554441657</v>
      </c>
      <c r="E201" s="50">
        <f t="shared" si="51"/>
        <v>150095.54793641658</v>
      </c>
      <c r="F201" s="50">
        <f t="shared" si="51"/>
        <v>152843.5703284166</v>
      </c>
      <c r="G201" s="50">
        <f t="shared" si="51"/>
        <v>155591.5927204166</v>
      </c>
      <c r="H201" s="50">
        <f t="shared" si="51"/>
        <v>157847.9346354166</v>
      </c>
      <c r="I201" s="50">
        <f t="shared" si="51"/>
        <v>160104.2765504166</v>
      </c>
      <c r="J201" s="50">
        <f t="shared" si="51"/>
        <v>162360.6184654166</v>
      </c>
      <c r="K201" s="50">
        <f t="shared" si="51"/>
        <v>164616.9603804166</v>
      </c>
      <c r="L201" s="50">
        <f t="shared" si="51"/>
        <v>166873.3022954166</v>
      </c>
      <c r="M201" s="50">
        <f t="shared" si="51"/>
        <v>169129.6442104166</v>
      </c>
      <c r="N201" s="47"/>
    </row>
    <row r="204" spans="1:14" ht="15.75">
      <c r="A204" s="35">
        <v>2009</v>
      </c>
      <c r="B204" s="23">
        <v>2009</v>
      </c>
      <c r="C204" s="23">
        <v>2009</v>
      </c>
      <c r="D204" s="23">
        <v>2009</v>
      </c>
      <c r="E204" s="23">
        <v>2009</v>
      </c>
      <c r="F204" s="23">
        <v>2009</v>
      </c>
      <c r="G204" s="23">
        <v>2009</v>
      </c>
      <c r="H204" s="23">
        <v>2009</v>
      </c>
      <c r="I204" s="23">
        <v>2009</v>
      </c>
      <c r="J204" s="23">
        <v>2009</v>
      </c>
      <c r="K204" s="23">
        <v>2009</v>
      </c>
      <c r="L204" s="23">
        <v>2009</v>
      </c>
      <c r="M204" s="23">
        <v>2009</v>
      </c>
      <c r="N204" s="23">
        <v>2009</v>
      </c>
    </row>
    <row r="205" spans="1:14" ht="12.75">
      <c r="A205" s="22"/>
      <c r="B205" s="24" t="s">
        <v>8</v>
      </c>
      <c r="C205" s="24" t="s">
        <v>9</v>
      </c>
      <c r="D205" s="24" t="s">
        <v>10</v>
      </c>
      <c r="E205" s="24" t="s">
        <v>11</v>
      </c>
      <c r="F205" s="24" t="s">
        <v>12</v>
      </c>
      <c r="G205" s="24" t="s">
        <v>13</v>
      </c>
      <c r="H205" s="24" t="s">
        <v>14</v>
      </c>
      <c r="I205" s="24" t="s">
        <v>15</v>
      </c>
      <c r="J205" s="24" t="s">
        <v>16</v>
      </c>
      <c r="K205" s="24" t="s">
        <v>17</v>
      </c>
      <c r="L205" s="24" t="s">
        <v>18</v>
      </c>
      <c r="M205" s="24" t="s">
        <v>19</v>
      </c>
      <c r="N205" s="25" t="s">
        <v>20</v>
      </c>
    </row>
    <row r="206" ht="12.75">
      <c r="B206" s="1"/>
    </row>
    <row r="207" ht="12.75">
      <c r="A207" s="2" t="s">
        <v>2</v>
      </c>
    </row>
    <row r="209" spans="1:14" ht="12.75">
      <c r="A209" s="3" t="s">
        <v>0</v>
      </c>
      <c r="B209" s="49">
        <f>M193</f>
        <v>808241.88</v>
      </c>
      <c r="C209" s="49">
        <f>B218</f>
        <v>808241.88</v>
      </c>
      <c r="D209" s="49">
        <f>C218</f>
        <v>808241.88</v>
      </c>
      <c r="E209" s="49">
        <f aca="true" t="shared" si="52" ref="E209:L209">D218</f>
        <v>808241.88</v>
      </c>
      <c r="F209" s="49">
        <f t="shared" si="52"/>
        <v>808241.88</v>
      </c>
      <c r="G209" s="49">
        <f t="shared" si="52"/>
        <v>808241.88</v>
      </c>
      <c r="H209" s="49">
        <f t="shared" si="52"/>
        <v>808241.88</v>
      </c>
      <c r="I209" s="49">
        <f t="shared" si="52"/>
        <v>808241.88</v>
      </c>
      <c r="J209" s="49">
        <f t="shared" si="52"/>
        <v>808241.88</v>
      </c>
      <c r="K209" s="49">
        <f t="shared" si="52"/>
        <v>808241.88</v>
      </c>
      <c r="L209" s="49">
        <f t="shared" si="52"/>
        <v>808241.88</v>
      </c>
      <c r="M209" s="49">
        <f>L218</f>
        <v>808241.88</v>
      </c>
      <c r="N209" s="47"/>
    </row>
    <row r="210" spans="2:14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</row>
    <row r="211" spans="1:14" ht="12.75">
      <c r="A211" s="4" t="s">
        <v>6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1:14" ht="12.75">
      <c r="A212" s="5"/>
      <c r="B212" s="51"/>
      <c r="C212" s="51"/>
      <c r="D212" s="51"/>
      <c r="E212" s="51"/>
      <c r="F212" s="51"/>
      <c r="G212" s="51"/>
      <c r="H212" s="47"/>
      <c r="I212" s="47"/>
      <c r="J212" s="47"/>
      <c r="K212" s="47"/>
      <c r="L212" s="47"/>
      <c r="M212" s="47"/>
      <c r="N212" s="47">
        <f>SUM(B212:M212)</f>
        <v>0</v>
      </c>
    </row>
    <row r="213" spans="1:14" ht="12.75">
      <c r="A213" s="5"/>
      <c r="B213" s="51"/>
      <c r="C213" s="51"/>
      <c r="D213" s="51"/>
      <c r="E213" s="51"/>
      <c r="F213" s="51"/>
      <c r="G213" s="51"/>
      <c r="H213" s="47"/>
      <c r="I213" s="47"/>
      <c r="J213" s="47"/>
      <c r="K213" s="47"/>
      <c r="L213" s="47"/>
      <c r="M213" s="47"/>
      <c r="N213" s="47">
        <f>SUM(B213:M213)</f>
        <v>0</v>
      </c>
    </row>
    <row r="214" spans="1:14" ht="13.5" thickBot="1">
      <c r="A214" s="5"/>
      <c r="B214" s="49">
        <f aca="true" t="shared" si="53" ref="B214:N214">SUM(B212:B213)</f>
        <v>0</v>
      </c>
      <c r="C214" s="49">
        <f t="shared" si="53"/>
        <v>0</v>
      </c>
      <c r="D214" s="49">
        <f t="shared" si="53"/>
        <v>0</v>
      </c>
      <c r="E214" s="49">
        <f t="shared" si="53"/>
        <v>0</v>
      </c>
      <c r="F214" s="49">
        <f t="shared" si="53"/>
        <v>0</v>
      </c>
      <c r="G214" s="49">
        <f t="shared" si="53"/>
        <v>0</v>
      </c>
      <c r="H214" s="49">
        <f t="shared" si="53"/>
        <v>0</v>
      </c>
      <c r="I214" s="49">
        <f t="shared" si="53"/>
        <v>0</v>
      </c>
      <c r="J214" s="49">
        <f t="shared" si="53"/>
        <v>0</v>
      </c>
      <c r="K214" s="49">
        <f t="shared" si="53"/>
        <v>0</v>
      </c>
      <c r="L214" s="49">
        <f t="shared" si="53"/>
        <v>0</v>
      </c>
      <c r="M214" s="49">
        <f t="shared" si="53"/>
        <v>0</v>
      </c>
      <c r="N214" s="50">
        <f t="shared" si="53"/>
        <v>0</v>
      </c>
    </row>
    <row r="215" spans="2:14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</row>
    <row r="216" spans="1:14" ht="13.5" thickBot="1">
      <c r="A216" s="1" t="s">
        <v>1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50">
        <f>SUM(B216:M216)</f>
        <v>0</v>
      </c>
    </row>
    <row r="217" spans="2:14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</row>
    <row r="218" spans="1:14" ht="13.5" thickBot="1">
      <c r="A218" s="3" t="s">
        <v>7</v>
      </c>
      <c r="B218" s="50">
        <f aca="true" t="shared" si="54" ref="B218:M218">SUM(B209,B214,B216)</f>
        <v>808241.88</v>
      </c>
      <c r="C218" s="50">
        <f t="shared" si="54"/>
        <v>808241.88</v>
      </c>
      <c r="D218" s="50">
        <f t="shared" si="54"/>
        <v>808241.88</v>
      </c>
      <c r="E218" s="50">
        <f t="shared" si="54"/>
        <v>808241.88</v>
      </c>
      <c r="F218" s="50">
        <f t="shared" si="54"/>
        <v>808241.88</v>
      </c>
      <c r="G218" s="50">
        <f t="shared" si="54"/>
        <v>808241.88</v>
      </c>
      <c r="H218" s="50">
        <f t="shared" si="54"/>
        <v>808241.88</v>
      </c>
      <c r="I218" s="50">
        <f t="shared" si="54"/>
        <v>808241.88</v>
      </c>
      <c r="J218" s="50">
        <f t="shared" si="54"/>
        <v>808241.88</v>
      </c>
      <c r="K218" s="50">
        <f t="shared" si="54"/>
        <v>808241.88</v>
      </c>
      <c r="L218" s="50">
        <f t="shared" si="54"/>
        <v>808241.88</v>
      </c>
      <c r="M218" s="50">
        <f t="shared" si="54"/>
        <v>808241.88</v>
      </c>
      <c r="N218" s="47"/>
    </row>
    <row r="220" spans="1:13" ht="12.75">
      <c r="A220" s="2" t="s">
        <v>3</v>
      </c>
      <c r="B220" s="8">
        <v>0.0245</v>
      </c>
      <c r="C220" s="8">
        <v>0.0245</v>
      </c>
      <c r="D220" s="8">
        <v>0.0245</v>
      </c>
      <c r="E220" s="8">
        <v>0.01</v>
      </c>
      <c r="F220" s="8">
        <v>0.01</v>
      </c>
      <c r="G220" s="8">
        <v>0.01</v>
      </c>
      <c r="H220" s="8">
        <v>0.0055</v>
      </c>
      <c r="I220" s="8">
        <v>0.0055</v>
      </c>
      <c r="J220" s="8">
        <v>0.0055</v>
      </c>
      <c r="K220" s="8">
        <v>0.0055</v>
      </c>
      <c r="L220" s="8">
        <v>0.0055</v>
      </c>
      <c r="M220" s="8">
        <v>0.0055</v>
      </c>
    </row>
    <row r="222" spans="1:14" ht="12.75">
      <c r="A222" s="3" t="s">
        <v>0</v>
      </c>
      <c r="B222" s="47">
        <f>M201</f>
        <v>169129.6442104166</v>
      </c>
      <c r="C222" s="47">
        <f>B226</f>
        <v>170779.8047154166</v>
      </c>
      <c r="D222" s="47">
        <f aca="true" t="shared" si="55" ref="D222:M222">C226</f>
        <v>172429.9652204166</v>
      </c>
      <c r="E222" s="47">
        <f t="shared" si="55"/>
        <v>174080.1257254166</v>
      </c>
      <c r="F222" s="47">
        <f t="shared" si="55"/>
        <v>174753.6606254166</v>
      </c>
      <c r="G222" s="47">
        <f t="shared" si="55"/>
        <v>175427.1955254166</v>
      </c>
      <c r="H222" s="47">
        <f t="shared" si="55"/>
        <v>176100.7304254166</v>
      </c>
      <c r="I222" s="47">
        <f t="shared" si="55"/>
        <v>176471.1746204166</v>
      </c>
      <c r="J222" s="47">
        <f t="shared" si="55"/>
        <v>176841.6188154166</v>
      </c>
      <c r="K222" s="47">
        <f t="shared" si="55"/>
        <v>177212.06301041658</v>
      </c>
      <c r="L222" s="47">
        <f t="shared" si="55"/>
        <v>177582.50720541656</v>
      </c>
      <c r="M222" s="47">
        <f t="shared" si="55"/>
        <v>177952.95140041655</v>
      </c>
      <c r="N222" s="47"/>
    </row>
    <row r="223" spans="2:14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1:14" ht="13.5" thickBot="1">
      <c r="A224" s="1" t="s">
        <v>4</v>
      </c>
      <c r="B224" s="47">
        <f aca="true" t="shared" si="56" ref="B224:M224">B209*B220/12</f>
        <v>1650.160505</v>
      </c>
      <c r="C224" s="47">
        <f t="shared" si="56"/>
        <v>1650.160505</v>
      </c>
      <c r="D224" s="47">
        <f t="shared" si="56"/>
        <v>1650.160505</v>
      </c>
      <c r="E224" s="47">
        <f t="shared" si="56"/>
        <v>673.5349</v>
      </c>
      <c r="F224" s="47">
        <f t="shared" si="56"/>
        <v>673.5349</v>
      </c>
      <c r="G224" s="47">
        <f t="shared" si="56"/>
        <v>673.5349</v>
      </c>
      <c r="H224" s="47">
        <f t="shared" si="56"/>
        <v>370.444195</v>
      </c>
      <c r="I224" s="47">
        <f t="shared" si="56"/>
        <v>370.444195</v>
      </c>
      <c r="J224" s="47">
        <f t="shared" si="56"/>
        <v>370.444195</v>
      </c>
      <c r="K224" s="47">
        <f t="shared" si="56"/>
        <v>370.444195</v>
      </c>
      <c r="L224" s="47">
        <f t="shared" si="56"/>
        <v>370.444195</v>
      </c>
      <c r="M224" s="47">
        <f t="shared" si="56"/>
        <v>370.444195</v>
      </c>
      <c r="N224" s="50">
        <f>SUM(B224:M224)-1</f>
        <v>9192.751385</v>
      </c>
    </row>
    <row r="225" spans="2:14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1:14" ht="13.5" thickBot="1">
      <c r="A226" s="1" t="s">
        <v>5</v>
      </c>
      <c r="B226" s="50">
        <f>SUM(B222,B224)</f>
        <v>170779.8047154166</v>
      </c>
      <c r="C226" s="50">
        <f>SUM(C222,C224)</f>
        <v>172429.9652204166</v>
      </c>
      <c r="D226" s="50">
        <f aca="true" t="shared" si="57" ref="D226:M226">SUM(D222,D224)</f>
        <v>174080.1257254166</v>
      </c>
      <c r="E226" s="50">
        <f t="shared" si="57"/>
        <v>174753.6606254166</v>
      </c>
      <c r="F226" s="50">
        <f t="shared" si="57"/>
        <v>175427.1955254166</v>
      </c>
      <c r="G226" s="50">
        <f t="shared" si="57"/>
        <v>176100.7304254166</v>
      </c>
      <c r="H226" s="50">
        <f t="shared" si="57"/>
        <v>176471.1746204166</v>
      </c>
      <c r="I226" s="50">
        <f t="shared" si="57"/>
        <v>176841.6188154166</v>
      </c>
      <c r="J226" s="50">
        <f t="shared" si="57"/>
        <v>177212.06301041658</v>
      </c>
      <c r="K226" s="50">
        <f t="shared" si="57"/>
        <v>177582.50720541656</v>
      </c>
      <c r="L226" s="50">
        <f t="shared" si="57"/>
        <v>177952.95140041655</v>
      </c>
      <c r="M226" s="50">
        <f t="shared" si="57"/>
        <v>178323.39559541654</v>
      </c>
      <c r="N226" s="47"/>
    </row>
    <row r="229" spans="1:14" ht="15.75">
      <c r="A229" s="36">
        <v>2010</v>
      </c>
      <c r="B229" s="19">
        <v>2010</v>
      </c>
      <c r="C229" s="19">
        <v>2010</v>
      </c>
      <c r="D229" s="19">
        <v>2010</v>
      </c>
      <c r="E229" s="19">
        <v>2010</v>
      </c>
      <c r="F229" s="19">
        <v>2010</v>
      </c>
      <c r="G229" s="19">
        <v>2010</v>
      </c>
      <c r="H229" s="19">
        <v>2010</v>
      </c>
      <c r="I229" s="19">
        <v>2010</v>
      </c>
      <c r="J229" s="19">
        <v>2010</v>
      </c>
      <c r="K229" s="19">
        <v>2010</v>
      </c>
      <c r="L229" s="19">
        <v>2010</v>
      </c>
      <c r="M229" s="19">
        <v>2010</v>
      </c>
      <c r="N229" s="19">
        <v>2010</v>
      </c>
    </row>
    <row r="230" spans="1:14" ht="12.75">
      <c r="A230" s="18"/>
      <c r="B230" s="20" t="s">
        <v>8</v>
      </c>
      <c r="C230" s="20" t="s">
        <v>9</v>
      </c>
      <c r="D230" s="20" t="s">
        <v>10</v>
      </c>
      <c r="E230" s="20" t="s">
        <v>11</v>
      </c>
      <c r="F230" s="20" t="s">
        <v>12</v>
      </c>
      <c r="G230" s="20" t="s">
        <v>13</v>
      </c>
      <c r="H230" s="20" t="s">
        <v>14</v>
      </c>
      <c r="I230" s="20" t="s">
        <v>15</v>
      </c>
      <c r="J230" s="20" t="s">
        <v>16</v>
      </c>
      <c r="K230" s="20" t="s">
        <v>17</v>
      </c>
      <c r="L230" s="20" t="s">
        <v>18</v>
      </c>
      <c r="M230" s="20" t="s">
        <v>19</v>
      </c>
      <c r="N230" s="21" t="s">
        <v>20</v>
      </c>
    </row>
    <row r="231" ht="12.75">
      <c r="B231" s="1"/>
    </row>
    <row r="232" ht="12.75">
      <c r="A232" s="2" t="s">
        <v>2</v>
      </c>
    </row>
    <row r="234" spans="1:14" ht="12.75">
      <c r="A234" s="3" t="s">
        <v>0</v>
      </c>
      <c r="B234" s="49">
        <f>M218</f>
        <v>808241.88</v>
      </c>
      <c r="C234" s="49">
        <f>B243</f>
        <v>808241.88</v>
      </c>
      <c r="D234" s="49">
        <f>C243</f>
        <v>808241.88</v>
      </c>
      <c r="E234" s="49">
        <f aca="true" t="shared" si="58" ref="E234:L234">D243</f>
        <v>808241.88</v>
      </c>
      <c r="F234" s="49">
        <f t="shared" si="58"/>
        <v>808241.88</v>
      </c>
      <c r="G234" s="49">
        <f t="shared" si="58"/>
        <v>808241.88</v>
      </c>
      <c r="H234" s="49">
        <f t="shared" si="58"/>
        <v>808241.88</v>
      </c>
      <c r="I234" s="49">
        <f t="shared" si="58"/>
        <v>808241.88</v>
      </c>
      <c r="J234" s="49">
        <f t="shared" si="58"/>
        <v>808241.88</v>
      </c>
      <c r="K234" s="49">
        <f t="shared" si="58"/>
        <v>808241.88</v>
      </c>
      <c r="L234" s="49">
        <f t="shared" si="58"/>
        <v>808241.88</v>
      </c>
      <c r="M234" s="49">
        <f>L243</f>
        <v>808241.88</v>
      </c>
      <c r="N234" s="47"/>
    </row>
    <row r="235" spans="2:14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1:14" ht="12.75">
      <c r="A236" s="4" t="s">
        <v>6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1:14" ht="12.75">
      <c r="A237" s="5"/>
      <c r="B237" s="51"/>
      <c r="C237" s="51"/>
      <c r="D237" s="51"/>
      <c r="E237" s="51"/>
      <c r="F237" s="51"/>
      <c r="G237" s="51"/>
      <c r="H237" s="47"/>
      <c r="I237" s="47"/>
      <c r="J237" s="47"/>
      <c r="K237" s="47"/>
      <c r="L237" s="47"/>
      <c r="M237" s="47"/>
      <c r="N237" s="47">
        <f>SUM(B237:M237)</f>
        <v>0</v>
      </c>
    </row>
    <row r="238" spans="1:14" ht="12.75">
      <c r="A238" s="5"/>
      <c r="B238" s="51"/>
      <c r="C238" s="51"/>
      <c r="D238" s="51"/>
      <c r="E238" s="51"/>
      <c r="F238" s="51"/>
      <c r="G238" s="51"/>
      <c r="H238" s="47"/>
      <c r="I238" s="47"/>
      <c r="J238" s="47"/>
      <c r="K238" s="47"/>
      <c r="L238" s="47"/>
      <c r="M238" s="47"/>
      <c r="N238" s="47">
        <f>SUM(B238:M238)</f>
        <v>0</v>
      </c>
    </row>
    <row r="239" spans="1:14" ht="13.5" thickBot="1">
      <c r="A239" s="5"/>
      <c r="B239" s="49">
        <f aca="true" t="shared" si="59" ref="B239:N239">SUM(B237:B238)</f>
        <v>0</v>
      </c>
      <c r="C239" s="49">
        <f t="shared" si="59"/>
        <v>0</v>
      </c>
      <c r="D239" s="49">
        <f t="shared" si="59"/>
        <v>0</v>
      </c>
      <c r="E239" s="49">
        <f t="shared" si="59"/>
        <v>0</v>
      </c>
      <c r="F239" s="49">
        <f t="shared" si="59"/>
        <v>0</v>
      </c>
      <c r="G239" s="49">
        <f t="shared" si="59"/>
        <v>0</v>
      </c>
      <c r="H239" s="49">
        <f t="shared" si="59"/>
        <v>0</v>
      </c>
      <c r="I239" s="49">
        <f t="shared" si="59"/>
        <v>0</v>
      </c>
      <c r="J239" s="49">
        <f t="shared" si="59"/>
        <v>0</v>
      </c>
      <c r="K239" s="49">
        <f t="shared" si="59"/>
        <v>0</v>
      </c>
      <c r="L239" s="49">
        <f t="shared" si="59"/>
        <v>0</v>
      </c>
      <c r="M239" s="49">
        <f t="shared" si="59"/>
        <v>0</v>
      </c>
      <c r="N239" s="50">
        <f t="shared" si="59"/>
        <v>0</v>
      </c>
    </row>
    <row r="240" spans="2:14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</row>
    <row r="241" spans="1:14" ht="13.5" thickBot="1">
      <c r="A241" s="1" t="s">
        <v>1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50">
        <f>SUM(B241:M241)</f>
        <v>0</v>
      </c>
    </row>
    <row r="242" spans="2:14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</row>
    <row r="243" spans="1:14" ht="13.5" thickBot="1">
      <c r="A243" s="3" t="s">
        <v>7</v>
      </c>
      <c r="B243" s="50">
        <f aca="true" t="shared" si="60" ref="B243:M243">SUM(B234,B239,B241)</f>
        <v>808241.88</v>
      </c>
      <c r="C243" s="50">
        <f t="shared" si="60"/>
        <v>808241.88</v>
      </c>
      <c r="D243" s="50">
        <f t="shared" si="60"/>
        <v>808241.88</v>
      </c>
      <c r="E243" s="50">
        <f t="shared" si="60"/>
        <v>808241.88</v>
      </c>
      <c r="F243" s="50">
        <f t="shared" si="60"/>
        <v>808241.88</v>
      </c>
      <c r="G243" s="50">
        <f t="shared" si="60"/>
        <v>808241.88</v>
      </c>
      <c r="H243" s="50">
        <f t="shared" si="60"/>
        <v>808241.88</v>
      </c>
      <c r="I243" s="50">
        <f t="shared" si="60"/>
        <v>808241.88</v>
      </c>
      <c r="J243" s="50">
        <f t="shared" si="60"/>
        <v>808241.88</v>
      </c>
      <c r="K243" s="50">
        <f t="shared" si="60"/>
        <v>808241.88</v>
      </c>
      <c r="L243" s="50">
        <f t="shared" si="60"/>
        <v>808241.88</v>
      </c>
      <c r="M243" s="50">
        <f t="shared" si="60"/>
        <v>808241.88</v>
      </c>
      <c r="N243" s="47"/>
    </row>
    <row r="245" spans="1:13" ht="12.75">
      <c r="A245" s="2" t="s">
        <v>3</v>
      </c>
      <c r="B245" s="8">
        <v>0.0055</v>
      </c>
      <c r="C245" s="8">
        <v>0.0055</v>
      </c>
      <c r="D245" s="8">
        <v>0.0055</v>
      </c>
      <c r="E245" s="8">
        <v>0.0055</v>
      </c>
      <c r="F245" s="8">
        <v>0.0055</v>
      </c>
      <c r="G245" s="8">
        <v>0.0055</v>
      </c>
      <c r="H245" s="8">
        <v>0.0089</v>
      </c>
      <c r="I245" s="8">
        <v>0.0089</v>
      </c>
      <c r="J245" s="8">
        <v>0.0089</v>
      </c>
      <c r="K245" s="8">
        <v>0.012</v>
      </c>
      <c r="L245" s="8">
        <v>0.012</v>
      </c>
      <c r="M245" s="8">
        <v>0.012</v>
      </c>
    </row>
    <row r="247" spans="1:14" ht="12.75">
      <c r="A247" s="3" t="s">
        <v>0</v>
      </c>
      <c r="B247" s="47">
        <f>M226</f>
        <v>178323.39559541654</v>
      </c>
      <c r="C247" s="47">
        <f>B251</f>
        <v>178693.83979041653</v>
      </c>
      <c r="D247" s="47">
        <f aca="true" t="shared" si="61" ref="D247:M247">C251</f>
        <v>179064.28398541652</v>
      </c>
      <c r="E247" s="47">
        <f t="shared" si="61"/>
        <v>179434.7281804165</v>
      </c>
      <c r="F247" s="47">
        <f t="shared" si="61"/>
        <v>179805.1723754165</v>
      </c>
      <c r="G247" s="47">
        <f t="shared" si="61"/>
        <v>180175.6165704165</v>
      </c>
      <c r="H247" s="47">
        <f t="shared" si="61"/>
        <v>180546.06076541648</v>
      </c>
      <c r="I247" s="47">
        <f t="shared" si="61"/>
        <v>181145.50682641647</v>
      </c>
      <c r="J247" s="47">
        <f t="shared" si="61"/>
        <v>181744.95288741647</v>
      </c>
      <c r="K247" s="47">
        <f t="shared" si="61"/>
        <v>182344.39894841646</v>
      </c>
      <c r="L247" s="47">
        <f t="shared" si="61"/>
        <v>183152.64082841645</v>
      </c>
      <c r="M247" s="47">
        <f t="shared" si="61"/>
        <v>183960.88270841644</v>
      </c>
      <c r="N247" s="47"/>
    </row>
    <row r="248" spans="2:14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1:14" ht="13.5" thickBot="1">
      <c r="A249" s="1" t="s">
        <v>4</v>
      </c>
      <c r="B249" s="47">
        <f aca="true" t="shared" si="62" ref="B249:M249">B234*B245/12</f>
        <v>370.444195</v>
      </c>
      <c r="C249" s="47">
        <f t="shared" si="62"/>
        <v>370.444195</v>
      </c>
      <c r="D249" s="47">
        <f t="shared" si="62"/>
        <v>370.444195</v>
      </c>
      <c r="E249" s="47">
        <f t="shared" si="62"/>
        <v>370.444195</v>
      </c>
      <c r="F249" s="47">
        <f t="shared" si="62"/>
        <v>370.444195</v>
      </c>
      <c r="G249" s="47">
        <f t="shared" si="62"/>
        <v>370.444195</v>
      </c>
      <c r="H249" s="47">
        <f t="shared" si="62"/>
        <v>599.446061</v>
      </c>
      <c r="I249" s="47">
        <f t="shared" si="62"/>
        <v>599.446061</v>
      </c>
      <c r="J249" s="47">
        <f t="shared" si="62"/>
        <v>599.446061</v>
      </c>
      <c r="K249" s="47">
        <f t="shared" si="62"/>
        <v>808.24188</v>
      </c>
      <c r="L249" s="47">
        <f t="shared" si="62"/>
        <v>808.24188</v>
      </c>
      <c r="M249" s="47">
        <f t="shared" si="62"/>
        <v>808.24188</v>
      </c>
      <c r="N249" s="50">
        <f>SUM(B249:M249)</f>
        <v>6445.728992999999</v>
      </c>
    </row>
    <row r="250" spans="2:14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1:14" ht="13.5" thickBot="1">
      <c r="A251" s="1" t="s">
        <v>5</v>
      </c>
      <c r="B251" s="50">
        <f>SUM(B247,B249)</f>
        <v>178693.83979041653</v>
      </c>
      <c r="C251" s="50">
        <f>SUM(C247,C249)</f>
        <v>179064.28398541652</v>
      </c>
      <c r="D251" s="50">
        <f aca="true" t="shared" si="63" ref="D251:M251">SUM(D247,D249)</f>
        <v>179434.7281804165</v>
      </c>
      <c r="E251" s="50">
        <f t="shared" si="63"/>
        <v>179805.1723754165</v>
      </c>
      <c r="F251" s="50">
        <f t="shared" si="63"/>
        <v>180175.6165704165</v>
      </c>
      <c r="G251" s="50">
        <f t="shared" si="63"/>
        <v>180546.06076541648</v>
      </c>
      <c r="H251" s="50">
        <f t="shared" si="63"/>
        <v>181145.50682641647</v>
      </c>
      <c r="I251" s="50">
        <f t="shared" si="63"/>
        <v>181744.95288741647</v>
      </c>
      <c r="J251" s="50">
        <f t="shared" si="63"/>
        <v>182344.39894841646</v>
      </c>
      <c r="K251" s="50">
        <f t="shared" si="63"/>
        <v>183152.64082841645</v>
      </c>
      <c r="L251" s="50">
        <f t="shared" si="63"/>
        <v>183960.88270841644</v>
      </c>
      <c r="M251" s="50">
        <f t="shared" si="63"/>
        <v>184769.12458841642</v>
      </c>
      <c r="N251" s="47"/>
    </row>
    <row r="254" spans="1:14" ht="15.75">
      <c r="A254" s="37">
        <v>2011</v>
      </c>
      <c r="B254" s="27">
        <v>2011</v>
      </c>
      <c r="C254" s="27">
        <v>2011</v>
      </c>
      <c r="D254" s="27">
        <v>2011</v>
      </c>
      <c r="E254" s="27">
        <v>2011</v>
      </c>
      <c r="F254" s="27">
        <v>2011</v>
      </c>
      <c r="G254" s="27">
        <v>2011</v>
      </c>
      <c r="H254" s="27">
        <v>2011</v>
      </c>
      <c r="I254" s="27">
        <v>2011</v>
      </c>
      <c r="J254" s="27">
        <v>2011</v>
      </c>
      <c r="K254" s="27">
        <v>2011</v>
      </c>
      <c r="L254" s="27">
        <v>2011</v>
      </c>
      <c r="M254" s="27">
        <v>2011</v>
      </c>
      <c r="N254" s="27">
        <v>2011</v>
      </c>
    </row>
    <row r="255" spans="1:14" ht="15">
      <c r="A255" s="40" t="s">
        <v>34</v>
      </c>
      <c r="B255" s="28" t="s">
        <v>8</v>
      </c>
      <c r="C255" s="28" t="s">
        <v>9</v>
      </c>
      <c r="D255" s="28" t="s">
        <v>10</v>
      </c>
      <c r="E255" s="28" t="s">
        <v>11</v>
      </c>
      <c r="F255" s="28" t="s">
        <v>12</v>
      </c>
      <c r="G255" s="28" t="s">
        <v>13</v>
      </c>
      <c r="H255" s="28" t="s">
        <v>14</v>
      </c>
      <c r="I255" s="28" t="s">
        <v>15</v>
      </c>
      <c r="J255" s="28" t="s">
        <v>16</v>
      </c>
      <c r="K255" s="28" t="s">
        <v>17</v>
      </c>
      <c r="L255" s="28" t="s">
        <v>18</v>
      </c>
      <c r="M255" s="28" t="s">
        <v>19</v>
      </c>
      <c r="N255" s="29" t="s">
        <v>20</v>
      </c>
    </row>
    <row r="256" ht="12.75">
      <c r="B256" s="1"/>
    </row>
    <row r="257" ht="12.75">
      <c r="A257" s="2" t="s">
        <v>2</v>
      </c>
    </row>
    <row r="259" spans="1:14" ht="12.75">
      <c r="A259" s="3" t="s">
        <v>0</v>
      </c>
      <c r="B259" s="49">
        <f>M243</f>
        <v>808241.88</v>
      </c>
      <c r="C259" s="49">
        <f aca="true" t="shared" si="64" ref="C259:M259">B268</f>
        <v>808241.88</v>
      </c>
      <c r="D259" s="49">
        <f t="shared" si="64"/>
        <v>808241.88</v>
      </c>
      <c r="E259" s="49">
        <f t="shared" si="64"/>
        <v>808241.88</v>
      </c>
      <c r="F259" s="49">
        <f t="shared" si="64"/>
        <v>808241.88</v>
      </c>
      <c r="G259" s="49">
        <f t="shared" si="64"/>
        <v>808241.88</v>
      </c>
      <c r="H259" s="49">
        <f t="shared" si="64"/>
        <v>808241.88</v>
      </c>
      <c r="I259" s="49">
        <f t="shared" si="64"/>
        <v>808241.88</v>
      </c>
      <c r="J259" s="49">
        <f t="shared" si="64"/>
        <v>808241.88</v>
      </c>
      <c r="K259" s="49">
        <f t="shared" si="64"/>
        <v>808241.88</v>
      </c>
      <c r="L259" s="49">
        <f t="shared" si="64"/>
        <v>808241.88</v>
      </c>
      <c r="M259" s="49">
        <f t="shared" si="64"/>
        <v>808241.88</v>
      </c>
      <c r="N259" s="47"/>
    </row>
    <row r="260" spans="2:14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1:14" ht="12.75">
      <c r="A261" s="4" t="s">
        <v>6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</row>
    <row r="262" spans="1:14" ht="12.75">
      <c r="A262" s="5"/>
      <c r="B262" s="51"/>
      <c r="C262" s="51"/>
      <c r="D262" s="51"/>
      <c r="E262" s="51"/>
      <c r="F262" s="51"/>
      <c r="G262" s="51"/>
      <c r="H262" s="47"/>
      <c r="I262" s="47"/>
      <c r="J262" s="47"/>
      <c r="K262" s="47"/>
      <c r="L262" s="47"/>
      <c r="M262" s="47"/>
      <c r="N262" s="47">
        <f>SUM(B262:M262)</f>
        <v>0</v>
      </c>
    </row>
    <row r="263" spans="1:14" ht="12.75">
      <c r="A263" s="5"/>
      <c r="B263" s="51"/>
      <c r="C263" s="51"/>
      <c r="D263" s="51"/>
      <c r="E263" s="51"/>
      <c r="F263" s="51"/>
      <c r="G263" s="51"/>
      <c r="H263" s="47"/>
      <c r="I263" s="47"/>
      <c r="J263" s="47"/>
      <c r="K263" s="47"/>
      <c r="L263" s="47"/>
      <c r="M263" s="47"/>
      <c r="N263" s="47">
        <f>SUM(B263:M263)</f>
        <v>0</v>
      </c>
    </row>
    <row r="264" spans="1:14" ht="13.5" thickBot="1">
      <c r="A264" s="5"/>
      <c r="B264" s="49">
        <f aca="true" t="shared" si="65" ref="B264:N264">SUM(B262:B263)</f>
        <v>0</v>
      </c>
      <c r="C264" s="49">
        <f t="shared" si="65"/>
        <v>0</v>
      </c>
      <c r="D264" s="49">
        <f t="shared" si="65"/>
        <v>0</v>
      </c>
      <c r="E264" s="49">
        <f t="shared" si="65"/>
        <v>0</v>
      </c>
      <c r="F264" s="49">
        <f t="shared" si="65"/>
        <v>0</v>
      </c>
      <c r="G264" s="49">
        <f t="shared" si="65"/>
        <v>0</v>
      </c>
      <c r="H264" s="49">
        <f t="shared" si="65"/>
        <v>0</v>
      </c>
      <c r="I264" s="49">
        <f t="shared" si="65"/>
        <v>0</v>
      </c>
      <c r="J264" s="49">
        <f t="shared" si="65"/>
        <v>0</v>
      </c>
      <c r="K264" s="49">
        <f t="shared" si="65"/>
        <v>0</v>
      </c>
      <c r="L264" s="49">
        <f t="shared" si="65"/>
        <v>0</v>
      </c>
      <c r="M264" s="49">
        <f t="shared" si="65"/>
        <v>0</v>
      </c>
      <c r="N264" s="50">
        <f t="shared" si="65"/>
        <v>0</v>
      </c>
    </row>
    <row r="265" spans="2:14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</row>
    <row r="266" spans="1:14" ht="13.5" thickBot="1">
      <c r="A266" s="1" t="s">
        <v>1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50">
        <f>SUM(B266:M266)</f>
        <v>0</v>
      </c>
    </row>
    <row r="267" spans="2:14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1:14" ht="13.5" thickBot="1">
      <c r="A268" s="3" t="s">
        <v>7</v>
      </c>
      <c r="B268" s="50">
        <f aca="true" t="shared" si="66" ref="B268:M268">SUM(B259,B264,B266)</f>
        <v>808241.88</v>
      </c>
      <c r="C268" s="50">
        <f t="shared" si="66"/>
        <v>808241.88</v>
      </c>
      <c r="D268" s="50">
        <f t="shared" si="66"/>
        <v>808241.88</v>
      </c>
      <c r="E268" s="50">
        <f t="shared" si="66"/>
        <v>808241.88</v>
      </c>
      <c r="F268" s="50">
        <f t="shared" si="66"/>
        <v>808241.88</v>
      </c>
      <c r="G268" s="50">
        <f t="shared" si="66"/>
        <v>808241.88</v>
      </c>
      <c r="H268" s="50">
        <f t="shared" si="66"/>
        <v>808241.88</v>
      </c>
      <c r="I268" s="50">
        <f t="shared" si="66"/>
        <v>808241.88</v>
      </c>
      <c r="J268" s="50">
        <f t="shared" si="66"/>
        <v>808241.88</v>
      </c>
      <c r="K268" s="50">
        <f t="shared" si="66"/>
        <v>808241.88</v>
      </c>
      <c r="L268" s="50">
        <f t="shared" si="66"/>
        <v>808241.88</v>
      </c>
      <c r="M268" s="50">
        <f t="shared" si="66"/>
        <v>808241.88</v>
      </c>
      <c r="N268" s="47"/>
    </row>
    <row r="270" spans="1:13" ht="12.75">
      <c r="A270" s="2" t="s">
        <v>3</v>
      </c>
      <c r="B270" s="8">
        <v>0.0147</v>
      </c>
      <c r="C270" s="8">
        <v>0.0147</v>
      </c>
      <c r="D270" s="8">
        <v>0.0147</v>
      </c>
      <c r="E270" s="8">
        <v>0.0147</v>
      </c>
      <c r="F270" s="8">
        <v>0.0147</v>
      </c>
      <c r="G270" s="8">
        <v>0.0147</v>
      </c>
      <c r="H270" s="8">
        <v>0.0147</v>
      </c>
      <c r="I270" s="8">
        <v>0.0147</v>
      </c>
      <c r="J270" s="8">
        <v>0.0147</v>
      </c>
      <c r="K270" s="8">
        <v>0.0147</v>
      </c>
      <c r="L270" s="8">
        <v>0.0147</v>
      </c>
      <c r="M270" s="8">
        <v>0.0147</v>
      </c>
    </row>
    <row r="272" spans="1:14" ht="12.75">
      <c r="A272" s="3" t="s">
        <v>0</v>
      </c>
      <c r="B272" s="47">
        <f>M251</f>
        <v>184769.12458841642</v>
      </c>
      <c r="C272" s="47">
        <f aca="true" t="shared" si="67" ref="C272:M272">B276</f>
        <v>185759.22089141642</v>
      </c>
      <c r="D272" s="47">
        <f t="shared" si="67"/>
        <v>186749.31719441642</v>
      </c>
      <c r="E272" s="47">
        <f t="shared" si="67"/>
        <v>187739.41349741642</v>
      </c>
      <c r="F272" s="47">
        <f t="shared" si="67"/>
        <v>188729.50980041642</v>
      </c>
      <c r="G272" s="47">
        <f t="shared" si="67"/>
        <v>189719.60610341642</v>
      </c>
      <c r="H272" s="47">
        <f t="shared" si="67"/>
        <v>190709.7024064164</v>
      </c>
      <c r="I272" s="47">
        <f t="shared" si="67"/>
        <v>191699.7987094164</v>
      </c>
      <c r="J272" s="47">
        <f t="shared" si="67"/>
        <v>192689.8950124164</v>
      </c>
      <c r="K272" s="47">
        <f t="shared" si="67"/>
        <v>193679.9913154164</v>
      </c>
      <c r="L272" s="47">
        <f t="shared" si="67"/>
        <v>194670.0876184164</v>
      </c>
      <c r="M272" s="47">
        <f t="shared" si="67"/>
        <v>195660.1839214164</v>
      </c>
      <c r="N272" s="47"/>
    </row>
    <row r="273" spans="2:14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</row>
    <row r="274" spans="1:14" ht="13.5" thickBot="1">
      <c r="A274" s="1" t="s">
        <v>4</v>
      </c>
      <c r="B274" s="47">
        <f>B259*B270/12</f>
        <v>990.0963029999999</v>
      </c>
      <c r="C274" s="47">
        <f aca="true" t="shared" si="68" ref="C274:M274">C259*C270/12</f>
        <v>990.0963029999999</v>
      </c>
      <c r="D274" s="47">
        <f t="shared" si="68"/>
        <v>990.0963029999999</v>
      </c>
      <c r="E274" s="47">
        <f t="shared" si="68"/>
        <v>990.0963029999999</v>
      </c>
      <c r="F274" s="47">
        <f t="shared" si="68"/>
        <v>990.0963029999999</v>
      </c>
      <c r="G274" s="47">
        <f t="shared" si="68"/>
        <v>990.0963029999999</v>
      </c>
      <c r="H274" s="47">
        <f t="shared" si="68"/>
        <v>990.0963029999999</v>
      </c>
      <c r="I274" s="47">
        <f t="shared" si="68"/>
        <v>990.0963029999999</v>
      </c>
      <c r="J274" s="47">
        <f t="shared" si="68"/>
        <v>990.0963029999999</v>
      </c>
      <c r="K274" s="47">
        <f t="shared" si="68"/>
        <v>990.0963029999999</v>
      </c>
      <c r="L274" s="47">
        <f t="shared" si="68"/>
        <v>990.0963029999999</v>
      </c>
      <c r="M274" s="47">
        <f t="shared" si="68"/>
        <v>990.0963029999999</v>
      </c>
      <c r="N274" s="50">
        <f>SUM(B274:M274)</f>
        <v>11881.155636000001</v>
      </c>
    </row>
    <row r="275" spans="2:14" ht="12.7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</row>
    <row r="276" spans="1:14" ht="13.5" thickBot="1">
      <c r="A276" s="1" t="s">
        <v>5</v>
      </c>
      <c r="B276" s="50">
        <f>SUM(B272,B274)</f>
        <v>185759.22089141642</v>
      </c>
      <c r="C276" s="50">
        <f>SUM(C272,C274)</f>
        <v>186749.31719441642</v>
      </c>
      <c r="D276" s="50">
        <f aca="true" t="shared" si="69" ref="D276:M276">SUM(D272,D274)</f>
        <v>187739.41349741642</v>
      </c>
      <c r="E276" s="50">
        <f t="shared" si="69"/>
        <v>188729.50980041642</v>
      </c>
      <c r="F276" s="50">
        <f t="shared" si="69"/>
        <v>189719.60610341642</v>
      </c>
      <c r="G276" s="50">
        <f t="shared" si="69"/>
        <v>190709.7024064164</v>
      </c>
      <c r="H276" s="50">
        <f t="shared" si="69"/>
        <v>191699.7987094164</v>
      </c>
      <c r="I276" s="50">
        <f t="shared" si="69"/>
        <v>192689.8950124164</v>
      </c>
      <c r="J276" s="50">
        <f t="shared" si="69"/>
        <v>193679.9913154164</v>
      </c>
      <c r="K276" s="50">
        <f t="shared" si="69"/>
        <v>194670.0876184164</v>
      </c>
      <c r="L276" s="50">
        <f t="shared" si="69"/>
        <v>195660.1839214164</v>
      </c>
      <c r="M276" s="50">
        <f t="shared" si="69"/>
        <v>196650.2802244164</v>
      </c>
      <c r="N276" s="47"/>
    </row>
    <row r="279" spans="1:14" ht="15.75">
      <c r="A279" s="38">
        <v>2012</v>
      </c>
      <c r="B279" s="31">
        <v>2012</v>
      </c>
      <c r="C279" s="31">
        <v>2012</v>
      </c>
      <c r="D279" s="31">
        <v>2012</v>
      </c>
      <c r="E279" s="31">
        <v>2012</v>
      </c>
      <c r="F279" s="31"/>
      <c r="G279" s="31"/>
      <c r="H279" s="31"/>
      <c r="I279" s="31"/>
      <c r="J279" s="31"/>
      <c r="K279" s="31"/>
      <c r="L279" s="31"/>
      <c r="M279" s="31"/>
      <c r="N279" s="31">
        <v>2012</v>
      </c>
    </row>
    <row r="280" spans="1:14" ht="15">
      <c r="A280" s="39" t="s">
        <v>34</v>
      </c>
      <c r="B280" s="32" t="s">
        <v>8</v>
      </c>
      <c r="C280" s="32" t="s">
        <v>9</v>
      </c>
      <c r="D280" s="32" t="s">
        <v>10</v>
      </c>
      <c r="E280" s="32" t="s">
        <v>11</v>
      </c>
      <c r="F280" s="32"/>
      <c r="G280" s="32"/>
      <c r="H280" s="32"/>
      <c r="I280" s="32"/>
      <c r="J280" s="32"/>
      <c r="K280" s="32"/>
      <c r="L280" s="32"/>
      <c r="M280" s="32"/>
      <c r="N280" s="33" t="s">
        <v>20</v>
      </c>
    </row>
    <row r="281" ht="12.75">
      <c r="B281" s="1"/>
    </row>
    <row r="282" ht="12.75">
      <c r="A282" s="2" t="s">
        <v>2</v>
      </c>
    </row>
    <row r="284" spans="1:14" ht="12.75">
      <c r="A284" s="3" t="s">
        <v>0</v>
      </c>
      <c r="B284" s="49">
        <f>M268</f>
        <v>808241.88</v>
      </c>
      <c r="C284" s="49">
        <f aca="true" t="shared" si="70" ref="C284:M284">B293</f>
        <v>808241.88</v>
      </c>
      <c r="D284" s="49">
        <f t="shared" si="70"/>
        <v>808241.88</v>
      </c>
      <c r="E284" s="49">
        <f t="shared" si="70"/>
        <v>808241.88</v>
      </c>
      <c r="F284" s="49">
        <f t="shared" si="70"/>
        <v>808241.88</v>
      </c>
      <c r="G284" s="49">
        <f t="shared" si="70"/>
        <v>808241.88</v>
      </c>
      <c r="H284" s="49">
        <f t="shared" si="70"/>
        <v>808241.88</v>
      </c>
      <c r="I284" s="49">
        <f t="shared" si="70"/>
        <v>808241.88</v>
      </c>
      <c r="J284" s="49">
        <f t="shared" si="70"/>
        <v>808241.88</v>
      </c>
      <c r="K284" s="49">
        <f t="shared" si="70"/>
        <v>808241.88</v>
      </c>
      <c r="L284" s="49">
        <f t="shared" si="70"/>
        <v>808241.88</v>
      </c>
      <c r="M284" s="49">
        <f t="shared" si="70"/>
        <v>808241.88</v>
      </c>
      <c r="N284" s="47"/>
    </row>
    <row r="285" spans="2:14" ht="12.7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1:14" ht="12.75">
      <c r="A286" s="4" t="s">
        <v>6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1:14" ht="12.75">
      <c r="A287" s="5"/>
      <c r="B287" s="51"/>
      <c r="C287" s="51"/>
      <c r="D287" s="51"/>
      <c r="E287" s="51"/>
      <c r="F287" s="51"/>
      <c r="G287" s="51"/>
      <c r="H287" s="47"/>
      <c r="I287" s="47"/>
      <c r="J287" s="47"/>
      <c r="K287" s="47"/>
      <c r="L287" s="47"/>
      <c r="M287" s="47"/>
      <c r="N287" s="47">
        <f>SUM(B287:M287)</f>
        <v>0</v>
      </c>
    </row>
    <row r="288" spans="1:14" ht="12.75">
      <c r="A288" s="5"/>
      <c r="B288" s="51"/>
      <c r="C288" s="51"/>
      <c r="D288" s="51"/>
      <c r="E288" s="51"/>
      <c r="F288" s="51"/>
      <c r="G288" s="51"/>
      <c r="H288" s="47"/>
      <c r="I288" s="47"/>
      <c r="J288" s="47"/>
      <c r="K288" s="47"/>
      <c r="L288" s="47"/>
      <c r="M288" s="47"/>
      <c r="N288" s="47">
        <f>SUM(B288:M288)</f>
        <v>0</v>
      </c>
    </row>
    <row r="289" spans="1:14" ht="13.5" thickBot="1">
      <c r="A289" s="5"/>
      <c r="B289" s="49">
        <f aca="true" t="shared" si="71" ref="B289:N289">SUM(B287:B288)</f>
        <v>0</v>
      </c>
      <c r="C289" s="49">
        <f t="shared" si="71"/>
        <v>0</v>
      </c>
      <c r="D289" s="49">
        <f t="shared" si="71"/>
        <v>0</v>
      </c>
      <c r="E289" s="49">
        <f t="shared" si="71"/>
        <v>0</v>
      </c>
      <c r="F289" s="49">
        <f t="shared" si="71"/>
        <v>0</v>
      </c>
      <c r="G289" s="49">
        <f t="shared" si="71"/>
        <v>0</v>
      </c>
      <c r="H289" s="49">
        <f t="shared" si="71"/>
        <v>0</v>
      </c>
      <c r="I289" s="49">
        <f t="shared" si="71"/>
        <v>0</v>
      </c>
      <c r="J289" s="49">
        <f t="shared" si="71"/>
        <v>0</v>
      </c>
      <c r="K289" s="49">
        <f t="shared" si="71"/>
        <v>0</v>
      </c>
      <c r="L289" s="49">
        <f t="shared" si="71"/>
        <v>0</v>
      </c>
      <c r="M289" s="49">
        <f t="shared" si="71"/>
        <v>0</v>
      </c>
      <c r="N289" s="50">
        <f t="shared" si="71"/>
        <v>0</v>
      </c>
    </row>
    <row r="290" spans="2:14" ht="12.7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1:14" ht="13.5" thickBot="1">
      <c r="A291" s="1" t="s">
        <v>1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50">
        <f>SUM(B291:M291)</f>
        <v>0</v>
      </c>
    </row>
    <row r="292" spans="2:14" ht="12.7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1:14" ht="13.5" thickBot="1">
      <c r="A293" s="3" t="s">
        <v>7</v>
      </c>
      <c r="B293" s="50">
        <f aca="true" t="shared" si="72" ref="B293:M293">SUM(B284,B289,B291)</f>
        <v>808241.88</v>
      </c>
      <c r="C293" s="50">
        <f t="shared" si="72"/>
        <v>808241.88</v>
      </c>
      <c r="D293" s="50">
        <f t="shared" si="72"/>
        <v>808241.88</v>
      </c>
      <c r="E293" s="50">
        <f t="shared" si="72"/>
        <v>808241.88</v>
      </c>
      <c r="F293" s="50">
        <f t="shared" si="72"/>
        <v>808241.88</v>
      </c>
      <c r="G293" s="50">
        <f t="shared" si="72"/>
        <v>808241.88</v>
      </c>
      <c r="H293" s="50">
        <f t="shared" si="72"/>
        <v>808241.88</v>
      </c>
      <c r="I293" s="50">
        <f t="shared" si="72"/>
        <v>808241.88</v>
      </c>
      <c r="J293" s="50">
        <f t="shared" si="72"/>
        <v>808241.88</v>
      </c>
      <c r="K293" s="50">
        <f t="shared" si="72"/>
        <v>808241.88</v>
      </c>
      <c r="L293" s="50">
        <f t="shared" si="72"/>
        <v>808241.88</v>
      </c>
      <c r="M293" s="50">
        <f t="shared" si="72"/>
        <v>808241.88</v>
      </c>
      <c r="N293" s="47"/>
    </row>
    <row r="295" spans="1:13" ht="12.75">
      <c r="A295" s="2" t="s">
        <v>3</v>
      </c>
      <c r="B295" s="8">
        <v>0.0147</v>
      </c>
      <c r="C295" s="8">
        <v>0.0147</v>
      </c>
      <c r="D295" s="8">
        <v>0.0147</v>
      </c>
      <c r="E295" s="8">
        <v>0.0147</v>
      </c>
      <c r="F295" s="8"/>
      <c r="G295" s="8"/>
      <c r="H295" s="8"/>
      <c r="I295" s="8"/>
      <c r="J295" s="8"/>
      <c r="K295" s="8"/>
      <c r="L295" s="8"/>
      <c r="M295" s="8"/>
    </row>
    <row r="297" spans="1:14" ht="12.75">
      <c r="A297" s="3" t="s">
        <v>0</v>
      </c>
      <c r="B297" s="47">
        <f>M276</f>
        <v>196650.2802244164</v>
      </c>
      <c r="C297" s="47">
        <f aca="true" t="shared" si="73" ref="C297:M297">B301</f>
        <v>197640.3765274164</v>
      </c>
      <c r="D297" s="47">
        <f t="shared" si="73"/>
        <v>198630.4728304164</v>
      </c>
      <c r="E297" s="47">
        <f t="shared" si="73"/>
        <v>199620.5691334164</v>
      </c>
      <c r="F297" s="47">
        <f t="shared" si="73"/>
        <v>200610.6654364164</v>
      </c>
      <c r="G297" s="47">
        <f t="shared" si="73"/>
        <v>200610.6654364164</v>
      </c>
      <c r="H297" s="47">
        <f t="shared" si="73"/>
        <v>200610.6654364164</v>
      </c>
      <c r="I297" s="47">
        <f t="shared" si="73"/>
        <v>200610.6654364164</v>
      </c>
      <c r="J297" s="47">
        <f t="shared" si="73"/>
        <v>200610.6654364164</v>
      </c>
      <c r="K297" s="47">
        <f t="shared" si="73"/>
        <v>200610.6654364164</v>
      </c>
      <c r="L297" s="47">
        <f t="shared" si="73"/>
        <v>200610.6654364164</v>
      </c>
      <c r="M297" s="47">
        <f t="shared" si="73"/>
        <v>200610.6654364164</v>
      </c>
      <c r="N297" s="47"/>
    </row>
    <row r="298" spans="2:14" ht="12.7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1:14" ht="13.5" thickBot="1">
      <c r="A299" s="1" t="s">
        <v>4</v>
      </c>
      <c r="B299" s="47">
        <f>B284*B295/12</f>
        <v>990.0963029999999</v>
      </c>
      <c r="C299" s="47">
        <f aca="true" t="shared" si="74" ref="C299:M299">C284*C295/12</f>
        <v>990.0963029999999</v>
      </c>
      <c r="D299" s="47">
        <f t="shared" si="74"/>
        <v>990.0963029999999</v>
      </c>
      <c r="E299" s="47">
        <f t="shared" si="74"/>
        <v>990.0963029999999</v>
      </c>
      <c r="F299" s="47">
        <f t="shared" si="74"/>
        <v>0</v>
      </c>
      <c r="G299" s="47">
        <f t="shared" si="74"/>
        <v>0</v>
      </c>
      <c r="H299" s="47">
        <f t="shared" si="74"/>
        <v>0</v>
      </c>
      <c r="I299" s="47">
        <f t="shared" si="74"/>
        <v>0</v>
      </c>
      <c r="J299" s="47">
        <f t="shared" si="74"/>
        <v>0</v>
      </c>
      <c r="K299" s="47">
        <f t="shared" si="74"/>
        <v>0</v>
      </c>
      <c r="L299" s="47">
        <f t="shared" si="74"/>
        <v>0</v>
      </c>
      <c r="M299" s="47">
        <f t="shared" si="74"/>
        <v>0</v>
      </c>
      <c r="N299" s="50">
        <f>SUM(B299:M299)</f>
        <v>3960.3852119999997</v>
      </c>
    </row>
    <row r="300" spans="2:14" ht="12.7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1:14" ht="13.5" thickBot="1">
      <c r="A301" s="1" t="s">
        <v>5</v>
      </c>
      <c r="B301" s="50">
        <f>SUM(B297,B299)</f>
        <v>197640.3765274164</v>
      </c>
      <c r="C301" s="50">
        <f>SUM(C297,C299)</f>
        <v>198630.4728304164</v>
      </c>
      <c r="D301" s="50">
        <f aca="true" t="shared" si="75" ref="D301:L301">SUM(D297,D299)</f>
        <v>199620.5691334164</v>
      </c>
      <c r="E301" s="50">
        <f>SUM(E297,E299)</f>
        <v>200610.6654364164</v>
      </c>
      <c r="F301" s="50">
        <f t="shared" si="75"/>
        <v>200610.6654364164</v>
      </c>
      <c r="G301" s="50">
        <f t="shared" si="75"/>
        <v>200610.6654364164</v>
      </c>
      <c r="H301" s="50">
        <f t="shared" si="75"/>
        <v>200610.6654364164</v>
      </c>
      <c r="I301" s="50">
        <f t="shared" si="75"/>
        <v>200610.6654364164</v>
      </c>
      <c r="J301" s="50">
        <f t="shared" si="75"/>
        <v>200610.6654364164</v>
      </c>
      <c r="K301" s="50">
        <f t="shared" si="75"/>
        <v>200610.6654364164</v>
      </c>
      <c r="L301" s="50">
        <f t="shared" si="75"/>
        <v>200610.6654364164</v>
      </c>
      <c r="M301" s="50">
        <f>SUM(M297,M299)</f>
        <v>200610.6654364164</v>
      </c>
      <c r="N301" s="47"/>
    </row>
  </sheetData>
  <sheetProtection/>
  <printOptions gridLines="1"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scale="47" r:id="rId3"/>
  <headerFooter>
    <oddFooter>&amp;LHaldimand County Hydro Inc.
Page &amp;P of &amp;N&amp;C&amp;"-,Bold"&amp;12 2012 IRM Rate Application
&amp;14&amp;F
&amp;12(&amp;"-,Bold Italic"per Board Decision in EB-2008-0381&amp;"-,Bold")&amp;RJ. Scott
September 28, 2011</oddFooter>
  </headerFooter>
  <rowBreaks count="2" manualBreakCount="2">
    <brk id="102" max="255" man="1"/>
    <brk id="20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Scott</dc:creator>
  <cp:keywords/>
  <dc:description/>
  <cp:lastModifiedBy>Sherry Graham</cp:lastModifiedBy>
  <cp:lastPrinted>2012-01-26T14:11:30Z</cp:lastPrinted>
  <dcterms:created xsi:type="dcterms:W3CDTF">2011-09-19T14:36:40Z</dcterms:created>
  <dcterms:modified xsi:type="dcterms:W3CDTF">2012-01-26T14:11:52Z</dcterms:modified>
  <cp:category/>
  <cp:version/>
  <cp:contentType/>
  <cp:contentStatus/>
</cp:coreProperties>
</file>