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<sst xmlns="http://schemas.openxmlformats.org/spreadsheetml/2006/main" count="886" uniqueCount="510">
  <si>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</si>
  <si>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</si>
  <si>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</si>
  <si>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</si>
  <si>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</si>
  <si>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</si>
  <si>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</si>
  <si>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</si>
  <si>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</si>
  <si>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</si>
  <si>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</si>
  <si>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</si>
  <si>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</si>
  <si>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</si>
  <si>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</si>
  <si>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</si>
  <si>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</si>
  <si>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</si>
  <si>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</si>
  <si>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</si>
  <si>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</si>
  <si>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</si>
  <si>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</si>
  <si>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</si>
  <si>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</si>
  <si>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</si>
  <si>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</si>
  <si>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</si>
  <si>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</si>
  <si>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</si>
  <si>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</si>
  <si>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</si>
  <si>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</si>
  <si>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</si>
  <si>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</si>
  <si>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</si>
  <si>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</si>
  <si>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</si>
  <si>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</si>
  <si>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</si>
  <si>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</si>
  <si>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</si>
  <si>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</si>
  <si>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</si>
  <si>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</si>
  <si>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</si>
  <si>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</si>
  <si>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</si>
  <si>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</si>
  <si>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</si>
  <si>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</si>
  <si>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</si>
  <si>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</si>
  <si>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</si>
  <si>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</si>
  <si>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</si>
  <si>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</si>
  <si>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</si>
  <si>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</si>
  <si>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</si>
  <si>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</si>
  <si>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</si>
  <si>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</si>
  <si>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</si>
  <si>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</si>
  <si>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</si>
  <si>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</si>
  <si>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</si>
  <si>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</si>
  <si>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</si>
  <si>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</si>
  <si>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</si>
  <si>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</si>
  <si>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</si>
  <si>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</si>
  <si>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</si>
  <si>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</si>
  <si>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</si>
  <si>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</si>
  <si>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</si>
  <si>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</si>
  <si>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</si>
  <si>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</si>
  <si>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</si>
  <si>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</si>
  <si>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</si>
  <si>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</si>
  <si>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</si>
  <si>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</si>
  <si>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</si>
  <si>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</si>
  <si>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</si>
  <si>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</si>
  <si>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</si>
  <si>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</si>
  <si>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</si>
  <si>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</si>
  <si>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</si>
  <si>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</si>
  <si>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</si>
  <si>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</si>
  <si>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</si>
  <si>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</si>
  <si>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</si>
  <si>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</si>
  <si>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</si>
  <si>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</si>
  <si>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</si>
  <si>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</si>
  <si>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</si>
  <si>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</si>
  <si>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</si>
  <si>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</si>
  <si>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</si>
  <si>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</si>
  <si>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</si>
  <si>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</si>
  <si>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</si>
  <si>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</si>
  <si>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</si>
  <si>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</si>
  <si>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</si>
  <si>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</si>
  <si>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</si>
  <si>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</si>
  <si>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</si>
  <si>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</si>
  <si>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</si>
  <si>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</si>
  <si>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</si>
  <si>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</si>
  <si>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</si>
  <si>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</si>
  <si>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</si>
  <si>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</si>
  <si>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</si>
  <si>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</si>
  <si>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</si>
  <si>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</si>
  <si>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</si>
  <si>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</si>
  <si>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</si>
  <si>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</si>
  <si>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</si>
  <si>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</si>
  <si>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</si>
  <si>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</si>
  <si>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</si>
  <si>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</si>
  <si>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</si>
  <si>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</si>
  <si>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</si>
  <si>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</si>
  <si>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</si>
  <si>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</si>
  <si>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</si>
  <si>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</si>
  <si>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</si>
  <si>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</si>
  <si>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</si>
  <si>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</si>
  <si>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</si>
  <si>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</si>
  <si>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</si>
  <si>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</si>
  <si>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</si>
  <si>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</si>
  <si>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</si>
  <si>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</si>
  <si>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</si>
  <si>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</si>
  <si>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</si>
  <si>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</si>
  <si>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</si>
  <si>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</si>
  <si>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</si>
  <si>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</si>
  <si>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</si>
  <si>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</si>
  <si>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</si>
  <si>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</si>
  <si>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</si>
  <si>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</si>
  <si>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</si>
  <si>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</si>
  <si>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</si>
  <si>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</si>
  <si>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</si>
  <si>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</si>
  <si>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</si>
  <si>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</si>
  <si>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</si>
  <si>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</si>
  <si>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</si>
  <si>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</si>
  <si>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</si>
  <si>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</si>
  <si>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</si>
  <si>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</si>
  <si>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</si>
  <si>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</si>
  <si>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</si>
  <si>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</si>
  <si>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</si>
  <si>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</si>
  <si>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</si>
  <si>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</si>
  <si>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</si>
  <si>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</si>
  <si>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</si>
  <si>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</si>
  <si>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</si>
  <si>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</si>
  <si>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</si>
  <si>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</si>
  <si>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</si>
  <si>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</si>
  <si>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</si>
  <si>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</si>
  <si>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</si>
  <si>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</si>
  <si>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</si>
  <si>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</si>
  <si>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</si>
  <si>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</si>
  <si>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</si>
  <si>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</si>
  <si>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</si>
  <si>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</si>
  <si>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</si>
  <si>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</si>
  <si>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</si>
  <si>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</si>
  <si>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</si>
  <si>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</si>
  <si>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</si>
  <si>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</si>
  <si>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</si>
  <si>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</si>
  <si>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</si>
  <si>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</si>
  <si>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</si>
  <si>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</si>
  <si>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</si>
  <si>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</si>
  <si>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</si>
  <si>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</si>
  <si>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</si>
  <si>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</si>
  <si>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</si>
  <si>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</si>
  <si>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</si>
  <si>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</si>
  <si>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</si>
  <si>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</si>
  <si>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</si>
  <si>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</si>
  <si>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</si>
  <si>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</si>
  <si>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</si>
  <si>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</si>
  <si>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</si>
  <si>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</si>
  <si>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</si>
  <si>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</si>
  <si>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</si>
  <si>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</si>
  <si>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</si>
  <si>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</si>
  <si>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</si>
  <si>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</si>
  <si>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</si>
  <si>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</si>
  <si>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</si>
  <si>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</si>
  <si>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</si>
  <si>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</si>
  <si>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</si>
  <si>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</si>
  <si>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</si>
  <si>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</si>
  <si>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</si>
  <si>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</si>
  <si>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</si>
  <si>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</si>
  <si>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</si>
  <si>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</si>
  <si>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</si>
  <si>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</si>
  <si>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</si>
  <si>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</si>
  <si>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</si>
  <si>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</si>
  <si>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</si>
  <si>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</si>
  <si>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</si>
  <si>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</si>
  <si>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</si>
  <si>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</si>
  <si>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</si>
  <si>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</si>
  <si>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</si>
  <si>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</si>
  <si>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</si>
  <si>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</si>
  <si>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</si>
  <si>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</si>
  <si>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</si>
  <si>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</si>
  <si>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</si>
  <si>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</si>
  <si>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</si>
  <si>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</si>
  <si>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</si>
  <si>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</si>
  <si>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</si>
  <si>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</si>
  <si>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</si>
  <si>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</si>
  <si>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</si>
  <si>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</si>
  <si>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</si>
  <si>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</si>
  <si>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</si>
  <si>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</si>
  <si>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</si>
  <si>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</si>
  <si>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</si>
  <si>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</si>
  <si>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</si>
  <si>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</si>
  <si>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</si>
  <si>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</si>
  <si>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</si>
  <si>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</si>
  <si>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</si>
  <si>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</si>
  <si>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</si>
  <si>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</si>
  <si>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</si>
  <si>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</si>
  <si>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</si>
  <si>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</si>
  <si>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</si>
  <si>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</si>
  <si>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</si>
  <si>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</si>
  <si>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</si>
  <si>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</si>
  <si>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</si>
  <si>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</si>
  <si>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</si>
  <si>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</si>
  <si>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</si>
  <si>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</si>
  <si>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</si>
  <si>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</si>
  <si>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</si>
  <si>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</si>
  <si>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</si>
  <si>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</si>
  <si>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</si>
  <si>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</si>
  <si>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</si>
  <si>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</si>
  <si>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</si>
  <si>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</si>
  <si>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</si>
  <si>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</si>
  <si>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</si>
  <si>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</si>
  <si>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</si>
  <si>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</si>
  <si>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</si>
  <si>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</si>
  <si>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</si>
  <si>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</si>
  <si>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</si>
  <si>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</si>
  <si>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</si>
  <si>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</si>
  <si>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</si>
  <si>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</si>
  <si>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</si>
  <si>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</si>
  <si>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</si>
  <si>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</si>
  <si>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</si>
  <si>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</si>
  <si>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</si>
  <si>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</si>
  <si>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</si>
  <si>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</si>
  <si>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</si>
  <si>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</si>
  <si>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</si>
  <si>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</si>
  <si>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</si>
  <si>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</si>
  <si>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</si>
  <si>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</si>
  <si>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</si>
  <si>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</si>
  <si>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</si>
  <si>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</si>
  <si>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</si>
  <si>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</si>
  <si>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</si>
  <si>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</si>
  <si>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</si>
  <si>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</si>
  <si>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</si>
  <si>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</si>
  <si>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</si>
  <si>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</si>
  <si>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</si>
  <si>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</si>
  <si>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</si>
  <si>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</si>
  <si>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</si>
  <si>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</si>
  <si>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</si>
  <si>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</si>
  <si>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</si>
  <si>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</si>
  <si>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</si>
  <si>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</si>
  <si>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</si>
  <si>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</si>
  <si>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</si>
  <si>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</si>
  <si>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</si>
  <si>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</si>
  <si>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</si>
  <si>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</si>
  <si>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</si>
  <si>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</si>
  <si>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</si>
  <si>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</si>
  <si>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</si>
  <si>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</si>
  <si>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</si>
  <si>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</si>
  <si>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</si>
  <si>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</si>
  <si>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</si>
  <si>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</si>
  <si>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</si>
  <si>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</si>
  <si>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</si>
  <si>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</si>
  <si>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</si>
  <si>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</si>
  <si>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</si>
  <si>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</si>
  <si>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</si>
  <si>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</si>
  <si>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</si>
  <si>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</si>
  <si>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</si>
  <si>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</si>
  <si>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</si>
  <si>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</si>
  <si>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</si>
  <si>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</si>
  <si>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</si>
  <si>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</si>
  <si>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</si>
  <si>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</si>
  <si>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</si>
  <si>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</si>
  <si>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</si>
  <si>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</si>
  <si>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</si>
  <si>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</si>
  <si>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</si>
  <si>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</si>
  <si>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</si>
  <si>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</si>
  <si>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</si>
  <si>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</si>
  <si>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</si>
  <si>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</si>
  <si>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</si>
  <si>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</si>
  <si>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Total deemed interest  (REGINFO CELL D62)</t>
  </si>
  <si>
    <t>Partnership income per T5013 (net of 2001 loss)</t>
  </si>
  <si>
    <t>RSVA Reserve (1580)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</si>
  <si>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</si>
  <si>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</si>
  <si>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</si>
  <si>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</si>
  <si>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</si>
  <si>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</si>
  <si>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</si>
  <si>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</si>
  <si>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</si>
  <si>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Kingston Hydro Corporation</t>
  </si>
  <si>
    <t>PILs TAXES - EB-2011-0178</t>
  </si>
  <si>
    <t>January 1, 2003 -  December 31, 2003</t>
  </si>
  <si>
    <t>Y</t>
  </si>
  <si>
    <t>N</t>
  </si>
  <si>
    <t>Employee future benefits</t>
  </si>
  <si>
    <t>Recovery of transition costs previously expensed</t>
  </si>
  <si>
    <t>2002 interest accrual prior period adjustment</t>
  </si>
  <si>
    <t>CCA taken on reg assets</t>
  </si>
  <si>
    <t>Please identify if Method 1, 2 or 3 was used to account for the PILs proxy and recovery.  ANSWER:  3</t>
  </si>
  <si>
    <t>Per PILs Decision</t>
  </si>
  <si>
    <t>Per Settlement Agreement</t>
  </si>
  <si>
    <t>Per Request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</si>
</sst>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 locked="0"/>
    </xf>
    <xf numFmtId="3" fontId="0" fillId="46" borderId="14" xfId="0" applyNumberForma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3" fontId="0" fillId="44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4">
      <selection activeCell="D31" sqref="D3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2" t="s">
        <v>443</v>
      </c>
      <c r="E3" s="8"/>
      <c r="F3" s="8"/>
      <c r="G3" s="8"/>
      <c r="H3" s="8"/>
    </row>
    <row r="4" spans="1:8" ht="12.75">
      <c r="A4" s="504" t="s">
        <v>499</v>
      </c>
      <c r="C4" s="8"/>
      <c r="D4" s="451" t="s">
        <v>438</v>
      </c>
      <c r="E4" s="425"/>
      <c r="H4" s="8"/>
    </row>
    <row r="5" spans="1:8" ht="12.75">
      <c r="A5" s="52"/>
      <c r="C5" s="8"/>
      <c r="D5" s="450" t="s">
        <v>439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501</v>
      </c>
    </row>
    <row r="18" spans="1:4" ht="15" customHeight="1">
      <c r="A18" s="391" t="s">
        <v>312</v>
      </c>
      <c r="C18" s="8"/>
      <c r="D18" s="8"/>
    </row>
    <row r="19" spans="1:4" ht="15" customHeight="1">
      <c r="A19" s="510" t="s">
        <v>313</v>
      </c>
      <c r="B19" s="8" t="s">
        <v>310</v>
      </c>
      <c r="C19" s="8" t="s">
        <v>64</v>
      </c>
      <c r="D19" s="390" t="s">
        <v>500</v>
      </c>
    </row>
    <row r="20" spans="1:4" ht="13.5" thickBot="1">
      <c r="A20" s="511"/>
      <c r="B20" s="8" t="s">
        <v>311</v>
      </c>
      <c r="C20" s="8" t="s">
        <v>64</v>
      </c>
      <c r="D20" s="258" t="s">
        <v>500</v>
      </c>
    </row>
    <row r="21" spans="1:4" ht="12.75">
      <c r="A21" s="510" t="s">
        <v>309</v>
      </c>
      <c r="B21" s="8" t="s">
        <v>310</v>
      </c>
      <c r="C21" s="8"/>
      <c r="D21" s="494">
        <v>1</v>
      </c>
    </row>
    <row r="22" spans="1:4" ht="12.75">
      <c r="A22" s="510"/>
      <c r="B22" s="8" t="s">
        <v>311</v>
      </c>
      <c r="C22" s="8"/>
      <c r="D22" s="494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472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5">
        <v>24210042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2073590.0973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1547868</v>
      </c>
      <c r="E43" s="389">
        <f>D43</f>
        <v>1547868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525722.0973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4">
        <f>D45/3</f>
        <v>175240.6991</v>
      </c>
      <c r="E47" s="389">
        <f aca="true" t="shared" si="0" ref="E47:E53">D47</f>
        <v>175240.6991</v>
      </c>
      <c r="H47" s="40"/>
      <c r="J47" s="5"/>
      <c r="K47" s="5"/>
    </row>
    <row r="48" spans="1:11" ht="12.75">
      <c r="A48" t="s">
        <v>287</v>
      </c>
      <c r="D48" s="484">
        <f>D45/3</f>
        <v>175240.6991</v>
      </c>
      <c r="E48" s="389">
        <f>D48</f>
        <v>175240.6991</v>
      </c>
      <c r="F48" s="22"/>
      <c r="H48" s="40"/>
      <c r="J48" s="5"/>
      <c r="K48" s="5"/>
    </row>
    <row r="49" spans="1:11" ht="12.75">
      <c r="A49" t="s">
        <v>288</v>
      </c>
      <c r="D49" s="485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435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457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1898349.3982000002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12105021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1195976.0748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12105021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877614.0225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729278.3460872738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803446.1842936369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803446.1842936369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877614.0225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151">
      <selection activeCell="F174" sqref="F17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EB-2011-0178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459</v>
      </c>
      <c r="H1" s="210"/>
    </row>
    <row r="2" spans="1:8" ht="12.75">
      <c r="A2" s="211" t="s">
        <v>458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Kingston Hydro Corporation</v>
      </c>
      <c r="B6" s="115"/>
      <c r="D6" s="137"/>
      <c r="E6" s="115"/>
      <c r="G6" s="115"/>
      <c r="H6" s="462"/>
    </row>
    <row r="7" spans="1:8" ht="12.75">
      <c r="A7" s="211" t="str">
        <f>REGINFO!A4</f>
        <v>January 1, 2003 -  December 31,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1898349.3982000002</v>
      </c>
      <c r="D16" s="17"/>
      <c r="E16" s="268">
        <f>G16-C16</f>
        <v>464290.60179999983</v>
      </c>
      <c r="F16" s="3"/>
      <c r="G16" s="268">
        <f>TAXREC!E50</f>
        <v>2362640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505">
        <v>1519994</v>
      </c>
      <c r="D20" s="18"/>
      <c r="E20" s="268">
        <f>G20-C20</f>
        <v>-47852</v>
      </c>
      <c r="F20" s="6"/>
      <c r="G20" s="268">
        <f>TAXREC!E61</f>
        <v>1472142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7" t="s">
        <v>392</v>
      </c>
      <c r="B30" s="127"/>
      <c r="C30" s="260"/>
      <c r="D30" s="18"/>
      <c r="E30" s="268">
        <f>G30-C30</f>
        <v>1110892</v>
      </c>
      <c r="F30" s="6"/>
      <c r="G30" s="268">
        <f>TAXREC!E66</f>
        <v>1110892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505">
        <v>1000872</v>
      </c>
      <c r="D33" s="132"/>
      <c r="E33" s="268">
        <f aca="true" t="shared" si="0" ref="E33:E42">G33-C33</f>
        <v>435187</v>
      </c>
      <c r="F33" s="6"/>
      <c r="G33" s="268">
        <f>TAXREC!E97+TAXREC!E98</f>
        <v>1436059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803446.1842936369</v>
      </c>
      <c r="D37" s="132"/>
      <c r="E37" s="268">
        <f t="shared" si="0"/>
        <v>341147.81570636306</v>
      </c>
      <c r="F37" s="6"/>
      <c r="G37" s="268">
        <f>TAXREC!E51</f>
        <v>1144594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">
      <c r="A48" s="477" t="s">
        <v>392</v>
      </c>
      <c r="B48" s="127"/>
      <c r="C48" s="260"/>
      <c r="D48" s="132"/>
      <c r="E48" s="268">
        <f>G48-C48</f>
        <v>1263226</v>
      </c>
      <c r="F48" s="6"/>
      <c r="G48" s="251">
        <f>TAXREC!E108</f>
        <v>1263226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1614025.2139063631</v>
      </c>
      <c r="D50" s="102"/>
      <c r="E50" s="264">
        <f>E16+SUM(E20:E30)-SUM(E33:E48)</f>
        <v>-512230.2139063631</v>
      </c>
      <c r="F50" s="428" t="s">
        <v>364</v>
      </c>
      <c r="G50" s="264">
        <f>G16+SUM(G20:G30)-SUM(G33:G48)</f>
        <v>1101795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-0.029200512844864412</v>
      </c>
      <c r="F53" s="114"/>
      <c r="G53" s="470">
        <f>TAXREC!E151</f>
        <v>0.3569994871551356</v>
      </c>
      <c r="H53" s="151"/>
      <c r="I53" s="467" t="s">
        <v>509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623336.5376106374</v>
      </c>
      <c r="D55" s="102"/>
      <c r="E55" s="268">
        <f>G55-C55</f>
        <v>-291925.5376106374</v>
      </c>
      <c r="F55" s="428" t="s">
        <v>365</v>
      </c>
      <c r="G55" s="265">
        <f>TAXREC!E144</f>
        <v>331411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8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623336.5376106374</v>
      </c>
      <c r="D60" s="133"/>
      <c r="E60" s="270">
        <f>+E55-E58</f>
        <v>-291925.5376106374</v>
      </c>
      <c r="F60" s="428" t="s">
        <v>365</v>
      </c>
      <c r="G60" s="270">
        <f>+G55-G58</f>
        <v>331411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24210042</v>
      </c>
      <c r="D66" s="102"/>
      <c r="E66" s="268">
        <f>G66-C66</f>
        <v>6770781</v>
      </c>
      <c r="F66" s="6"/>
      <c r="G66" s="487">
        <v>30980823</v>
      </c>
      <c r="H66" s="151"/>
      <c r="I66" s="472" t="s">
        <v>468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268">
        <v>5000000</v>
      </c>
      <c r="H67" s="151"/>
      <c r="I67" s="508" t="s">
        <v>508</v>
      </c>
      <c r="J67" s="473"/>
    </row>
    <row r="68" spans="1:8" ht="12.75">
      <c r="A68" s="152" t="s">
        <v>42</v>
      </c>
      <c r="B68" s="125"/>
      <c r="C68" s="265">
        <f>IF((C66-C67)&gt;0,C66-C67,0)</f>
        <v>19210042</v>
      </c>
      <c r="D68" s="102"/>
      <c r="E68" s="268">
        <f>SUM(E66:E67)</f>
        <v>6770781</v>
      </c>
      <c r="F68" s="114"/>
      <c r="G68" s="265">
        <f>G66-G67</f>
        <v>25980823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57630.126000000004</v>
      </c>
      <c r="D72" s="101"/>
      <c r="E72" s="268">
        <f>+G72-C72</f>
        <v>20312.342999999993</v>
      </c>
      <c r="F72" s="474"/>
      <c r="G72" s="265">
        <f>IF(G68&gt;0,G68*G70,0)*REGINFO!$B$6/REGINFO!$B$7</f>
        <v>77942.469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24210042</v>
      </c>
      <c r="D75" s="102"/>
      <c r="E75" s="268">
        <f>+G75-C75</f>
        <v>7386826</v>
      </c>
      <c r="F75" s="6"/>
      <c r="G75" s="487">
        <v>31596868</v>
      </c>
      <c r="H75" s="151"/>
      <c r="I75" s="472" t="s">
        <v>468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v>10000000</v>
      </c>
      <c r="H76" s="151"/>
      <c r="I76" s="508" t="s">
        <v>508</v>
      </c>
    </row>
    <row r="77" spans="1:8" ht="12.75">
      <c r="A77" s="152" t="s">
        <v>42</v>
      </c>
      <c r="B77" s="125"/>
      <c r="C77" s="265">
        <f>IF((C75-C76)&gt;0,C75-C76,0)</f>
        <v>14210042</v>
      </c>
      <c r="D77" s="19"/>
      <c r="E77" s="268">
        <f>SUM(E75:E76)</f>
        <v>7386826</v>
      </c>
      <c r="F77" s="114"/>
      <c r="G77" s="265">
        <f>G75-G76</f>
        <v>21596868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31972.5945</v>
      </c>
      <c r="D81" s="102"/>
      <c r="E81" s="268">
        <f>+G81-C81</f>
        <v>16620.358499999995</v>
      </c>
      <c r="F81" s="6"/>
      <c r="G81" s="265">
        <f>G77*G79*B9/B10</f>
        <v>48592.952999999994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18077.082395751266</v>
      </c>
      <c r="D82" s="102"/>
      <c r="E82" s="268">
        <f>+G82-C82</f>
        <v>-5736.978395751266</v>
      </c>
      <c r="F82" s="6"/>
      <c r="G82" s="301">
        <f>IF(G77&gt;0,IF(G60&gt;0,G50*'Tax Rates'!C38,0),0)</f>
        <v>12340.104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13895.512104248734</v>
      </c>
      <c r="D84" s="16"/>
      <c r="E84" s="268">
        <f>E81-E82</f>
        <v>22357.33689575126</v>
      </c>
      <c r="F84" s="103"/>
      <c r="G84" s="265">
        <f>G81-G82</f>
        <v>36252.848999999995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997338.4601770198</v>
      </c>
      <c r="D90" s="20"/>
      <c r="E90" s="139"/>
      <c r="F90" s="427" t="s">
        <v>473</v>
      </c>
      <c r="G90" s="271">
        <f>TAXREC!E156</f>
        <v>331411</v>
      </c>
      <c r="H90" s="151"/>
    </row>
    <row r="91" spans="1:8" ht="12.75">
      <c r="A91" s="158" t="s">
        <v>367</v>
      </c>
      <c r="B91" s="127">
        <v>23</v>
      </c>
      <c r="C91" s="265">
        <f>C84/(1-C88)</f>
        <v>22232.819366797972</v>
      </c>
      <c r="D91" s="20"/>
      <c r="E91" s="139"/>
      <c r="F91" s="427" t="s">
        <v>473</v>
      </c>
      <c r="G91" s="271">
        <f>TAXREC!E158</f>
        <v>36800</v>
      </c>
      <c r="H91" s="151"/>
    </row>
    <row r="92" spans="1:8" ht="12.75">
      <c r="A92" s="158" t="s">
        <v>345</v>
      </c>
      <c r="B92" s="127">
        <v>24</v>
      </c>
      <c r="C92" s="265">
        <f>C72</f>
        <v>57630.126000000004</v>
      </c>
      <c r="D92" s="20"/>
      <c r="E92" s="139"/>
      <c r="F92" s="427" t="s">
        <v>473</v>
      </c>
      <c r="G92" s="271">
        <f>TAXREC!E157</f>
        <v>77942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474</v>
      </c>
      <c r="B95" s="125">
        <v>25</v>
      </c>
      <c r="C95" s="270">
        <f>SUM(C90:C93)</f>
        <v>1077201.4055438177</v>
      </c>
      <c r="D95" s="6"/>
      <c r="E95" s="139"/>
      <c r="F95" s="427" t="s">
        <v>473</v>
      </c>
      <c r="G95" s="415">
        <f>SUM(G90:G94)</f>
        <v>446153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495</v>
      </c>
      <c r="B112" s="127">
        <v>11</v>
      </c>
      <c r="C112" s="112"/>
      <c r="D112" s="3"/>
      <c r="E112" s="469">
        <f>E206</f>
        <v>266979.97750000004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-266979.97750000004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475</v>
      </c>
      <c r="B122" s="127"/>
      <c r="C122" s="112"/>
      <c r="D122" s="3" t="s">
        <v>231</v>
      </c>
      <c r="E122" s="466">
        <v>0.3458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-92321.6762195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-92321.6762195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v>0.3458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0">
        <f>E128/(1-E130)</f>
        <v>-141121.48611968817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3">
        <f>C50</f>
        <v>1614025.2139063631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v>0.357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576207.0013645716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576207.0013645716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239</v>
      </c>
      <c r="B146" s="130"/>
      <c r="C146" s="112"/>
      <c r="D146" s="118" t="s">
        <v>188</v>
      </c>
      <c r="E146" s="303">
        <f>C60</f>
        <v>623336.5376106374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-47129.53624606575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24210042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19210042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57630.126000000004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57630.126000000004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24210042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14210042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31972.5945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18077.082395751266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13895.512104248734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13895.512104248734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v>0.3458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-72041.48004595804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79">
        <f>SUM(E177:E179)</f>
        <v>-72041.48004595804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482</v>
      </c>
      <c r="B183" s="130"/>
      <c r="C183" s="112"/>
      <c r="D183" s="119" t="s">
        <v>187</v>
      </c>
      <c r="E183" s="479">
        <f>E132</f>
        <v>-141121.48611968817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351</v>
      </c>
      <c r="B185" s="130"/>
      <c r="C185" s="112"/>
      <c r="D185" s="119" t="s">
        <v>189</v>
      </c>
      <c r="E185" s="479">
        <f>E181+E183</f>
        <v>-213162.9661656462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877614.0225</v>
      </c>
      <c r="F193" s="3"/>
      <c r="G193" s="123"/>
      <c r="H193" s="164"/>
    </row>
    <row r="194" spans="1:8" ht="12.75">
      <c r="A194" s="503" t="s">
        <v>493</v>
      </c>
      <c r="B194" s="127"/>
      <c r="C194" s="112"/>
      <c r="D194" s="120"/>
      <c r="E194" s="309">
        <f>C37</f>
        <v>803446.1842936369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74167.83820636303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3" t="s">
        <v>494</v>
      </c>
      <c r="B201" s="127"/>
      <c r="C201" s="112"/>
      <c r="D201" s="120"/>
      <c r="E201" s="309">
        <f>G37+G42</f>
        <v>1144594</v>
      </c>
      <c r="F201" s="3"/>
      <c r="G201" s="481"/>
      <c r="H201" s="164"/>
    </row>
    <row r="202" spans="1:8" ht="12.75">
      <c r="A202" s="155" t="s">
        <v>485</v>
      </c>
      <c r="B202" s="127"/>
      <c r="C202" s="112"/>
      <c r="D202" s="120"/>
      <c r="E202" s="497">
        <f>REGINFO!D62</f>
        <v>877614.0225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266979.97750000004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496</v>
      </c>
      <c r="B206" s="127"/>
      <c r="C206" s="112"/>
      <c r="D206" s="120"/>
      <c r="E206" s="468">
        <f>IF((E201-E202)&gt;0,E201-E202,0)</f>
        <v>266979.97750000004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-192812.139293637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39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EB-2011-0178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Kingston Hydro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January 1, 2003 -  December 31,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Ratebase*REGINFO!D33*0.25%</f>
        <v>30262.5525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8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2">
        <v>55503772</v>
      </c>
      <c r="D32" s="287"/>
      <c r="E32" s="285">
        <f>C32-D32</f>
        <v>55503772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2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42">
        <v>957205</v>
      </c>
      <c r="D34" s="287"/>
      <c r="E34" s="285">
        <f>C34-D34</f>
        <v>957205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2">
        <v>47227516</v>
      </c>
      <c r="D39" s="287"/>
      <c r="E39" s="285">
        <f>C39-D39</f>
        <v>47227516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2">
        <v>1954996</v>
      </c>
      <c r="D40" s="287"/>
      <c r="E40" s="285">
        <f aca="true" t="shared" si="0" ref="E40:E48">C40-D40</f>
        <v>1954996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42">
        <v>1271670</v>
      </c>
      <c r="D41" s="287"/>
      <c r="E41" s="285">
        <f t="shared" si="0"/>
        <v>1271670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42">
        <v>2172013</v>
      </c>
      <c r="D42" s="287"/>
      <c r="E42" s="285">
        <f t="shared" si="0"/>
        <v>2172013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2">
        <v>1472142</v>
      </c>
      <c r="D43" s="287"/>
      <c r="E43" s="285">
        <f t="shared" si="0"/>
        <v>1472142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8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17" t="s">
        <v>484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2362640</v>
      </c>
      <c r="D50" s="282">
        <f>SUM(D31:D36)-SUM(D39:D49)</f>
        <v>0</v>
      </c>
      <c r="E50" s="282">
        <f>SUM(E31:E35)-SUM(E39:E48)</f>
        <v>2362640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1144594</v>
      </c>
      <c r="D51" s="286"/>
      <c r="E51" s="283">
        <f>+C51-D51</f>
        <v>1144594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442870</v>
      </c>
      <c r="D52" s="286"/>
      <c r="E52" s="284">
        <f>+C52-D52</f>
        <v>442870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775176</v>
      </c>
      <c r="D53" s="282">
        <f>D50-D51-D52</f>
        <v>0</v>
      </c>
      <c r="E53" s="282">
        <f>E50-E51-E52</f>
        <v>775176</v>
      </c>
      <c r="F53" s="8"/>
    </row>
    <row r="54" spans="1:6" ht="22.5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C52-48845</f>
        <v>394025</v>
      </c>
      <c r="D59" s="288">
        <f>D52</f>
        <v>0</v>
      </c>
      <c r="E59" s="273">
        <f>+C59-D59</f>
        <v>394025</v>
      </c>
      <c r="F59" s="8"/>
      <c r="G59" s="417"/>
    </row>
    <row r="60" spans="1:6" ht="12.75">
      <c r="A60" s="4" t="s">
        <v>324</v>
      </c>
      <c r="B60" s="8" t="s">
        <v>187</v>
      </c>
      <c r="C60" s="489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1472142</v>
      </c>
      <c r="D61" s="288">
        <f>D43</f>
        <v>0</v>
      </c>
      <c r="E61" s="273">
        <f>+C61-D61</f>
        <v>1472142</v>
      </c>
      <c r="F61" s="8"/>
      <c r="G61" s="417"/>
    </row>
    <row r="62" spans="1:6" ht="12.75">
      <c r="A62" t="s">
        <v>6</v>
      </c>
      <c r="B62" s="8" t="s">
        <v>187</v>
      </c>
      <c r="C62" s="489"/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/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440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1110892</v>
      </c>
      <c r="D66" s="443">
        <f>'TAXREC 3 No True-up'!D47</f>
        <v>0</v>
      </c>
      <c r="E66" s="273">
        <f>+C66-D66</f>
        <v>1110892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2977059</v>
      </c>
      <c r="D70" s="273">
        <f>SUM(D59:D68)</f>
        <v>0</v>
      </c>
      <c r="E70" s="273">
        <f>SUM(E59:E68)</f>
        <v>2977059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2977059</v>
      </c>
      <c r="D82" s="251">
        <f>D70+D80</f>
        <v>0</v>
      </c>
      <c r="E82" s="251">
        <f>E70+E80</f>
        <v>2977059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428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2">
        <v>1435252</v>
      </c>
      <c r="D97" s="295"/>
      <c r="E97" s="273">
        <f>+C97-D97</f>
        <v>1435252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807</v>
      </c>
      <c r="D98" s="295"/>
      <c r="E98" s="273">
        <f>+C98-D98</f>
        <v>807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2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1263226</v>
      </c>
      <c r="D108" s="254">
        <f>'TAXREC 3 No True-up'!D75</f>
        <v>0</v>
      </c>
      <c r="E108" s="273">
        <f t="shared" si="5"/>
        <v>1263226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2699285</v>
      </c>
      <c r="D113" s="251">
        <f>SUM(D97:D111)</f>
        <v>0</v>
      </c>
      <c r="E113" s="251">
        <f>SUM(E97:E111)</f>
        <v>2699285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2699285</v>
      </c>
      <c r="D122" s="251">
        <f>D113+D120</f>
        <v>0</v>
      </c>
      <c r="E122" s="251">
        <f>+E113+E120</f>
        <v>2699285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1052950</v>
      </c>
      <c r="D134" s="251">
        <f>D53+D82-D122</f>
        <v>0</v>
      </c>
      <c r="E134" s="251">
        <f>E53+E82-E122</f>
        <v>1052950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1052950</v>
      </c>
      <c r="D139" s="252">
        <f>D134-D136-D137-D138</f>
        <v>0</v>
      </c>
      <c r="E139" s="252">
        <f>E134-E136-E137-E138</f>
        <v>1052950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0">
        <v>253971</v>
      </c>
      <c r="D142" s="299"/>
      <c r="E142" s="252">
        <f>C142-D142</f>
        <v>253971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0">
        <v>77440</v>
      </c>
      <c r="D143" s="299"/>
      <c r="E143" s="293">
        <f>C143-D143</f>
        <v>77440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331411</v>
      </c>
      <c r="D144" s="252">
        <f>D142+D143</f>
        <v>0</v>
      </c>
      <c r="E144" s="252">
        <f>E142+E143</f>
        <v>331411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/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331411</v>
      </c>
      <c r="D146" s="252">
        <f>D144-D145</f>
        <v>0</v>
      </c>
      <c r="E146" s="252">
        <f>E144-E145</f>
        <v>331411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C142/C139</f>
        <v>0.24119948715513556</v>
      </c>
      <c r="D149" s="5"/>
      <c r="E149" s="407">
        <f>C149</f>
        <v>0.24119948715513556</v>
      </c>
      <c r="F149" s="8"/>
      <c r="G149" s="467" t="s">
        <v>507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1">
        <v>0.1158</v>
      </c>
      <c r="D150" s="5"/>
      <c r="E150" s="407">
        <f>C150</f>
        <v>0.1158</v>
      </c>
      <c r="F150" s="8"/>
      <c r="G150" s="467" t="s">
        <v>507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0.3569994871551356</v>
      </c>
      <c r="D151" s="5"/>
      <c r="E151" s="407">
        <f>SUM(E149:E150)</f>
        <v>0.3569994871551356</v>
      </c>
      <c r="F151" s="8"/>
      <c r="G151" s="467" t="s">
        <v>507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219</v>
      </c>
      <c r="B156" s="86" t="s">
        <v>187</v>
      </c>
      <c r="C156" s="251">
        <f>C146</f>
        <v>331411</v>
      </c>
      <c r="D156" s="251">
        <f>D146</f>
        <v>0</v>
      </c>
      <c r="E156" s="251">
        <f>E146</f>
        <v>331411</v>
      </c>
    </row>
    <row r="157" spans="1:5" ht="12.75">
      <c r="A157" t="s">
        <v>20</v>
      </c>
      <c r="B157" s="86" t="s">
        <v>187</v>
      </c>
      <c r="C157" s="492">
        <v>77942</v>
      </c>
      <c r="D157" s="251"/>
      <c r="E157" s="251">
        <f>C157+D157</f>
        <v>77942</v>
      </c>
    </row>
    <row r="158" spans="1:5" ht="12.75">
      <c r="A158" t="s">
        <v>218</v>
      </c>
      <c r="B158" s="86" t="s">
        <v>187</v>
      </c>
      <c r="C158" s="492">
        <v>36800</v>
      </c>
      <c r="D158" s="251"/>
      <c r="E158" s="251">
        <f>C158+D158</f>
        <v>36800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446153</v>
      </c>
      <c r="D160" s="251">
        <f>D156+D157+D158</f>
        <v>0</v>
      </c>
      <c r="E160" s="251">
        <f>E156+E157+E158</f>
        <v>446153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49">
      <selection activeCell="C24" sqref="C24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EB-2011-0178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Kingston Hydro Corporation</v>
      </c>
      <c r="B7" s="20"/>
      <c r="C7" s="25"/>
      <c r="D7" s="25"/>
      <c r="E7" s="25"/>
      <c r="F7" s="20"/>
    </row>
    <row r="8" spans="1:6" ht="12.75">
      <c r="A8" s="2" t="str">
        <f>REGINFO!A4</f>
        <v>January 1, 2003 -  December 31,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445</v>
      </c>
      <c r="B18" s="61"/>
      <c r="C18" s="295"/>
      <c r="D18" s="295"/>
      <c r="E18" s="251">
        <f t="shared" si="0"/>
        <v>0</v>
      </c>
    </row>
    <row r="19" spans="1:5" ht="12.75">
      <c r="A19" s="61" t="s">
        <v>445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445</v>
      </c>
      <c r="B30" s="61"/>
      <c r="C30" s="295"/>
      <c r="D30" s="295"/>
      <c r="E30" s="251">
        <f t="shared" si="1"/>
        <v>0</v>
      </c>
    </row>
    <row r="31" spans="1:5" ht="12.75">
      <c r="A31" s="61" t="s">
        <v>445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500" t="s">
        <v>492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445</v>
      </c>
      <c r="B47" s="61"/>
      <c r="C47" s="295"/>
      <c r="D47" s="295"/>
      <c r="E47" s="251">
        <f t="shared" si="2"/>
        <v>0</v>
      </c>
    </row>
    <row r="48" spans="1:5" ht="12.75">
      <c r="A48" s="61" t="s">
        <v>445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500" t="s">
        <v>492</v>
      </c>
      <c r="B56" s="61"/>
      <c r="C56" s="295"/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445</v>
      </c>
      <c r="B59" s="61"/>
      <c r="C59" s="295"/>
      <c r="D59" s="295"/>
      <c r="E59" s="251">
        <f t="shared" si="3"/>
        <v>0</v>
      </c>
    </row>
    <row r="60" spans="1:5" ht="12.75">
      <c r="A60" s="61" t="s">
        <v>445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EB-2011-0178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461</v>
      </c>
      <c r="B5" s="8"/>
      <c r="C5" s="8" t="s">
        <v>2</v>
      </c>
      <c r="D5" s="8"/>
      <c r="E5" s="8"/>
      <c r="F5" s="8"/>
    </row>
    <row r="6" spans="1:6" ht="12.75">
      <c r="A6" s="417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Kingston Hydro Corporation</v>
      </c>
      <c r="B8" s="20"/>
      <c r="C8" s="25"/>
      <c r="D8" s="25"/>
      <c r="E8" s="25"/>
      <c r="F8" s="20"/>
    </row>
    <row r="9" spans="1:6" ht="12.75">
      <c r="A9" s="35" t="str">
        <f>REGINFO!A4</f>
        <v>January 1, 2003 -  December 31,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30262.5525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446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469</v>
      </c>
      <c r="B36" t="s">
        <v>187</v>
      </c>
      <c r="C36" s="493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82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8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3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EB-2011-0178</v>
      </c>
    </row>
    <row r="3" spans="1:5" ht="12.75">
      <c r="A3" s="2" t="s">
        <v>382</v>
      </c>
      <c r="E3" s="92"/>
    </row>
    <row r="4" spans="1:6" ht="15">
      <c r="A4" s="461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Kingston Hydro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January 1, 2003 -  December 31,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450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451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434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429</v>
      </c>
      <c r="B32" t="s">
        <v>187</v>
      </c>
      <c r="C32" s="493"/>
      <c r="D32" s="296"/>
      <c r="E32" s="314">
        <f t="shared" si="0"/>
        <v>0</v>
      </c>
    </row>
    <row r="33" spans="1:5" ht="12.75">
      <c r="A33" s="67" t="s">
        <v>430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447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448</v>
      </c>
      <c r="C35" s="296">
        <v>0</v>
      </c>
      <c r="D35" s="296"/>
      <c r="E35" s="314">
        <f t="shared" si="0"/>
        <v>0</v>
      </c>
    </row>
    <row r="36" spans="1:5" ht="12.75">
      <c r="A36" s="67" t="s">
        <v>431</v>
      </c>
      <c r="C36" s="493"/>
      <c r="D36" s="296"/>
      <c r="E36" s="314">
        <f t="shared" si="0"/>
        <v>0</v>
      </c>
    </row>
    <row r="37" spans="1:5" ht="12.75">
      <c r="A37" s="67" t="s">
        <v>432</v>
      </c>
      <c r="C37" s="296"/>
      <c r="D37" s="296"/>
      <c r="E37" s="314">
        <f t="shared" si="0"/>
        <v>0</v>
      </c>
    </row>
    <row r="38" spans="1:5" ht="12.75">
      <c r="A38" s="67" t="s">
        <v>453</v>
      </c>
      <c r="C38" s="296"/>
      <c r="D38" s="296"/>
      <c r="E38" s="314">
        <f t="shared" si="0"/>
        <v>0</v>
      </c>
    </row>
    <row r="39" spans="1:5" ht="12.75">
      <c r="A39" s="506" t="s">
        <v>503</v>
      </c>
      <c r="B39" t="s">
        <v>187</v>
      </c>
      <c r="C39" s="296">
        <v>12690</v>
      </c>
      <c r="D39" s="296"/>
      <c r="E39" s="314">
        <f t="shared" si="0"/>
        <v>12690</v>
      </c>
    </row>
    <row r="40" spans="1:5" ht="12.75">
      <c r="A40" s="81" t="s">
        <v>390</v>
      </c>
      <c r="B40" t="s">
        <v>187</v>
      </c>
      <c r="C40" s="296">
        <v>48845</v>
      </c>
      <c r="D40" s="296"/>
      <c r="E40" s="314">
        <f t="shared" si="0"/>
        <v>48845</v>
      </c>
    </row>
    <row r="41" spans="1:5" ht="12.75">
      <c r="A41" s="81" t="s">
        <v>384</v>
      </c>
      <c r="B41" t="s">
        <v>187</v>
      </c>
      <c r="C41" s="493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498" t="s">
        <v>486</v>
      </c>
      <c r="B44" t="s">
        <v>187</v>
      </c>
      <c r="C44" s="482">
        <v>0</v>
      </c>
      <c r="D44" s="295"/>
      <c r="E44" s="251">
        <f t="shared" si="0"/>
        <v>0</v>
      </c>
    </row>
    <row r="45" spans="1:5" ht="12.75">
      <c r="A45" s="499" t="s">
        <v>502</v>
      </c>
      <c r="B45" t="s">
        <v>187</v>
      </c>
      <c r="C45" s="295">
        <v>871102</v>
      </c>
      <c r="D45" s="295"/>
      <c r="E45" s="251">
        <f t="shared" si="0"/>
        <v>871102</v>
      </c>
    </row>
    <row r="46" spans="1:5" ht="12.75">
      <c r="A46" s="499" t="s">
        <v>487</v>
      </c>
      <c r="B46" t="s">
        <v>187</v>
      </c>
      <c r="C46" s="295">
        <v>178255</v>
      </c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1110892</v>
      </c>
      <c r="D47" s="251">
        <f>SUM(D19:D46)</f>
        <v>0</v>
      </c>
      <c r="E47" s="251">
        <f>SUM(E19:E46)</f>
        <v>932637</v>
      </c>
    </row>
    <row r="48" ht="12.75">
      <c r="A48" s="67"/>
    </row>
    <row r="49" ht="12.75">
      <c r="A49" s="81" t="s">
        <v>145</v>
      </c>
    </row>
    <row r="51" spans="1:5" ht="12.75">
      <c r="A51" s="507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433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506" t="s">
        <v>441</v>
      </c>
      <c r="B55" s="8" t="s">
        <v>188</v>
      </c>
      <c r="C55" s="295">
        <v>16633</v>
      </c>
      <c r="D55" s="295"/>
      <c r="E55" s="251">
        <f t="shared" si="1"/>
        <v>16633</v>
      </c>
    </row>
    <row r="56" spans="1:5" ht="12.75">
      <c r="A56" s="506" t="s">
        <v>504</v>
      </c>
      <c r="B56" s="8" t="s">
        <v>188</v>
      </c>
      <c r="C56" s="295">
        <v>47534</v>
      </c>
      <c r="D56" s="295"/>
      <c r="E56" s="251">
        <f t="shared" si="1"/>
        <v>47534</v>
      </c>
    </row>
    <row r="57" spans="1:5" ht="12.75">
      <c r="A57" s="2" t="s">
        <v>449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506" t="s">
        <v>502</v>
      </c>
      <c r="B59" s="8" t="s">
        <v>188</v>
      </c>
      <c r="C59" s="295">
        <v>850783</v>
      </c>
      <c r="D59" s="295"/>
      <c r="E59" s="251">
        <f t="shared" si="1"/>
        <v>850783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>
        <v>79457</v>
      </c>
      <c r="D64" s="295"/>
      <c r="E64" s="251">
        <f t="shared" si="2"/>
        <v>79457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499" t="s">
        <v>487</v>
      </c>
      <c r="B69" s="8" t="s">
        <v>188</v>
      </c>
      <c r="C69" s="295">
        <v>64825</v>
      </c>
      <c r="D69" s="295"/>
      <c r="E69" s="251">
        <f t="shared" si="2"/>
        <v>64825</v>
      </c>
    </row>
    <row r="70" spans="1:5" ht="12.75">
      <c r="A70" s="499" t="s">
        <v>505</v>
      </c>
      <c r="B70" s="8" t="s">
        <v>188</v>
      </c>
      <c r="C70" s="295">
        <v>203994</v>
      </c>
      <c r="D70" s="295"/>
      <c r="E70" s="251">
        <f t="shared" si="2"/>
        <v>203994</v>
      </c>
    </row>
    <row r="71" spans="1:5" ht="12.75">
      <c r="A71" s="499" t="s">
        <v>488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9" t="s">
        <v>489</v>
      </c>
      <c r="B72" s="8" t="s">
        <v>188</v>
      </c>
      <c r="C72" s="295"/>
      <c r="D72" s="295"/>
      <c r="E72" s="280">
        <f t="shared" si="2"/>
        <v>0</v>
      </c>
    </row>
    <row r="73" spans="1:5" ht="12.75">
      <c r="A73" s="499" t="s">
        <v>490</v>
      </c>
      <c r="B73" s="8"/>
      <c r="C73" s="295"/>
      <c r="D73" s="295"/>
      <c r="E73" s="280">
        <f t="shared" si="2"/>
        <v>0</v>
      </c>
    </row>
    <row r="74" spans="1:5" ht="12.75">
      <c r="A74" s="499" t="s">
        <v>491</v>
      </c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1263226</v>
      </c>
      <c r="D75" s="251">
        <f>SUM(D51:D74)</f>
        <v>0</v>
      </c>
      <c r="E75" s="251">
        <f>SUM(E51:E74)</f>
        <v>1263226</v>
      </c>
    </row>
    <row r="76" ht="12.75">
      <c r="A76" s="67"/>
    </row>
    <row r="77" ht="12.75">
      <c r="A77" s="4"/>
    </row>
    <row r="78" ht="12.75">
      <c r="A78" s="501"/>
    </row>
    <row r="79" ht="12.75">
      <c r="A79" s="502"/>
    </row>
    <row r="80" ht="12.75">
      <c r="A80" s="502"/>
    </row>
    <row r="81" ht="12.75">
      <c r="A81" s="502"/>
    </row>
    <row r="82" ht="12.75">
      <c r="A82" s="502"/>
    </row>
    <row r="83" ht="12.75">
      <c r="A83" s="31"/>
    </row>
    <row r="84" ht="12.75">
      <c r="A84" s="502"/>
    </row>
    <row r="85" ht="12.75">
      <c r="A85" s="502"/>
    </row>
    <row r="86" ht="12.75">
      <c r="A86" s="502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58">
      <selection activeCell="G20" sqref="G2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EB-2011-0178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Kingston Hydro Corporation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January 1, 2003 -  December 31,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8" t="s">
        <v>476</v>
      </c>
      <c r="B8" s="519"/>
      <c r="C8" s="519"/>
      <c r="D8" s="519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463</v>
      </c>
      <c r="B10" s="328"/>
      <c r="C10" s="377" t="s">
        <v>111</v>
      </c>
      <c r="D10" s="377"/>
      <c r="E10" s="377" t="s">
        <v>111</v>
      </c>
      <c r="F10" s="378" t="s">
        <v>481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329</v>
      </c>
      <c r="B21" s="408" t="s">
        <v>466</v>
      </c>
      <c r="C21" s="495">
        <f>5000000*REGINFO!D21</f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330</v>
      </c>
      <c r="B22" s="409" t="s">
        <v>467</v>
      </c>
      <c r="C22" s="496">
        <f>10000000*REGINFO!D22</f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2" t="s">
        <v>483</v>
      </c>
      <c r="B23" s="513"/>
      <c r="C23" s="513"/>
      <c r="D23" s="513"/>
      <c r="E23" s="513"/>
      <c r="F23" s="513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0" t="s">
        <v>477</v>
      </c>
      <c r="B26" s="521"/>
      <c r="C26" s="521"/>
      <c r="D26" s="521"/>
      <c r="E26" s="521"/>
      <c r="F26" s="52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437</v>
      </c>
      <c r="B28" s="328"/>
      <c r="C28" s="371" t="s">
        <v>111</v>
      </c>
      <c r="D28" s="371"/>
      <c r="E28" s="371" t="s">
        <v>111</v>
      </c>
      <c r="F28" s="372" t="s">
        <v>481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478</v>
      </c>
      <c r="B39" s="408" t="s">
        <v>466</v>
      </c>
      <c r="C39" s="363">
        <f>5000000*REGINFO!D21</f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479</v>
      </c>
      <c r="B40" s="409" t="s">
        <v>467</v>
      </c>
      <c r="C40" s="364">
        <f>10000000*REGINFO!D22</f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4" t="s">
        <v>332</v>
      </c>
      <c r="B41" s="513"/>
      <c r="C41" s="513"/>
      <c r="D41" s="513"/>
      <c r="E41" s="513"/>
      <c r="F41" s="51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5"/>
      <c r="B42" s="515"/>
      <c r="C42" s="515"/>
      <c r="D42" s="515"/>
      <c r="E42" s="515"/>
      <c r="F42" s="51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480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346</v>
      </c>
      <c r="B57" s="408" t="s">
        <v>466</v>
      </c>
      <c r="C57" s="363">
        <v>148875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347</v>
      </c>
      <c r="B58" s="409" t="s">
        <v>467</v>
      </c>
      <c r="C58" s="364">
        <v>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2" t="s">
        <v>348</v>
      </c>
      <c r="B59" s="516"/>
      <c r="C59" s="516"/>
      <c r="D59" s="516"/>
      <c r="E59" s="516"/>
      <c r="F59" s="51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7"/>
      <c r="B60" s="517"/>
      <c r="C60" s="517"/>
      <c r="D60" s="517"/>
      <c r="E60" s="517"/>
      <c r="F60" s="51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EB-2011-0178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Kingston Hydro Corporation</v>
      </c>
      <c r="O3" s="418" t="str">
        <f>REGINFO!E1</f>
        <v>Version 2009.1</v>
      </c>
    </row>
    <row r="4" spans="1:15" ht="12.75">
      <c r="A4" s="2" t="str">
        <f>REGINFO!A4</f>
        <v>January 1, 2003 -  December 31,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354796</v>
      </c>
      <c r="F11" s="421"/>
      <c r="G11" s="398">
        <f>E22</f>
        <v>290181</v>
      </c>
      <c r="H11" s="421"/>
      <c r="I11" s="398">
        <f>G22</f>
        <v>187549.20793050993</v>
      </c>
      <c r="J11" s="392"/>
      <c r="K11" s="398">
        <f>I22</f>
        <v>-56822.38536995626</v>
      </c>
      <c r="L11" s="392"/>
      <c r="M11" s="398">
        <f>K22</f>
        <v>-263685.6727731563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509">
        <v>354796</v>
      </c>
      <c r="D12" s="393"/>
      <c r="E12" s="397">
        <v>1077201</v>
      </c>
      <c r="F12" s="95"/>
      <c r="G12" s="420">
        <f>C12+E12</f>
        <v>1431997</v>
      </c>
      <c r="H12" s="95"/>
      <c r="I12" s="420">
        <f>(E12/12*9)+(G12/12*3)</f>
        <v>1165900</v>
      </c>
      <c r="J12" s="393"/>
      <c r="K12" s="420">
        <f>E12/12*3</f>
        <v>269300.25</v>
      </c>
      <c r="L12" s="393"/>
      <c r="M12" s="420">
        <v>333844</v>
      </c>
      <c r="N12" s="393"/>
      <c r="O12" s="398">
        <f aca="true" t="shared" si="0" ref="O12:O20">SUM(C12:N12)</f>
        <v>4633038.25</v>
      </c>
    </row>
    <row r="13" spans="1:15" ht="27" customHeight="1">
      <c r="A13" s="81" t="s">
        <v>436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>
        <v>751148</v>
      </c>
      <c r="L13" s="393"/>
      <c r="M13" s="420"/>
      <c r="N13" s="393"/>
      <c r="O13" s="398">
        <f t="shared" si="0"/>
        <v>751148</v>
      </c>
    </row>
    <row r="14" spans="1:15" ht="26.2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>
        <v>-68024</v>
      </c>
      <c r="H15" s="95"/>
      <c r="I15" s="397">
        <f>TAXCALC!E132</f>
        <v>-141121.48611968817</v>
      </c>
      <c r="J15" s="393"/>
      <c r="K15" s="397">
        <v>-66352</v>
      </c>
      <c r="L15" s="393"/>
      <c r="M15" s="397"/>
      <c r="N15" s="393"/>
      <c r="O15" s="398">
        <f t="shared" si="0"/>
        <v>-275497.48611968814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>
        <f>TAXCALC!E181</f>
        <v>-72041.48004595804</v>
      </c>
      <c r="J17" s="393"/>
      <c r="K17" s="397">
        <v>-84311</v>
      </c>
      <c r="L17" s="393"/>
      <c r="M17" s="397"/>
      <c r="N17" s="393"/>
      <c r="O17" s="398">
        <f t="shared" si="0"/>
        <v>-156352.48004595804</v>
      </c>
    </row>
    <row r="18" spans="1:15" ht="26.2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464</v>
      </c>
      <c r="B20" s="66" t="s">
        <v>188</v>
      </c>
      <c r="C20" s="420">
        <v>0</v>
      </c>
      <c r="D20" s="393"/>
      <c r="E20" s="397">
        <v>-1141816</v>
      </c>
      <c r="F20" s="95"/>
      <c r="G20" s="397">
        <v>-1466604.79206949</v>
      </c>
      <c r="H20" s="95"/>
      <c r="I20" s="397">
        <v>-1197108.62713482</v>
      </c>
      <c r="J20" s="393"/>
      <c r="K20" s="397">
        <v>-1076648.5374032</v>
      </c>
      <c r="L20" s="393"/>
      <c r="M20" s="509">
        <v>-474526.7827321</v>
      </c>
      <c r="N20" s="393"/>
      <c r="O20" s="398">
        <f t="shared" si="0"/>
        <v>-5356704.739339611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354796</v>
      </c>
      <c r="D22" s="421"/>
      <c r="E22" s="399">
        <f>SUM(E11:E20)</f>
        <v>290181</v>
      </c>
      <c r="F22" s="421"/>
      <c r="G22" s="399">
        <f>SUM(G11:G20)</f>
        <v>187549.20793050993</v>
      </c>
      <c r="H22" s="421"/>
      <c r="I22" s="399">
        <f>SUM(I11:I20)</f>
        <v>-56822.38536995626</v>
      </c>
      <c r="J22" s="392"/>
      <c r="K22" s="399">
        <f>SUM(K11:K20)</f>
        <v>-263685.6727731563</v>
      </c>
      <c r="L22" s="392"/>
      <c r="M22" s="399">
        <f>SUM(M11:M21)</f>
        <v>-404368.4555052563</v>
      </c>
      <c r="N22" s="392"/>
      <c r="O22" s="447">
        <f>SUM(O11:O20)</f>
        <v>-404368.4555052575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506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23" t="s">
        <v>405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422"/>
      <c r="Q33" s="422"/>
      <c r="R33" s="422"/>
      <c r="S33" s="422"/>
    </row>
    <row r="34" spans="1:19" ht="12.75">
      <c r="A34" s="522" t="s">
        <v>406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422"/>
      <c r="Q34" s="422"/>
      <c r="R34" s="422"/>
      <c r="S34" s="422"/>
    </row>
    <row r="35" spans="1:19" ht="12.75">
      <c r="A35" s="522" t="s">
        <v>427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422"/>
      <c r="Q35" s="422"/>
      <c r="R35" s="422"/>
      <c r="S35" s="422"/>
    </row>
    <row r="36" spans="1:19" ht="12.75">
      <c r="A36" s="522" t="s">
        <v>407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408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409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410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412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414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415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416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413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418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419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420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421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422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423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424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425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426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22" t="s">
        <v>455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2011-11-21T21:23:48Z</cp:lastPrinted>
  <dcterms:created xsi:type="dcterms:W3CDTF">2001-11-07T16:15:53Z</dcterms:created>
  <dcterms:modified xsi:type="dcterms:W3CDTF">2012-01-30T18:20:20Z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