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5360" windowHeight="8712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  <externalReference r:id="rId12"/>
    <externalReference r:id="rId13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True-up'!$A$1:$F$77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<sst xmlns="http://schemas.openxmlformats.org/spreadsheetml/2006/main" count="892" uniqueCount="515">
  <si>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</si>
  <si>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</si>
  <si>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</si>
  <si>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</si>
  <si>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</si>
  <si>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</si>
  <si>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</si>
  <si>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</si>
  <si>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</si>
  <si>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</si>
  <si>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</si>
  <si>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</si>
  <si>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</si>
  <si>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</si>
  <si>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</si>
  <si>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</si>
  <si>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</si>
  <si>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</si>
  <si>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</si>
  <si>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</si>
  <si>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</si>
  <si>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</si>
  <si>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</si>
  <si>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</si>
  <si>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</si>
  <si>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</si>
  <si>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</si>
  <si>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</si>
  <si>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</si>
  <si>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</si>
  <si>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</si>
  <si>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</si>
  <si>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</si>
  <si>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</si>
  <si>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</si>
  <si>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</si>
  <si>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</si>
  <si>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</si>
  <si>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</si>
  <si>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</si>
  <si>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</si>
  <si>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</si>
  <si>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</si>
  <si>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</si>
  <si>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</si>
  <si>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</si>
  <si>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</si>
  <si>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</si>
  <si>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</si>
  <si>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</si>
  <si>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</si>
  <si>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</si>
  <si>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</si>
  <si>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</si>
  <si>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</si>
  <si>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</si>
  <si>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</si>
  <si>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</si>
  <si>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</si>
  <si>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</si>
  <si>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</si>
  <si>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</si>
  <si>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</si>
  <si>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</si>
  <si>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</si>
  <si>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</si>
  <si>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</si>
  <si>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</si>
  <si>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</si>
  <si>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</si>
  <si>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</si>
  <si>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</si>
  <si>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</si>
  <si>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</si>
  <si>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</si>
  <si>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</si>
  <si>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</si>
  <si>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</si>
  <si>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</si>
  <si>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</si>
  <si>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</si>
  <si>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</si>
  <si>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</si>
  <si>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</si>
  <si>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</si>
  <si>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</si>
  <si>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</si>
  <si>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</si>
  <si>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</si>
  <si>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</si>
  <si>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</si>
  <si>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</si>
  <si>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</si>
  <si>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</si>
  <si>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</si>
  <si>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</si>
  <si>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</si>
  <si>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</si>
  <si>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</si>
  <si>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</si>
  <si>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</si>
  <si>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</si>
  <si>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</si>
  <si>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</si>
  <si>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</si>
  <si>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</si>
  <si>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</si>
  <si>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</si>
  <si>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</si>
  <si>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</si>
  <si>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</si>
  <si>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</si>
  <si>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</si>
  <si>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</si>
  <si>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</si>
  <si>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</si>
  <si>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</si>
  <si>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</si>
  <si>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</si>
  <si>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</si>
  <si>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</si>
  <si>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</si>
  <si>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</si>
  <si>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</si>
  <si>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</si>
  <si>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</si>
  <si>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</si>
  <si>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</si>
  <si>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</si>
  <si>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</si>
  <si>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</si>
  <si>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</si>
  <si>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</si>
  <si>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</si>
  <si>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</si>
  <si>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</si>
  <si>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</si>
  <si>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</si>
  <si>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</si>
  <si>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</si>
  <si>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</si>
  <si>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</si>
  <si>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</si>
  <si>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</si>
  <si>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</si>
  <si>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</si>
  <si>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</si>
  <si>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</si>
  <si>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</si>
  <si>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</si>
  <si>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</si>
  <si>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</si>
  <si>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</si>
  <si>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</si>
  <si>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</si>
  <si>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</si>
  <si>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</si>
  <si>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</si>
  <si>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</si>
  <si>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</si>
  <si>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</si>
  <si>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</si>
  <si>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</si>
  <si>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</si>
  <si>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</si>
  <si>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</si>
  <si>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</si>
  <si>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</si>
  <si>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</si>
  <si>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</si>
  <si>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</si>
  <si>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</si>
  <si>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</si>
  <si>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</si>
  <si>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</si>
  <si>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</si>
  <si>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</si>
  <si>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</si>
  <si>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</si>
  <si>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</si>
  <si>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</si>
  <si>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</si>
  <si>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</si>
  <si>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</si>
  <si>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</si>
  <si>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</si>
  <si>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</si>
  <si>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</si>
  <si>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</si>
  <si>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</si>
  <si>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</si>
  <si>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</si>
  <si>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</si>
  <si>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</si>
  <si>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</si>
  <si>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</si>
  <si>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</si>
  <si>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</si>
  <si>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</si>
  <si>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</si>
  <si>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</si>
  <si>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</si>
  <si>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</si>
  <si>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</si>
  <si>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</si>
  <si>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</si>
  <si>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</si>
  <si>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</si>
  <si>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</si>
  <si>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</si>
  <si>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</si>
  <si>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</si>
  <si>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</si>
  <si>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</si>
  <si>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</si>
  <si>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</si>
  <si>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</si>
  <si>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</si>
  <si>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</si>
  <si>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</si>
  <si>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</si>
  <si>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</si>
  <si>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</si>
  <si>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</si>
  <si>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</si>
  <si>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</si>
  <si>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</si>
  <si>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</si>
  <si>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</si>
  <si>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</si>
  <si>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</si>
  <si>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</si>
  <si>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</si>
  <si>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</si>
  <si>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</si>
  <si>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</si>
  <si>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</si>
  <si>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</si>
  <si>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</si>
  <si>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</si>
  <si>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</si>
  <si>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</si>
  <si>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</si>
  <si>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</si>
  <si>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</si>
  <si>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</si>
  <si>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</si>
  <si>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</si>
  <si>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</si>
  <si>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</si>
  <si>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</si>
  <si>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</si>
  <si>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</si>
  <si>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</si>
  <si>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</si>
  <si>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</si>
  <si>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</si>
  <si>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</si>
  <si>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</si>
  <si>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</si>
  <si>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</si>
  <si>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</si>
  <si>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</si>
  <si>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</si>
  <si>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</si>
  <si>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</si>
  <si>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</si>
  <si>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</si>
  <si>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</si>
  <si>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</si>
  <si>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</si>
  <si>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</si>
  <si>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</si>
  <si>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</si>
  <si>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</si>
  <si>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</si>
  <si>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</si>
  <si>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</si>
  <si>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</si>
  <si>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</si>
  <si>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</si>
  <si>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</si>
  <si>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</si>
  <si>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</si>
  <si>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</si>
  <si>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</si>
  <si>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</si>
  <si>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</si>
  <si>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</si>
  <si>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</si>
  <si>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</si>
  <si>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</si>
  <si>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</si>
  <si>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</si>
  <si>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</si>
  <si>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</si>
  <si>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</si>
  <si>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</si>
  <si>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</si>
  <si>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</si>
  <si>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</si>
  <si>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</si>
  <si>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</si>
  <si>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</si>
  <si>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</si>
  <si>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</si>
  <si>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</si>
  <si>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</si>
  <si>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</si>
  <si>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</si>
  <si>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</si>
  <si>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</si>
  <si>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</si>
  <si>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</si>
  <si>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</si>
  <si>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</si>
  <si>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</si>
  <si>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</si>
  <si>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</si>
  <si>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</si>
  <si>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</si>
  <si>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</si>
  <si>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</si>
  <si>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</si>
  <si>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</si>
  <si>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</si>
  <si>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</si>
  <si>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</si>
  <si>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</si>
  <si>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</si>
  <si>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</si>
  <si>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</si>
  <si>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</si>
  <si>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</si>
  <si>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</si>
  <si>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</si>
  <si>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</si>
  <si>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</si>
  <si>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</si>
  <si>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</si>
  <si>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</si>
  <si>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</si>
  <si>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</si>
  <si>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</si>
  <si>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</si>
  <si>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</si>
  <si>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</si>
  <si>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</si>
  <si>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</si>
  <si>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</si>
  <si>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</si>
  <si>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</si>
  <si>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</si>
  <si>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</si>
  <si>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</si>
  <si>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</si>
  <si>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</si>
  <si>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</si>
  <si>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</si>
  <si>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</si>
  <si>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</si>
  <si>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</si>
  <si>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</si>
  <si>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</si>
  <si>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</si>
  <si>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</si>
  <si>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</si>
  <si>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</si>
  <si>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</si>
  <si>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</si>
  <si>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</si>
  <si>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</si>
  <si>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</si>
  <si>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</si>
  <si>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</si>
  <si>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</si>
  <si>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</si>
  <si>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</si>
  <si>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</si>
  <si>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</si>
  <si>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</si>
  <si>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</si>
  <si>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</si>
  <si>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</si>
  <si>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</si>
  <si>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</si>
  <si>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</si>
  <si>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</si>
  <si>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</si>
  <si>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</si>
  <si>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</si>
  <si>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</si>
  <si>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</si>
  <si>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</si>
  <si>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</si>
  <si>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</si>
  <si>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</si>
  <si>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</si>
  <si>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</si>
  <si>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</si>
  <si>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</si>
  <si>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</si>
  <si>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</si>
  <si>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</si>
  <si>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</si>
  <si>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</si>
  <si>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</si>
  <si>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</si>
  <si>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</si>
  <si>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</si>
  <si>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</si>
  <si>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</si>
  <si>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</si>
  <si>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</si>
  <si>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</si>
  <si>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</si>
  <si>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</si>
  <si>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</si>
  <si>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</si>
  <si>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</si>
  <si>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</si>
  <si>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</si>
  <si>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</si>
  <si>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</si>
  <si>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</si>
  <si>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</si>
  <si>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</si>
  <si>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</si>
  <si>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</si>
  <si>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</si>
  <si>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</si>
  <si>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</si>
  <si>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</si>
  <si>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</si>
  <si>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</si>
  <si>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</si>
  <si>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</si>
  <si>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</si>
  <si>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</si>
  <si>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</si>
  <si>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</si>
  <si>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</si>
  <si>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</si>
  <si>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</si>
  <si>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</si>
  <si>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</si>
  <si>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</si>
  <si>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</si>
  <si>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</si>
  <si>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</si>
  <si>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</si>
  <si>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</si>
  <si>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</si>
  <si>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</si>
  <si>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</si>
  <si>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</si>
  <si>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</si>
  <si>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</si>
  <si>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</si>
  <si>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</si>
  <si>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</si>
  <si>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</si>
  <si>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</si>
  <si>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</si>
  <si>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</si>
  <si>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</si>
  <si>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</si>
  <si>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</si>
  <si>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</si>
  <si>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</si>
  <si>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</si>
  <si>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</si>
  <si>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</si>
  <si>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</si>
  <si>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</si>
  <si>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</si>
  <si>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</si>
  <si>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</si>
  <si>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</si>
  <si>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</si>
  <si>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</si>
  <si>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</si>
  <si>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</si>
  <si>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</si>
  <si>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</si>
  <si>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</si>
  <si>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</si>
  <si>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</si>
  <si>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Legal Claim</t>
  </si>
  <si>
    <t>Depreciation expensed via OM&amp;A</t>
  </si>
  <si>
    <t>Capital items expensed - Computer equipment expensed for book</t>
  </si>
  <si>
    <t>Ontario specified tax credits</t>
  </si>
  <si>
    <t>Total deemed interest  (REGINFO CELL D62)</t>
  </si>
  <si>
    <t>RSVA</t>
  </si>
  <si>
    <t>Income not earned on movement of Regulatory A/Cs</t>
  </si>
  <si>
    <t>OPEB Amounts Capitalized</t>
  </si>
  <si>
    <t xml:space="preserve">  Charitable donations</t>
  </si>
  <si>
    <t>Regulatory assets contra</t>
  </si>
  <si>
    <t xml:space="preserve">Partnership income </t>
  </si>
  <si>
    <t>Interest phased-in  (Cell C37)</t>
  </si>
  <si>
    <t xml:space="preserve">Interest deducted on MoF filing  (Cell G37+G42) </t>
  </si>
  <si>
    <t>Bill 4 deferred revenue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</si>
  <si>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</si>
  <si>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Interest Adjustment for Tax Purposes  (carry forward to Cell E112)</t>
  </si>
  <si>
    <t>PILs TAXES - EB-2011-0178</t>
  </si>
  <si>
    <t>Utility Name: Kingston Hydro Corporation</t>
  </si>
  <si>
    <t>Y</t>
  </si>
  <si>
    <t>N</t>
  </si>
  <si>
    <t xml:space="preserve">     Loss from discontinued operations</t>
  </si>
  <si>
    <t>Employee future benefits</t>
  </si>
  <si>
    <t>Recovery of transition costs previously expensed</t>
  </si>
  <si>
    <t>CCA taken on reg assets</t>
  </si>
  <si>
    <t>Per PILS Decision</t>
  </si>
  <si>
    <t>Per Settlement Agreement</t>
  </si>
  <si>
    <t>Per Request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</si>
</sst>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2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9" fontId="0" fillId="44" borderId="0" xfId="0" applyNumberFormat="1" applyFill="1" applyAlignment="1">
      <alignment horizontal="center" vertical="top"/>
    </xf>
    <xf numFmtId="10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5" borderId="0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3" fontId="0" fillId="44" borderId="14" xfId="0" applyNumberFormat="1" applyFill="1" applyBorder="1" applyAlignment="1">
      <alignment vertical="top"/>
    </xf>
    <xf numFmtId="10" fontId="0" fillId="44" borderId="14" xfId="0" applyNumberFormat="1" applyFill="1" applyBorder="1" applyAlignment="1">
      <alignment vertical="top"/>
    </xf>
    <xf numFmtId="37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/>
    </xf>
    <xf numFmtId="10" fontId="0" fillId="44" borderId="51" xfId="0" applyNumberFormat="1" applyFill="1" applyBorder="1" applyAlignment="1" applyProtection="1">
      <alignment horizontal="center" vertical="top"/>
      <protection locked="0"/>
    </xf>
    <xf numFmtId="10" fontId="0" fillId="44" borderId="10" xfId="0" applyNumberFormat="1" applyFill="1" applyBorder="1" applyAlignment="1" applyProtection="1">
      <alignment horizontal="center" vertical="top"/>
      <protection locked="0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top"/>
    </xf>
    <xf numFmtId="0" fontId="0" fillId="45" borderId="0" xfId="0" applyFont="1" applyFill="1" applyAlignment="1">
      <alignment vertical="top" wrapText="1"/>
    </xf>
    <xf numFmtId="3" fontId="0" fillId="32" borderId="14" xfId="0" applyNumberFormat="1" applyFill="1" applyBorder="1" applyAlignment="1" applyProtection="1">
      <alignment/>
      <protection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45" borderId="0" xfId="0" applyFont="1" applyFill="1" applyAlignment="1">
      <alignment vertical="top" wrapText="1"/>
    </xf>
    <xf numFmtId="3" fontId="0" fillId="0" borderId="0" xfId="42" applyNumberFormat="1" applyFont="1" applyFill="1" applyBorder="1" applyAlignment="1" applyProtection="1">
      <alignment vertical="top"/>
      <protection locked="0"/>
    </xf>
    <xf numFmtId="37" fontId="0" fillId="0" borderId="14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37" fontId="0" fillId="40" borderId="0" xfId="0" applyNumberFormat="1" applyFill="1" applyAlignment="1">
      <alignment vertical="top"/>
    </xf>
    <xf numFmtId="3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Fill="1" applyBorder="1" applyAlignment="1">
      <alignment vertical="top"/>
    </xf>
    <xf numFmtId="3" fontId="0" fillId="44" borderId="0" xfId="0" applyNumberFormat="1" applyFill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ds.ontarioenergyboard.ca/webdrawer/webdrawer.dll/webdrawer/rec/311505/view/Kingston%20Hydro_SIMPIL%202003%20With%20Interest%20Claw-back_2011113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ds.ontarioenergyboard.ca/webdrawer/webdrawer.dll/webdrawer/rec/311505/view/Kingston%20Hydro_SIMPIL%202005%20With%20Interest%20Claw-back_20111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132">
          <cell r="E132">
            <v>-146942.46823643413</v>
          </cell>
        </row>
        <row r="181">
          <cell r="E181">
            <v>-50047.29345446081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96">
          <cell r="C96">
            <v>1001531.2897723234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13">
      <selection activeCell="D49" sqref="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504</v>
      </c>
      <c r="C1" s="8"/>
      <c r="E1" s="2" t="s">
        <v>456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505</v>
      </c>
      <c r="C3" s="8"/>
      <c r="D3" s="449" t="s">
        <v>442</v>
      </c>
      <c r="E3" s="8"/>
      <c r="F3" s="8"/>
      <c r="G3" s="8"/>
      <c r="H3" s="8"/>
    </row>
    <row r="4" spans="1:8" ht="12.75">
      <c r="A4" s="2" t="s">
        <v>475</v>
      </c>
      <c r="C4" s="8"/>
      <c r="D4" s="448" t="s">
        <v>437</v>
      </c>
      <c r="E4" s="422"/>
      <c r="H4" s="8"/>
    </row>
    <row r="5" spans="1:8" ht="12.75">
      <c r="A5" s="52"/>
      <c r="C5" s="8"/>
      <c r="D5" s="447" t="s">
        <v>438</v>
      </c>
      <c r="E5" s="399"/>
      <c r="H5" s="8"/>
    </row>
    <row r="6" spans="1:8" ht="12.75">
      <c r="A6" s="2" t="s">
        <v>126</v>
      </c>
      <c r="B6" s="389">
        <v>366</v>
      </c>
      <c r="C6" s="8" t="s">
        <v>127</v>
      </c>
      <c r="D6" s="21"/>
      <c r="H6" s="8"/>
    </row>
    <row r="7" spans="1:8" ht="13.5" thickBot="1">
      <c r="A7" s="52" t="s">
        <v>253</v>
      </c>
      <c r="B7" s="249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506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507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64</v>
      </c>
      <c r="D17" s="258" t="s">
        <v>507</v>
      </c>
    </row>
    <row r="18" spans="1:4" ht="15" customHeight="1">
      <c r="A18" s="390" t="s">
        <v>311</v>
      </c>
      <c r="C18" s="8"/>
      <c r="D18" s="8"/>
    </row>
    <row r="19" spans="1:4" ht="15" customHeight="1">
      <c r="A19" s="515" t="s">
        <v>312</v>
      </c>
      <c r="B19" s="8" t="s">
        <v>309</v>
      </c>
      <c r="C19" s="8" t="s">
        <v>64</v>
      </c>
      <c r="D19" s="389" t="s">
        <v>506</v>
      </c>
    </row>
    <row r="20" spans="1:4" ht="13.5" thickBot="1">
      <c r="A20" s="516"/>
      <c r="B20" s="8" t="s">
        <v>310</v>
      </c>
      <c r="C20" s="8" t="s">
        <v>64</v>
      </c>
      <c r="D20" s="258" t="s">
        <v>506</v>
      </c>
    </row>
    <row r="21" spans="1:4" ht="12.75">
      <c r="A21" s="515" t="s">
        <v>308</v>
      </c>
      <c r="B21" s="8" t="s">
        <v>309</v>
      </c>
      <c r="C21" s="8"/>
      <c r="D21" s="481">
        <v>1</v>
      </c>
    </row>
    <row r="22" spans="1:4" ht="12.75">
      <c r="A22" s="515"/>
      <c r="B22" s="8" t="s">
        <v>310</v>
      </c>
      <c r="C22" s="8"/>
      <c r="D22" s="481">
        <v>1</v>
      </c>
    </row>
    <row r="23" spans="1:4" ht="7.5" customHeight="1">
      <c r="A23" s="45"/>
      <c r="C23" s="8"/>
      <c r="D23" s="389"/>
    </row>
    <row r="24" spans="1:4" ht="12.75">
      <c r="A24" s="45" t="s">
        <v>211</v>
      </c>
      <c r="C24" s="8" t="s">
        <v>212</v>
      </c>
      <c r="D24" s="421" t="s">
        <v>476</v>
      </c>
    </row>
    <row r="25" ht="6.75" customHeight="1" thickBot="1">
      <c r="A25" s="12"/>
    </row>
    <row r="26" spans="1:5" ht="12.75">
      <c r="A26" s="255" t="s">
        <v>67</v>
      </c>
      <c r="C26" s="8"/>
      <c r="E26" s="437" t="s">
        <v>293</v>
      </c>
    </row>
    <row r="27" spans="1:5" ht="12.75">
      <c r="A27" s="256" t="s">
        <v>68</v>
      </c>
      <c r="C27" s="8"/>
      <c r="E27" s="438" t="s">
        <v>294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283</v>
      </c>
      <c r="D31" s="509">
        <v>24210042</v>
      </c>
      <c r="H31" s="5"/>
    </row>
    <row r="32" ht="6" customHeight="1"/>
    <row r="33" spans="1:8" ht="12.75">
      <c r="A33" t="s">
        <v>71</v>
      </c>
      <c r="D33" s="48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82">
        <v>0.0988</v>
      </c>
      <c r="H37" s="41"/>
    </row>
    <row r="38" ht="4.5" customHeight="1">
      <c r="H38" s="34"/>
    </row>
    <row r="39" spans="1:8" ht="12.75">
      <c r="A39" t="s">
        <v>74</v>
      </c>
      <c r="D39" s="482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2073590.0973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510">
        <v>1547868</v>
      </c>
      <c r="E43" s="388">
        <f>D43</f>
        <v>1547868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525722.0973</v>
      </c>
      <c r="H45" s="40"/>
      <c r="J45" s="5"/>
      <c r="K45" s="5"/>
    </row>
    <row r="46" spans="1:11" ht="12.75">
      <c r="A46" s="2" t="s">
        <v>284</v>
      </c>
      <c r="D46" s="40"/>
      <c r="H46" s="40"/>
      <c r="J46" s="5"/>
      <c r="K46" s="5"/>
    </row>
    <row r="47" spans="1:11" ht="12.75">
      <c r="A47" t="s">
        <v>285</v>
      </c>
      <c r="D47" s="483">
        <f>D45/3</f>
        <v>175240.6991</v>
      </c>
      <c r="E47" s="388">
        <f aca="true" t="shared" si="0" ref="E47:E53">D47</f>
        <v>175240.6991</v>
      </c>
      <c r="H47" s="40"/>
      <c r="J47" s="5"/>
      <c r="K47" s="5"/>
    </row>
    <row r="48" spans="1:11" ht="12.75">
      <c r="A48" t="s">
        <v>286</v>
      </c>
      <c r="D48" s="483">
        <f>D45/3</f>
        <v>175240.6991</v>
      </c>
      <c r="E48" s="388">
        <f>D48</f>
        <v>175240.6991</v>
      </c>
      <c r="F48" s="22"/>
      <c r="H48" s="40"/>
      <c r="J48" s="5"/>
      <c r="K48" s="5"/>
    </row>
    <row r="49" spans="1:11" ht="12.75">
      <c r="A49" t="s">
        <v>287</v>
      </c>
      <c r="D49" s="484"/>
      <c r="E49" s="388">
        <v>0</v>
      </c>
      <c r="F49" s="22"/>
      <c r="H49" s="40"/>
      <c r="J49" s="5"/>
      <c r="K49" s="5"/>
    </row>
    <row r="50" spans="1:11" ht="12.75">
      <c r="A50" t="s">
        <v>288</v>
      </c>
      <c r="D50" s="422"/>
      <c r="E50" s="388">
        <f t="shared" si="0"/>
        <v>0</v>
      </c>
      <c r="H50" s="40"/>
      <c r="J50" s="5"/>
      <c r="K50" s="5"/>
    </row>
    <row r="51" spans="1:11" ht="12.75">
      <c r="A51" t="s">
        <v>434</v>
      </c>
      <c r="D51" s="422"/>
      <c r="E51" s="388">
        <f t="shared" si="0"/>
        <v>0</v>
      </c>
      <c r="H51" s="40"/>
      <c r="J51" s="5"/>
      <c r="K51" s="5"/>
    </row>
    <row r="52" spans="1:11" ht="12.75">
      <c r="A52" t="s">
        <v>457</v>
      </c>
      <c r="D52" s="422"/>
      <c r="E52" s="388">
        <f t="shared" si="0"/>
        <v>0</v>
      </c>
      <c r="H52" s="40"/>
      <c r="J52" s="5"/>
      <c r="K52" s="5"/>
    </row>
    <row r="53" spans="4:11" ht="12.75">
      <c r="D53" s="422"/>
      <c r="E53" s="388">
        <f t="shared" si="0"/>
        <v>0</v>
      </c>
      <c r="H53" s="40"/>
      <c r="J53" s="5"/>
      <c r="K53" s="5"/>
    </row>
    <row r="54" spans="1:11" ht="12.75">
      <c r="A54" s="2" t="s">
        <v>289</v>
      </c>
      <c r="E54" s="254">
        <f>SUM(E43:E53)</f>
        <v>1898349.3982000002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12105021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1195976.0748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12105021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307</v>
      </c>
      <c r="B62" s="5"/>
      <c r="C62" s="5"/>
      <c r="D62" s="252">
        <f>D60*D39</f>
        <v>877614.0225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290</v>
      </c>
      <c r="B64" s="5"/>
      <c r="C64" s="5"/>
      <c r="D64" s="253">
        <f>IF(D41&gt;0,(((D43+D47)/D41)*D62),0)</f>
        <v>729278.3460872738</v>
      </c>
      <c r="F64" s="5"/>
      <c r="H64" s="32"/>
      <c r="J64" s="5"/>
      <c r="K64" s="5"/>
    </row>
    <row r="65" spans="1:11" ht="12.75">
      <c r="A65" s="33" t="s">
        <v>374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291</v>
      </c>
      <c r="B66" s="5"/>
      <c r="C66" s="5"/>
      <c r="D66" s="253">
        <f>IF(D41&gt;0,(((D43+D47+D48)/D41)*D62),0)</f>
        <v>803446.1842936369</v>
      </c>
      <c r="F66" s="5"/>
      <c r="H66" s="32"/>
      <c r="J66" s="5"/>
      <c r="K66" s="5"/>
    </row>
    <row r="67" spans="1:11" ht="12.75">
      <c r="A67" s="33" t="s">
        <v>375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292</v>
      </c>
      <c r="B68" s="5"/>
      <c r="C68" s="5"/>
      <c r="D68" s="253">
        <f>IF(D41&gt;0,(((D43+D47+D48)/D41)*D62),0)</f>
        <v>803446.1842936369</v>
      </c>
      <c r="F68" s="5"/>
      <c r="H68" s="32"/>
      <c r="J68" s="5"/>
    </row>
    <row r="69" spans="1:10" ht="12.75">
      <c r="A69" s="33" t="s">
        <v>376</v>
      </c>
      <c r="B69" s="5"/>
      <c r="C69" s="5"/>
      <c r="D69" s="5"/>
      <c r="F69" s="5"/>
      <c r="H69" s="32"/>
      <c r="J69" s="5"/>
    </row>
    <row r="70" spans="1:10" ht="12.75">
      <c r="A70" s="45" t="s">
        <v>443</v>
      </c>
      <c r="B70" s="5"/>
      <c r="C70" s="5"/>
      <c r="D70" s="253">
        <f>D62</f>
        <v>877614.0225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75" zoomScaleNormal="75" zoomScalePageLayoutView="0" workbookViewId="0" topLeftCell="A118">
      <selection activeCell="E176" sqref="E176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EB-2011-0178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459</v>
      </c>
      <c r="H1" s="210"/>
    </row>
    <row r="2" spans="1:8" ht="12.75">
      <c r="A2" s="211" t="s">
        <v>458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460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249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Kingston Hydro Corporation</v>
      </c>
      <c r="B6" s="115"/>
      <c r="D6" s="137"/>
      <c r="E6" s="115"/>
      <c r="G6" s="115"/>
      <c r="H6" s="459"/>
    </row>
    <row r="7" spans="1:8" ht="12.75">
      <c r="A7" s="211" t="str">
        <f>REGINFO!A4</f>
        <v>Reporting period:  2004</v>
      </c>
      <c r="B7" s="115"/>
      <c r="D7" s="137"/>
      <c r="E7" s="115"/>
      <c r="G7" s="115"/>
      <c r="H7" s="459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3">
        <f>REGINFO!B6</f>
        <v>366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253</v>
      </c>
      <c r="B10" s="423">
        <f>REGINFO!B7</f>
        <v>366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337</v>
      </c>
      <c r="B16" s="125">
        <v>1</v>
      </c>
      <c r="C16" s="259">
        <f>REGINFO!E54</f>
        <v>1898349.3982000002</v>
      </c>
      <c r="D16" s="17"/>
      <c r="E16" s="267">
        <f>G16-C16</f>
        <v>-543296.3982000002</v>
      </c>
      <c r="F16" s="3"/>
      <c r="G16" s="267">
        <f>TAXREC!E50</f>
        <v>1355053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207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1519994</v>
      </c>
      <c r="D20" s="18"/>
      <c r="E20" s="267">
        <f>G20-C20</f>
        <v>-60272</v>
      </c>
      <c r="F20" s="6"/>
      <c r="G20" s="267">
        <f>TAXREC!E61</f>
        <v>1459722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261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260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262</v>
      </c>
      <c r="B24" s="127">
        <v>5</v>
      </c>
      <c r="C24" s="485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155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158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157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156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">
      <c r="A30" s="473" t="s">
        <v>391</v>
      </c>
      <c r="B30" s="127"/>
      <c r="C30" s="259"/>
      <c r="D30" s="18"/>
      <c r="E30" s="267">
        <f>G30-C30</f>
        <v>1738677</v>
      </c>
      <c r="F30" s="6"/>
      <c r="G30" s="267">
        <f>TAXREC!E66</f>
        <v>1738677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338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1000872</v>
      </c>
      <c r="D33" s="132"/>
      <c r="E33" s="267">
        <f aca="true" t="shared" si="0" ref="E33:E42">G33-C33</f>
        <v>225704</v>
      </c>
      <c r="F33" s="6"/>
      <c r="G33" s="267">
        <f>TAXREC!E97+TAXREC!E98</f>
        <v>1226576</v>
      </c>
      <c r="H33" s="151"/>
    </row>
    <row r="34" spans="1:8" ht="12.75">
      <c r="A34" s="158" t="s">
        <v>57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263</v>
      </c>
      <c r="B36" s="127">
        <v>10</v>
      </c>
      <c r="C36" s="485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803446.1842936369</v>
      </c>
      <c r="D37" s="132"/>
      <c r="E37" s="267">
        <f t="shared" si="0"/>
        <v>197392.81570636306</v>
      </c>
      <c r="F37" s="6"/>
      <c r="G37" s="267">
        <f>TAXREC!E51</f>
        <v>1000839</v>
      </c>
      <c r="H37" s="151"/>
    </row>
    <row r="38" spans="1:8" ht="12.75">
      <c r="A38" s="155" t="s">
        <v>259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258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183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155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152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154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153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">
      <c r="A48" s="473" t="s">
        <v>391</v>
      </c>
      <c r="B48" s="127"/>
      <c r="C48" s="259"/>
      <c r="D48" s="132"/>
      <c r="E48" s="267">
        <f>G48-C48</f>
        <v>1517995</v>
      </c>
      <c r="F48" s="6"/>
      <c r="G48" s="251">
        <f>TAXREC!E108</f>
        <v>1517995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324</v>
      </c>
      <c r="B50" s="125"/>
      <c r="C50" s="263">
        <f>C16+SUM(C20:C30)-SUM(C33:C48)</f>
        <v>1614025.2139063631</v>
      </c>
      <c r="D50" s="102"/>
      <c r="E50" s="263">
        <f>E16+SUM(E20:E30)-SUM(E33:E48)</f>
        <v>-805983.2139063631</v>
      </c>
      <c r="F50" s="425" t="s">
        <v>363</v>
      </c>
      <c r="G50" s="263">
        <f>G16+SUM(G20:G30)-SUM(G33:G48)</f>
        <v>808042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332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336</v>
      </c>
      <c r="B53" s="127">
        <v>13</v>
      </c>
      <c r="C53" s="262">
        <f>IF($C$50&gt;'Tax Rates'!$E$11,'Tax Rates'!$F$16,IF($C$50&gt;'Tax Rates'!$C$11,'Tax Rates'!$E$16,'Tax Rates'!$C$16))</f>
        <v>0.3862</v>
      </c>
      <c r="D53" s="102"/>
      <c r="E53" s="268">
        <f>+G53-C53</f>
        <v>-0.047699999999999965</v>
      </c>
      <c r="F53" s="114"/>
      <c r="G53" s="467">
        <v>0.3385</v>
      </c>
      <c r="H53" s="151"/>
      <c r="I53" s="464" t="s">
        <v>514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623336.5376106374</v>
      </c>
      <c r="D55" s="102"/>
      <c r="E55" s="267">
        <f>G55-C55</f>
        <v>-367395.5376106374</v>
      </c>
      <c r="F55" s="425" t="s">
        <v>364</v>
      </c>
      <c r="G55" s="264">
        <f>TAXREC!E144</f>
        <v>255941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25" t="s">
        <v>364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623336.5376106374</v>
      </c>
      <c r="D60" s="133"/>
      <c r="E60" s="269">
        <f>+E55-E58</f>
        <v>-367395.5376106374</v>
      </c>
      <c r="F60" s="425" t="s">
        <v>364</v>
      </c>
      <c r="G60" s="269">
        <f>+G55-G58</f>
        <v>255941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24210042</v>
      </c>
      <c r="D66" s="102"/>
      <c r="E66" s="267">
        <f>G66-C66</f>
        <v>9058908</v>
      </c>
      <c r="F66" s="6"/>
      <c r="G66" s="486">
        <v>33268950</v>
      </c>
      <c r="H66" s="151"/>
      <c r="I66" s="469" t="s">
        <v>467</v>
      </c>
    </row>
    <row r="67" spans="1:9" ht="12.75">
      <c r="A67" s="152" t="s">
        <v>356</v>
      </c>
      <c r="B67" s="125">
        <v>16</v>
      </c>
      <c r="C67" s="260">
        <f>IF(C66&gt;0,'Tax Rates'!C21,0)</f>
        <v>5000000</v>
      </c>
      <c r="D67" s="102"/>
      <c r="E67" s="267">
        <f>G67-C67</f>
        <v>0</v>
      </c>
      <c r="F67" s="6"/>
      <c r="G67" s="267">
        <f>'Tax Rates'!C57</f>
        <v>5000000</v>
      </c>
      <c r="H67" s="151"/>
      <c r="I67" s="512" t="s">
        <v>513</v>
      </c>
    </row>
    <row r="68" spans="1:8" ht="12.75">
      <c r="A68" s="152" t="s">
        <v>42</v>
      </c>
      <c r="B68" s="125"/>
      <c r="C68" s="264">
        <f>IF((C66-C67)&gt;0,C66-C67,0)</f>
        <v>19210042</v>
      </c>
      <c r="D68" s="102"/>
      <c r="E68" s="267">
        <f>SUM(E66:E67)</f>
        <v>9058908</v>
      </c>
      <c r="F68" s="114"/>
      <c r="G68" s="264">
        <f>G66-G67</f>
        <v>28268950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357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313</v>
      </c>
      <c r="B72" s="125"/>
      <c r="C72" s="264">
        <f>IF(C68&gt;0,C68*C70,0)*REGINFO!$B$6/REGINFO!$B$7</f>
        <v>57630.126000000004</v>
      </c>
      <c r="D72" s="101"/>
      <c r="E72" s="267">
        <f>+G72-C72</f>
        <v>27176.724000000002</v>
      </c>
      <c r="F72" s="470"/>
      <c r="G72" s="264">
        <f>IF(G68&gt;0,G68*G70,0)*REGINFO!$B$6/REGINFO!$B$7</f>
        <v>84806.85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217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24210042</v>
      </c>
      <c r="D75" s="102"/>
      <c r="E75" s="267">
        <f>+G75-C75</f>
        <v>10306896</v>
      </c>
      <c r="F75" s="6"/>
      <c r="G75" s="486">
        <v>34516938</v>
      </c>
      <c r="H75" s="151"/>
      <c r="I75" s="469" t="s">
        <v>467</v>
      </c>
    </row>
    <row r="76" spans="1:9" ht="12.75">
      <c r="A76" s="152" t="s">
        <v>356</v>
      </c>
      <c r="B76" s="125">
        <v>19</v>
      </c>
      <c r="C76" s="260">
        <f>IF(C75&gt;0,'Tax Rates'!C22,0)</f>
        <v>10000000</v>
      </c>
      <c r="D76" s="18"/>
      <c r="E76" s="267">
        <f>+G76-C76</f>
        <v>24550000</v>
      </c>
      <c r="F76" s="6"/>
      <c r="G76" s="267">
        <v>34550000</v>
      </c>
      <c r="H76" s="151"/>
      <c r="I76" s="512" t="s">
        <v>513</v>
      </c>
    </row>
    <row r="77" spans="1:8" ht="12.75">
      <c r="A77" s="152" t="s">
        <v>42</v>
      </c>
      <c r="B77" s="125"/>
      <c r="C77" s="264">
        <f>IF((C75-C76)&gt;0,C75-C76,0)</f>
        <v>14210042</v>
      </c>
      <c r="D77" s="19"/>
      <c r="E77" s="267">
        <f>SUM(E75:E76)</f>
        <v>34856896</v>
      </c>
      <c r="F77" s="114"/>
      <c r="G77" s="264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357</v>
      </c>
      <c r="B79" s="125">
        <v>20</v>
      </c>
      <c r="C79" s="301">
        <f>'Tax Rates'!C19</f>
        <v>0.00225</v>
      </c>
      <c r="D79" s="102"/>
      <c r="E79" s="268">
        <f>G79-C79</f>
        <v>-0.0002499999999999998</v>
      </c>
      <c r="F79" s="6"/>
      <c r="G79" s="268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314</v>
      </c>
      <c r="B81" s="125"/>
      <c r="C81" s="264">
        <f>IF(C77&gt;0,C77*C79,0)*REGINFO!$B$6/REGINFO!$B$7</f>
        <v>31972.5945</v>
      </c>
      <c r="D81" s="102"/>
      <c r="E81" s="267">
        <f>+G81-C81</f>
        <v>-31972.5945</v>
      </c>
      <c r="F81" s="6"/>
      <c r="G81" s="264">
        <f>G77*G79*B9/B10</f>
        <v>0</v>
      </c>
      <c r="H81" s="151"/>
    </row>
    <row r="82" spans="1:8" ht="12.75">
      <c r="A82" s="152" t="s">
        <v>315</v>
      </c>
      <c r="B82" s="125">
        <v>21</v>
      </c>
      <c r="C82" s="300">
        <f>IF(C77&gt;0,IF(C60&gt;0,C50*'Tax Rates'!C20,0),0)</f>
        <v>18077.082395751266</v>
      </c>
      <c r="D82" s="102"/>
      <c r="E82" s="267">
        <f>+G82-C82</f>
        <v>-18077.082395751266</v>
      </c>
      <c r="F82" s="6"/>
      <c r="G82" s="300">
        <f>IF(G77&gt;0,IF(G60&gt;0,G50*'Tax Rates'!C20,0),0)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13895.512104248734</v>
      </c>
      <c r="D84" s="16"/>
      <c r="E84" s="267">
        <f>E81-E82</f>
        <v>-13895.512104248734</v>
      </c>
      <c r="F84" s="103"/>
      <c r="G84" s="264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226</v>
      </c>
      <c r="B88" s="125"/>
      <c r="C88" s="262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365</v>
      </c>
      <c r="B90" s="127">
        <v>22</v>
      </c>
      <c r="C90" s="264">
        <f>C60/(1-C88)</f>
        <v>997338.4601770198</v>
      </c>
      <c r="D90" s="20"/>
      <c r="E90" s="139"/>
      <c r="F90" s="424" t="s">
        <v>478</v>
      </c>
      <c r="G90" s="270">
        <f>TAXREC!E156</f>
        <v>255941</v>
      </c>
      <c r="H90" s="151"/>
    </row>
    <row r="91" spans="1:8" ht="12.75">
      <c r="A91" s="158" t="s">
        <v>366</v>
      </c>
      <c r="B91" s="127">
        <v>23</v>
      </c>
      <c r="C91" s="264">
        <f>C84/(1-C88)</f>
        <v>22232.819366797972</v>
      </c>
      <c r="D91" s="20"/>
      <c r="E91" s="139"/>
      <c r="F91" s="424" t="s">
        <v>478</v>
      </c>
      <c r="G91" s="270">
        <f>TAXREC!E158</f>
        <v>0</v>
      </c>
      <c r="H91" s="151"/>
    </row>
    <row r="92" spans="1:8" ht="12.75">
      <c r="A92" s="158" t="s">
        <v>344</v>
      </c>
      <c r="B92" s="127">
        <v>24</v>
      </c>
      <c r="C92" s="264">
        <f>C72</f>
        <v>57630.126000000004</v>
      </c>
      <c r="D92" s="20"/>
      <c r="E92" s="139"/>
      <c r="F92" s="424" t="s">
        <v>478</v>
      </c>
      <c r="G92" s="270">
        <f>TAXREC!E157</f>
        <v>84807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471</v>
      </c>
      <c r="B95" s="125">
        <v>25</v>
      </c>
      <c r="C95" s="269">
        <f>SUM(C90:C93)</f>
        <v>1077201.4055438177</v>
      </c>
      <c r="D95" s="6"/>
      <c r="E95" s="139"/>
      <c r="F95" s="424" t="s">
        <v>478</v>
      </c>
      <c r="G95" s="413">
        <f>SUM(G90:G94)</f>
        <v>340748</v>
      </c>
      <c r="H95" s="164"/>
    </row>
    <row r="96" spans="1:8" ht="12.75">
      <c r="A96" s="404" t="s">
        <v>304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301</v>
      </c>
      <c r="B99" s="123"/>
      <c r="C99" s="112"/>
      <c r="D99" s="3"/>
      <c r="E99" s="112"/>
      <c r="F99" s="3"/>
      <c r="G99" s="200"/>
      <c r="H99" s="164"/>
    </row>
    <row r="100" spans="1:8" ht="13.5">
      <c r="A100" s="166" t="s">
        <v>246</v>
      </c>
      <c r="B100" s="123"/>
      <c r="C100" s="112"/>
      <c r="D100" s="3"/>
      <c r="E100" s="143" t="s">
        <v>248</v>
      </c>
      <c r="F100" s="37"/>
      <c r="G100" s="200"/>
      <c r="H100" s="164"/>
    </row>
    <row r="101" spans="1:8" ht="12.75">
      <c r="A101" s="156" t="s">
        <v>342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359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360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358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508" t="s">
        <v>502</v>
      </c>
      <c r="B112" s="127">
        <v>11</v>
      </c>
      <c r="C112" s="112"/>
      <c r="D112" s="3"/>
      <c r="E112" s="466">
        <f>E206</f>
        <v>123224.97750000004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361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362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219</v>
      </c>
      <c r="B120" s="127">
        <v>26</v>
      </c>
      <c r="C120" s="112"/>
      <c r="D120" s="117" t="s">
        <v>188</v>
      </c>
      <c r="E120" s="264">
        <f>SUM(E102:E107)-SUM(E109:E118)</f>
        <v>-123224.97750000004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477</v>
      </c>
      <c r="B122" s="127"/>
      <c r="C122" s="112"/>
      <c r="D122" s="3" t="s">
        <v>230</v>
      </c>
      <c r="E122" s="463">
        <v>0.3273</v>
      </c>
      <c r="F122" s="464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245</v>
      </c>
      <c r="B124" s="127"/>
      <c r="C124" s="112"/>
      <c r="D124" s="3" t="s">
        <v>188</v>
      </c>
      <c r="E124" s="264">
        <f>E120*E122</f>
        <v>-40331.53513575001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-40331.53513575001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195</v>
      </c>
      <c r="B130" s="127"/>
      <c r="C130" s="112"/>
      <c r="D130" s="3"/>
      <c r="E130" s="312">
        <v>0.3273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348</v>
      </c>
      <c r="B132" s="130"/>
      <c r="C132" s="112"/>
      <c r="D132" s="3"/>
      <c r="E132" s="476">
        <f>E128/(1-E130)</f>
        <v>-59954.71255500224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27">
      <c r="A134" s="169" t="s">
        <v>351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6.25">
      <c r="A136" s="171" t="s">
        <v>234</v>
      </c>
      <c r="B136" s="130"/>
      <c r="C136" s="112"/>
      <c r="D136" s="118" t="s">
        <v>188</v>
      </c>
      <c r="E136" s="302">
        <f>C50</f>
        <v>1614025.2139063631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236</v>
      </c>
      <c r="B138" s="130"/>
      <c r="C138" s="112"/>
      <c r="D138" s="119" t="s">
        <v>230</v>
      </c>
      <c r="E138" s="312">
        <v>0.3385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228</v>
      </c>
      <c r="B140" s="130"/>
      <c r="C140" s="112"/>
      <c r="D140" s="118" t="s">
        <v>188</v>
      </c>
      <c r="E140" s="303">
        <f>IF(E136&gt;0,E136*E138,0)</f>
        <v>546347.534907304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237</v>
      </c>
      <c r="B142" s="130"/>
      <c r="C142" s="112"/>
      <c r="D142" s="118" t="s">
        <v>187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229</v>
      </c>
      <c r="B144" s="130"/>
      <c r="C144" s="112"/>
      <c r="D144" s="119" t="s">
        <v>188</v>
      </c>
      <c r="E144" s="302">
        <f>E140-E142</f>
        <v>546347.534907304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6.25">
      <c r="A146" s="171" t="s">
        <v>238</v>
      </c>
      <c r="B146" s="130"/>
      <c r="C146" s="112"/>
      <c r="D146" s="118" t="s">
        <v>187</v>
      </c>
      <c r="E146" s="302">
        <f>C60</f>
        <v>623336.5376106374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231</v>
      </c>
      <c r="B148" s="130"/>
      <c r="C148" s="112"/>
      <c r="D148" s="118" t="s">
        <v>188</v>
      </c>
      <c r="E148" s="302">
        <f>E144-E146</f>
        <v>-76989.00270333339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72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188</v>
      </c>
      <c r="E151" s="302">
        <f>C66</f>
        <v>24210042</v>
      </c>
      <c r="F151" s="37"/>
      <c r="G151" s="201"/>
      <c r="H151" s="164"/>
    </row>
    <row r="152" spans="1:8" ht="12.75">
      <c r="A152" s="171" t="s">
        <v>354</v>
      </c>
      <c r="B152" s="130"/>
      <c r="C152" s="112"/>
      <c r="D152" s="118" t="s">
        <v>187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232</v>
      </c>
      <c r="B153" s="130"/>
      <c r="C153" s="112"/>
      <c r="D153" s="118" t="s">
        <v>188</v>
      </c>
      <c r="E153" s="302">
        <f>E151-E152</f>
        <v>19210042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355</v>
      </c>
      <c r="B155" s="130"/>
      <c r="C155" s="112"/>
      <c r="D155" s="119" t="s">
        <v>230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233</v>
      </c>
      <c r="B157" s="130"/>
      <c r="C157" s="112"/>
      <c r="D157" s="119" t="s">
        <v>188</v>
      </c>
      <c r="E157" s="302">
        <f>IF(E153&gt;0,E153*E155*B9/B10,0)</f>
        <v>57630.126000000004</v>
      </c>
      <c r="F157" s="37"/>
      <c r="G157" s="201"/>
      <c r="H157" s="164"/>
    </row>
    <row r="158" spans="1:8" ht="26.25">
      <c r="A158" s="171" t="s">
        <v>305</v>
      </c>
      <c r="B158" s="130"/>
      <c r="C158" s="112"/>
      <c r="D158" s="118" t="s">
        <v>187</v>
      </c>
      <c r="E158" s="305">
        <f>C72</f>
        <v>57630.126000000004</v>
      </c>
      <c r="F158" s="37"/>
      <c r="G158" s="201"/>
      <c r="H158" s="164"/>
    </row>
    <row r="159" spans="1:8" ht="12.75" customHeight="1">
      <c r="A159" s="172" t="s">
        <v>243</v>
      </c>
      <c r="B159" s="130"/>
      <c r="C159" s="112"/>
      <c r="D159" s="118" t="s">
        <v>188</v>
      </c>
      <c r="E159" s="468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235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24210042</v>
      </c>
      <c r="F162" s="37"/>
      <c r="G162" s="201"/>
      <c r="H162" s="164"/>
    </row>
    <row r="163" spans="1:8" ht="12.75">
      <c r="A163" s="171" t="s">
        <v>353</v>
      </c>
      <c r="B163" s="130"/>
      <c r="C163" s="112"/>
      <c r="D163" s="118" t="s">
        <v>187</v>
      </c>
      <c r="E163" s="305">
        <f>IF(E162&gt;0,'Tax Rates'!C40,0)</f>
        <v>50000000</v>
      </c>
      <c r="F163" s="37"/>
      <c r="G163" s="201"/>
      <c r="H163" s="164"/>
    </row>
    <row r="164" spans="1:8" ht="12.75">
      <c r="A164" s="171" t="s">
        <v>239</v>
      </c>
      <c r="B164" s="130"/>
      <c r="C164" s="112"/>
      <c r="D164" s="119" t="s">
        <v>188</v>
      </c>
      <c r="E164" s="302">
        <f>E162-E163</f>
        <v>-25789958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306</v>
      </c>
      <c r="B166" s="130"/>
      <c r="C166" s="112"/>
      <c r="D166" s="119"/>
      <c r="E166" s="306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240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316</v>
      </c>
      <c r="B169" s="130"/>
      <c r="C169" s="112"/>
      <c r="D169" s="118" t="s">
        <v>187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241</v>
      </c>
      <c r="B170" s="130"/>
      <c r="C170" s="112"/>
      <c r="D170" s="119" t="s">
        <v>188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343</v>
      </c>
      <c r="B172" s="130"/>
      <c r="C172" s="112"/>
      <c r="D172" s="118" t="s">
        <v>187</v>
      </c>
      <c r="E172" s="305">
        <f>C84</f>
        <v>13895.512104248734</v>
      </c>
      <c r="F172" s="37"/>
      <c r="G172" s="201"/>
      <c r="H172" s="164"/>
    </row>
    <row r="173" spans="1:8" ht="12.75">
      <c r="A173" s="155" t="s">
        <v>244</v>
      </c>
      <c r="B173" s="130"/>
      <c r="C173" s="112"/>
      <c r="D173" s="119" t="s">
        <v>188</v>
      </c>
      <c r="E173" s="468">
        <f>E170-E172</f>
        <v>-13895.512104248734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341</v>
      </c>
      <c r="B175" s="130"/>
      <c r="C175" s="112"/>
      <c r="D175" s="119"/>
      <c r="E175" s="463">
        <v>0.3273</v>
      </c>
      <c r="F175" s="464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242</v>
      </c>
      <c r="B177" s="130"/>
      <c r="C177" s="112"/>
      <c r="D177" s="119" t="s">
        <v>186</v>
      </c>
      <c r="E177" s="302">
        <f>E148/(1-E175)</f>
        <v>-114447.75190030233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186</v>
      </c>
      <c r="E178" s="302">
        <f>IF(E164&gt;0,E173/(1-E175),-C91)</f>
        <v>-22232.819366797972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186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349</v>
      </c>
      <c r="B181" s="130"/>
      <c r="C181" s="112"/>
      <c r="D181" s="119" t="s">
        <v>188</v>
      </c>
      <c r="E181" s="475">
        <f>SUM(E177:E179)</f>
        <v>-136680.5712671003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474</v>
      </c>
      <c r="B183" s="130"/>
      <c r="C183" s="112"/>
      <c r="D183" s="119" t="s">
        <v>186</v>
      </c>
      <c r="E183" s="475">
        <f>E132</f>
        <v>-59954.71255500224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3.5">
      <c r="A185" s="173" t="s">
        <v>350</v>
      </c>
      <c r="B185" s="130"/>
      <c r="C185" s="112"/>
      <c r="D185" s="119" t="s">
        <v>188</v>
      </c>
      <c r="E185" s="475">
        <f>E181+E183</f>
        <v>-196635.28382210256</v>
      </c>
      <c r="F185" s="37"/>
      <c r="G185" s="201"/>
      <c r="H185" s="164"/>
    </row>
    <row r="186" spans="1:8" ht="12.75">
      <c r="A186" s="162" t="s">
        <v>247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8">
        <f>REGINFO!D62</f>
        <v>877614.0225</v>
      </c>
      <c r="F193" s="3"/>
      <c r="G193" s="123"/>
      <c r="H193" s="164"/>
    </row>
    <row r="194" spans="1:8" ht="12.75">
      <c r="A194" s="508" t="s">
        <v>499</v>
      </c>
      <c r="B194" s="127"/>
      <c r="C194" s="112"/>
      <c r="D194" s="120"/>
      <c r="E194" s="308">
        <f>C37</f>
        <v>803446.1842936369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339</v>
      </c>
      <c r="B196" s="127"/>
      <c r="C196" s="112"/>
      <c r="D196" s="120"/>
      <c r="E196" s="308">
        <f>E193-E194</f>
        <v>74167.83820636303</v>
      </c>
      <c r="F196" s="3"/>
      <c r="G196" s="123"/>
      <c r="H196" s="164"/>
    </row>
    <row r="197" spans="1:8" ht="12.75">
      <c r="A197" s="155" t="s">
        <v>340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254</v>
      </c>
      <c r="B199" s="127"/>
      <c r="C199" s="112"/>
      <c r="D199" s="120"/>
      <c r="E199" s="147"/>
      <c r="F199" s="3"/>
      <c r="G199" s="480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508" t="s">
        <v>500</v>
      </c>
      <c r="B201" s="127"/>
      <c r="C201" s="112"/>
      <c r="D201" s="120"/>
      <c r="E201" s="308">
        <f>G37+G42</f>
        <v>1000839</v>
      </c>
      <c r="F201" s="3"/>
      <c r="G201" s="480"/>
      <c r="H201" s="164"/>
    </row>
    <row r="202" spans="1:8" ht="12.75">
      <c r="A202" s="155" t="s">
        <v>492</v>
      </c>
      <c r="B202" s="127"/>
      <c r="C202" s="112"/>
      <c r="D202" s="120"/>
      <c r="E202" s="501">
        <f>REGINFO!D62</f>
        <v>877614.0225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123224.97750000004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503</v>
      </c>
      <c r="B206" s="127"/>
      <c r="C206" s="112"/>
      <c r="D206" s="120"/>
      <c r="E206" s="465">
        <f>IF((E201-E202)&gt;0,E201-E202,0)</f>
        <v>123224.97750000004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224</v>
      </c>
      <c r="B208" s="178"/>
      <c r="C208" s="179"/>
      <c r="D208" s="180"/>
      <c r="E208" s="309">
        <f>+E196-E204</f>
        <v>-49057.13929363701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46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70">
      <selection activeCell="C153" sqref="C153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EB-2011-0178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Kingston Hydro Corporation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39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478">
        <f>Ratebase*REGINFO!D33*0.25%</f>
        <v>30262.5525</v>
      </c>
      <c r="D13" s="83" t="s">
        <v>185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506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227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281</v>
      </c>
      <c r="B17" s="20" t="s">
        <v>64</v>
      </c>
      <c r="C17" s="8" t="s">
        <v>507</v>
      </c>
      <c r="E17" s="26"/>
      <c r="F17" s="8"/>
    </row>
    <row r="18" spans="1:6" ht="12.75">
      <c r="A18" s="55" t="s">
        <v>255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322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256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222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320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321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271</v>
      </c>
      <c r="B31" s="23" t="s">
        <v>186</v>
      </c>
      <c r="C31" s="487"/>
      <c r="D31" s="286"/>
      <c r="E31" s="284">
        <f>C31-D31</f>
        <v>0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285">
        <v>49048057</v>
      </c>
      <c r="D32" s="286"/>
      <c r="E32" s="284">
        <f>C32-D32</f>
        <v>49048057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285">
        <v>8264218</v>
      </c>
      <c r="D33" s="488"/>
      <c r="E33" s="284">
        <f>C33-D33</f>
        <v>8264218</v>
      </c>
      <c r="F33" s="11"/>
      <c r="G33" s="11"/>
      <c r="H33" s="6"/>
      <c r="I33" s="6"/>
    </row>
    <row r="34" spans="1:9" ht="12.75">
      <c r="A34" s="4" t="s">
        <v>225</v>
      </c>
      <c r="B34" s="23" t="s">
        <v>186</v>
      </c>
      <c r="C34" s="285">
        <v>764151</v>
      </c>
      <c r="D34" s="286"/>
      <c r="E34" s="284">
        <f>C34-D34</f>
        <v>764151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180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282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285">
        <v>49048057</v>
      </c>
      <c r="D39" s="286"/>
      <c r="E39" s="284">
        <f>C39-D39</f>
        <v>49048057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285">
        <v>1848468</v>
      </c>
      <c r="D40" s="488"/>
      <c r="E40" s="284">
        <f aca="true" t="shared" si="0" ref="E40:E48">C40-D40</f>
        <v>1848468</v>
      </c>
      <c r="F40" s="11"/>
      <c r="G40" s="11"/>
      <c r="H40" s="6"/>
      <c r="I40" s="6"/>
    </row>
    <row r="41" spans="1:9" ht="12.75">
      <c r="A41" s="4" t="s">
        <v>272</v>
      </c>
      <c r="B41" s="23" t="s">
        <v>187</v>
      </c>
      <c r="C41" s="285">
        <v>1230573</v>
      </c>
      <c r="D41" s="286"/>
      <c r="E41" s="284">
        <f t="shared" si="0"/>
        <v>1230573</v>
      </c>
      <c r="F41" s="11"/>
      <c r="G41" s="11"/>
      <c r="H41" s="6"/>
      <c r="I41" s="6"/>
    </row>
    <row r="42" spans="1:9" ht="12.75">
      <c r="A42" s="4" t="s">
        <v>273</v>
      </c>
      <c r="B42" s="23" t="s">
        <v>187</v>
      </c>
      <c r="C42" s="285">
        <v>2371624</v>
      </c>
      <c r="D42" s="286"/>
      <c r="E42" s="284">
        <f t="shared" si="0"/>
        <v>2371624</v>
      </c>
      <c r="F42" s="11"/>
      <c r="G42" s="11"/>
      <c r="H42" s="6"/>
      <c r="I42" s="6"/>
    </row>
    <row r="43" spans="1:9" ht="12.75">
      <c r="A43" s="4" t="s">
        <v>274</v>
      </c>
      <c r="B43" s="23" t="s">
        <v>187</v>
      </c>
      <c r="C43" s="285">
        <v>1459722</v>
      </c>
      <c r="D43" s="488"/>
      <c r="E43" s="284">
        <f t="shared" si="0"/>
        <v>1459722</v>
      </c>
      <c r="F43" s="11"/>
      <c r="G43" s="11"/>
      <c r="H43" s="6"/>
      <c r="I43" s="6"/>
    </row>
    <row r="44" spans="1:9" ht="12.75">
      <c r="A44" s="511" t="s">
        <v>508</v>
      </c>
      <c r="B44" s="23" t="s">
        <v>187</v>
      </c>
      <c r="C44" s="285">
        <v>762929</v>
      </c>
      <c r="D44" s="286"/>
      <c r="E44" s="284">
        <f t="shared" si="0"/>
        <v>762929</v>
      </c>
      <c r="F44" s="11"/>
      <c r="G44" s="11"/>
      <c r="H44" s="6"/>
      <c r="I44" s="6"/>
    </row>
    <row r="45" spans="1:11" ht="12.75">
      <c r="A45" s="4" t="s">
        <v>486</v>
      </c>
      <c r="B45" s="23" t="s">
        <v>187</v>
      </c>
      <c r="C45" s="487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187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187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187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188</v>
      </c>
      <c r="C50" s="281">
        <f>SUM(C31:C36)-SUM(C39:C49)</f>
        <v>1355053</v>
      </c>
      <c r="D50" s="281">
        <f>SUM(D31:D36)-SUM(D39:D49)</f>
        <v>0</v>
      </c>
      <c r="E50" s="281">
        <f>SUM(E31:E35)-SUM(E39:E48)</f>
        <v>1355053</v>
      </c>
      <c r="F50" s="11"/>
      <c r="G50" s="11"/>
      <c r="H50" s="6"/>
      <c r="I50" s="6"/>
    </row>
    <row r="51" spans="1:9" ht="12.75">
      <c r="A51" s="4" t="s">
        <v>91</v>
      </c>
      <c r="B51" s="23" t="s">
        <v>187</v>
      </c>
      <c r="C51" s="487">
        <v>1000839</v>
      </c>
      <c r="D51" s="285"/>
      <c r="E51" s="282">
        <f>+C51-D51</f>
        <v>1000839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487">
        <v>340750</v>
      </c>
      <c r="D52" s="285"/>
      <c r="E52" s="283">
        <f>+C52-D52</f>
        <v>340750</v>
      </c>
      <c r="F52" s="8"/>
      <c r="G52" s="415"/>
    </row>
    <row r="53" spans="1:7" ht="12.75">
      <c r="A53" s="2" t="s">
        <v>131</v>
      </c>
      <c r="B53" s="8" t="s">
        <v>188</v>
      </c>
      <c r="C53" s="281">
        <f>C50-C51-C52</f>
        <v>13464</v>
      </c>
      <c r="D53" s="281">
        <f>D50-D51-D52</f>
        <v>0</v>
      </c>
      <c r="E53" s="281">
        <f>E50-E51-E52</f>
        <v>13464</v>
      </c>
      <c r="F53" s="8"/>
      <c r="G53" s="22"/>
    </row>
    <row r="54" spans="1:6" ht="22.5">
      <c r="A54" s="87" t="s">
        <v>213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186</v>
      </c>
      <c r="C59" s="287">
        <f>C52-53398</f>
        <v>287352</v>
      </c>
      <c r="D59" s="287">
        <f>D52</f>
        <v>0</v>
      </c>
      <c r="E59" s="272">
        <f>+C59-D59</f>
        <v>287352</v>
      </c>
      <c r="F59" s="8"/>
      <c r="G59" s="415"/>
    </row>
    <row r="60" spans="1:6" ht="12.75">
      <c r="A60" s="4" t="s">
        <v>323</v>
      </c>
      <c r="B60" s="8" t="s">
        <v>186</v>
      </c>
      <c r="C60" s="318">
        <v>0</v>
      </c>
      <c r="D60" s="318"/>
      <c r="E60" s="272">
        <f>+C60-D60</f>
        <v>0</v>
      </c>
      <c r="F60" s="8"/>
    </row>
    <row r="61" spans="1:7" ht="12.75">
      <c r="A61" t="s">
        <v>4</v>
      </c>
      <c r="B61" s="8" t="s">
        <v>186</v>
      </c>
      <c r="C61" s="287">
        <f>C43</f>
        <v>1459722</v>
      </c>
      <c r="D61" s="287">
        <f>D43</f>
        <v>0</v>
      </c>
      <c r="E61" s="272">
        <f>+C61-D61</f>
        <v>1459722</v>
      </c>
      <c r="F61" s="8"/>
      <c r="G61" s="415"/>
    </row>
    <row r="62" spans="1:6" ht="12.75">
      <c r="A62" t="s">
        <v>6</v>
      </c>
      <c r="B62" s="8" t="s">
        <v>186</v>
      </c>
      <c r="C62" s="489"/>
      <c r="D62" s="287">
        <v>0</v>
      </c>
      <c r="E62" s="272">
        <f>+C62-D62</f>
        <v>0</v>
      </c>
      <c r="F62" s="8"/>
    </row>
    <row r="63" spans="1:6" ht="12.75">
      <c r="A63" s="31" t="s">
        <v>275</v>
      </c>
      <c r="B63" s="8" t="s">
        <v>186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186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439</v>
      </c>
      <c r="B65" s="8" t="s">
        <v>186</v>
      </c>
      <c r="C65" s="286"/>
      <c r="D65" s="286"/>
      <c r="E65" s="272">
        <f>+C65-D65</f>
        <v>0</v>
      </c>
      <c r="F65" s="8"/>
    </row>
    <row r="66" spans="1:6" ht="15">
      <c r="A66" s="461" t="s">
        <v>391</v>
      </c>
      <c r="B66" s="8"/>
      <c r="C66" s="440">
        <f>'TAXREC 3 No True-up'!C49</f>
        <v>1738677</v>
      </c>
      <c r="D66" s="440">
        <f>'TAXREC 3 No True-up'!D49</f>
        <v>0</v>
      </c>
      <c r="E66" s="272">
        <f>+C66-D66</f>
        <v>1738677</v>
      </c>
      <c r="F66" s="8"/>
    </row>
    <row r="67" spans="1:6" ht="12.75">
      <c r="A67" t="s">
        <v>159</v>
      </c>
      <c r="B67" s="8" t="s">
        <v>186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160</v>
      </c>
      <c r="B68" s="8" t="s">
        <v>186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3485751</v>
      </c>
      <c r="D70" s="272">
        <f>SUM(D59:D68)</f>
        <v>0</v>
      </c>
      <c r="E70" s="272">
        <f>SUM(E59:E68)</f>
        <v>3485751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147</v>
      </c>
      <c r="B74" s="8" t="s">
        <v>186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s="4" t="s">
        <v>490</v>
      </c>
      <c r="B75" s="8" t="s">
        <v>186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186</v>
      </c>
      <c r="C76" s="474">
        <v>0</v>
      </c>
      <c r="D76" s="294"/>
      <c r="E76" s="471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186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186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186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188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188</v>
      </c>
      <c r="C82" s="251">
        <f>C70+C80</f>
        <v>3485751</v>
      </c>
      <c r="D82" s="251">
        <f>D70+D80</f>
        <v>0</v>
      </c>
      <c r="E82" s="251">
        <f>E70+E80</f>
        <v>3485751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150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428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196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490">
        <v>1225826</v>
      </c>
      <c r="D97" s="294"/>
      <c r="E97" s="272">
        <f>+C97-D97</f>
        <v>1225826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4">
        <v>750</v>
      </c>
      <c r="D98" s="294"/>
      <c r="E98" s="272">
        <f>+C98-D98</f>
        <v>750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490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187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187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187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259</v>
      </c>
      <c r="B104" s="8" t="s">
        <v>187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276</v>
      </c>
      <c r="B105" s="8" t="s">
        <v>187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1" t="s">
        <v>391</v>
      </c>
      <c r="B108" s="8"/>
      <c r="C108" s="254">
        <f>'TAXREC 3 No True-up'!C75</f>
        <v>1517995</v>
      </c>
      <c r="D108" s="254">
        <f>'TAXREC 3 No True-up'!D75</f>
        <v>0</v>
      </c>
      <c r="E108" s="272">
        <f t="shared" si="5"/>
        <v>1517995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163</v>
      </c>
      <c r="B113" s="8" t="s">
        <v>188</v>
      </c>
      <c r="C113" s="251">
        <f>SUM(C97:C111)</f>
        <v>2744571</v>
      </c>
      <c r="D113" s="251">
        <f>SUM(D97:D111)</f>
        <v>0</v>
      </c>
      <c r="E113" s="251">
        <f>SUM(E97:E111)</f>
        <v>2744571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221</v>
      </c>
      <c r="B116" s="8" t="s">
        <v>187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187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187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188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188</v>
      </c>
      <c r="C122" s="251">
        <f>C113+C120</f>
        <v>2744571</v>
      </c>
      <c r="D122" s="251">
        <f>D113+D120</f>
        <v>0</v>
      </c>
      <c r="E122" s="251">
        <f>+E113+E120</f>
        <v>2744571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198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199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197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505"/>
      <c r="H133" s="45"/>
      <c r="I133" s="45"/>
      <c r="J133" s="45"/>
      <c r="K133" s="45"/>
    </row>
    <row r="134" spans="1:11" ht="12.75">
      <c r="A134" s="13" t="s">
        <v>81</v>
      </c>
      <c r="B134" s="8" t="s">
        <v>188</v>
      </c>
      <c r="C134" s="251">
        <f>+C53+C82-C122</f>
        <v>754644</v>
      </c>
      <c r="D134" s="251">
        <f>D53+D82-D122</f>
        <v>0</v>
      </c>
      <c r="E134" s="251">
        <f>E53+E82-E122</f>
        <v>754644</v>
      </c>
      <c r="F134" s="8"/>
      <c r="G134" s="30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505"/>
      <c r="H135" s="45"/>
      <c r="I135" s="45"/>
      <c r="J135" s="45"/>
      <c r="K135" s="45"/>
    </row>
    <row r="136" spans="1:11" ht="12.75">
      <c r="A136" s="12" t="s">
        <v>371</v>
      </c>
      <c r="B136" s="8" t="s">
        <v>187</v>
      </c>
      <c r="C136" s="294">
        <v>0</v>
      </c>
      <c r="D136" s="294"/>
      <c r="E136" s="264">
        <f>C136-D136</f>
        <v>0</v>
      </c>
      <c r="F136" s="8"/>
      <c r="G136" s="505"/>
      <c r="H136" s="45"/>
      <c r="I136" s="45"/>
      <c r="J136" s="45"/>
      <c r="K136" s="45"/>
    </row>
    <row r="137" spans="1:11" ht="12.75">
      <c r="A137" s="46" t="s">
        <v>372</v>
      </c>
      <c r="B137" s="8" t="s">
        <v>187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507" t="s">
        <v>496</v>
      </c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188</v>
      </c>
      <c r="C139" s="252">
        <f>C134-C136-C137-C138</f>
        <v>754644</v>
      </c>
      <c r="D139" s="252">
        <f>D134-D136-D137-D138</f>
        <v>0</v>
      </c>
      <c r="E139" s="252">
        <f>E134-E136-E137-E138</f>
        <v>754644</v>
      </c>
      <c r="F139" s="8"/>
      <c r="G139" s="506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302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319</v>
      </c>
      <c r="B142" s="8" t="s">
        <v>186</v>
      </c>
      <c r="C142" s="492">
        <v>166928</v>
      </c>
      <c r="D142" s="477">
        <f>D139*C149</f>
        <v>0</v>
      </c>
      <c r="E142" s="252">
        <f>C142-D142</f>
        <v>166928</v>
      </c>
      <c r="F142" s="8"/>
      <c r="G142" s="45"/>
      <c r="H142" s="45"/>
      <c r="I142" s="45"/>
      <c r="J142" s="45"/>
      <c r="K142" s="45"/>
    </row>
    <row r="143" spans="1:11" ht="12.75">
      <c r="A143" s="46" t="s">
        <v>318</v>
      </c>
      <c r="B143" s="8" t="s">
        <v>186</v>
      </c>
      <c r="C143" s="492">
        <v>89013</v>
      </c>
      <c r="D143" s="477">
        <f>D139*C150</f>
        <v>0</v>
      </c>
      <c r="E143" s="292">
        <f>C143-D143</f>
        <v>89013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2">
        <f>C142+C143</f>
        <v>255941</v>
      </c>
      <c r="D144" s="252">
        <f>D142+D143</f>
        <v>0</v>
      </c>
      <c r="E144" s="252">
        <f>E142+E143</f>
        <v>255941</v>
      </c>
      <c r="F144" s="8"/>
      <c r="G144" s="45"/>
      <c r="H144" s="45"/>
      <c r="I144" s="45"/>
      <c r="J144" s="45"/>
      <c r="K144" s="45"/>
    </row>
    <row r="145" spans="1:11" ht="12.75">
      <c r="A145" s="46" t="s">
        <v>330</v>
      </c>
      <c r="B145" s="8" t="s">
        <v>187</v>
      </c>
      <c r="C145" s="298"/>
      <c r="D145" s="477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188</v>
      </c>
      <c r="C146" s="252">
        <f>C144-C145</f>
        <v>255941</v>
      </c>
      <c r="D146" s="252">
        <f>D144-D145</f>
        <v>0</v>
      </c>
      <c r="E146" s="252">
        <f>E144-E145</f>
        <v>255941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302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325</v>
      </c>
      <c r="B149" s="8"/>
      <c r="C149" s="491">
        <f>C142/C134</f>
        <v>0.22120099013574612</v>
      </c>
      <c r="D149" s="5"/>
      <c r="E149" s="405">
        <f>C149</f>
        <v>0.22120099013574612</v>
      </c>
      <c r="F149" s="8"/>
      <c r="G149" s="513" t="s">
        <v>512</v>
      </c>
      <c r="H149" s="45"/>
      <c r="I149" s="45"/>
      <c r="J149" s="45"/>
      <c r="K149" s="45"/>
    </row>
    <row r="150" spans="1:11" ht="12.75">
      <c r="A150" s="46" t="s">
        <v>326</v>
      </c>
      <c r="B150" s="8"/>
      <c r="C150" s="491">
        <v>0.14</v>
      </c>
      <c r="D150" s="5"/>
      <c r="E150" s="405">
        <f>C150</f>
        <v>0.14</v>
      </c>
      <c r="F150" s="8"/>
      <c r="G150" s="513" t="s">
        <v>512</v>
      </c>
      <c r="H150" s="45"/>
      <c r="I150" s="45"/>
      <c r="J150" s="45"/>
      <c r="K150" s="45"/>
    </row>
    <row r="151" spans="1:11" ht="12.75">
      <c r="A151" t="s">
        <v>327</v>
      </c>
      <c r="B151" s="8"/>
      <c r="C151" s="405">
        <f>SUM(C149:C150)</f>
        <v>0.36120099013574614</v>
      </c>
      <c r="D151" s="5"/>
      <c r="E151" s="405">
        <f>SUM(E149:E150)</f>
        <v>0.36120099013574614</v>
      </c>
      <c r="F151" s="8"/>
      <c r="G151" s="513" t="s">
        <v>512</v>
      </c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352</v>
      </c>
      <c r="B153" s="8"/>
    </row>
    <row r="154" spans="1:2" ht="12.75">
      <c r="A154" s="14"/>
      <c r="B154" s="8"/>
    </row>
    <row r="155" spans="1:2" ht="12.75">
      <c r="A155" s="2" t="s">
        <v>470</v>
      </c>
      <c r="B155" s="8"/>
    </row>
    <row r="156" spans="1:5" ht="12.75">
      <c r="A156" t="s">
        <v>218</v>
      </c>
      <c r="B156" s="86" t="s">
        <v>186</v>
      </c>
      <c r="C156" s="251">
        <f>C146</f>
        <v>255941</v>
      </c>
      <c r="D156" s="251">
        <f>D146</f>
        <v>0</v>
      </c>
      <c r="E156" s="251">
        <f>E146</f>
        <v>255941</v>
      </c>
    </row>
    <row r="157" spans="1:5" ht="12.75">
      <c r="A157" t="s">
        <v>20</v>
      </c>
      <c r="B157" s="86" t="s">
        <v>186</v>
      </c>
      <c r="C157" s="493">
        <v>84807</v>
      </c>
      <c r="D157" s="251"/>
      <c r="E157" s="251">
        <f>C157+D157</f>
        <v>84807</v>
      </c>
    </row>
    <row r="158" spans="1:5" ht="12.75">
      <c r="A158" t="s">
        <v>217</v>
      </c>
      <c r="B158" s="86" t="s">
        <v>186</v>
      </c>
      <c r="C158" s="493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299</v>
      </c>
      <c r="B160" s="66" t="s">
        <v>188</v>
      </c>
      <c r="C160" s="251">
        <f>C156+C157+C158</f>
        <v>340748</v>
      </c>
      <c r="D160" s="251">
        <f>D156+D157+D158</f>
        <v>0</v>
      </c>
      <c r="E160" s="251">
        <f>E156+E157+E158</f>
        <v>340748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64" r:id="rId1"/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73">
      <selection activeCell="C21" sqref="C2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EB-2011-0178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297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298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Kingston Hydro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270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277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278</v>
      </c>
      <c r="B15" s="61"/>
      <c r="C15" s="294"/>
      <c r="D15" s="294"/>
      <c r="E15" s="251">
        <f t="shared" si="0"/>
        <v>0</v>
      </c>
    </row>
    <row r="16" spans="1:5" ht="12.75">
      <c r="A16" s="61" t="s">
        <v>279</v>
      </c>
      <c r="B16" s="61"/>
      <c r="C16" s="294"/>
      <c r="D16" s="294"/>
      <c r="E16" s="251">
        <f t="shared" si="0"/>
        <v>0</v>
      </c>
    </row>
    <row r="17" spans="1:5" ht="12.75">
      <c r="A17" s="61" t="s">
        <v>280</v>
      </c>
      <c r="B17" s="61"/>
      <c r="C17" s="294"/>
      <c r="D17" s="294"/>
      <c r="E17" s="251">
        <f t="shared" si="0"/>
        <v>0</v>
      </c>
    </row>
    <row r="18" spans="1:5" ht="12.75">
      <c r="A18" s="61" t="s">
        <v>444</v>
      </c>
      <c r="B18" s="61"/>
      <c r="C18" s="294"/>
      <c r="D18" s="294"/>
      <c r="E18" s="251">
        <f t="shared" si="0"/>
        <v>0</v>
      </c>
    </row>
    <row r="19" spans="1:5" ht="12.75">
      <c r="A19" s="61" t="s">
        <v>444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179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269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277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278</v>
      </c>
      <c r="B27" s="61"/>
      <c r="C27" s="294"/>
      <c r="D27" s="294"/>
      <c r="E27" s="251">
        <f t="shared" si="1"/>
        <v>0</v>
      </c>
    </row>
    <row r="28" spans="1:5" ht="12.75">
      <c r="A28" s="61" t="s">
        <v>279</v>
      </c>
      <c r="B28" s="61"/>
      <c r="C28" s="294"/>
      <c r="D28" s="294"/>
      <c r="E28" s="251">
        <f t="shared" si="1"/>
        <v>0</v>
      </c>
    </row>
    <row r="29" spans="1:5" ht="12.75">
      <c r="A29" s="61" t="s">
        <v>280</v>
      </c>
      <c r="B29" s="61"/>
      <c r="C29" s="294"/>
      <c r="D29" s="294"/>
      <c r="E29" s="251">
        <f t="shared" si="1"/>
        <v>0</v>
      </c>
    </row>
    <row r="30" spans="1:5" ht="12.75">
      <c r="A30" s="61" t="s">
        <v>444</v>
      </c>
      <c r="B30" s="61"/>
      <c r="C30" s="294"/>
      <c r="D30" s="294"/>
      <c r="E30" s="251">
        <f t="shared" si="1"/>
        <v>0</v>
      </c>
    </row>
    <row r="31" spans="1:5" ht="12.75">
      <c r="A31" s="61" t="s">
        <v>444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179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268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270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264</v>
      </c>
      <c r="B43" s="61"/>
      <c r="C43" s="294"/>
      <c r="D43" s="294"/>
      <c r="E43" s="251">
        <f t="shared" si="2"/>
        <v>0</v>
      </c>
    </row>
    <row r="44" spans="1:5" ht="12.75">
      <c r="A44" s="61" t="s">
        <v>265</v>
      </c>
      <c r="B44" s="61"/>
      <c r="C44" s="294"/>
      <c r="D44" s="294"/>
      <c r="E44" s="251">
        <f t="shared" si="2"/>
        <v>0</v>
      </c>
    </row>
    <row r="45" spans="1:5" ht="12.75">
      <c r="A45" s="61" t="s">
        <v>266</v>
      </c>
      <c r="B45" s="61"/>
      <c r="C45" s="294"/>
      <c r="D45" s="294"/>
      <c r="E45" s="251">
        <f t="shared" si="2"/>
        <v>0</v>
      </c>
    </row>
    <row r="46" spans="1:5" ht="12.75">
      <c r="A46" s="61" t="s">
        <v>267</v>
      </c>
      <c r="B46" s="61"/>
      <c r="C46" s="294"/>
      <c r="D46" s="294"/>
      <c r="E46" s="251">
        <f t="shared" si="2"/>
        <v>0</v>
      </c>
    </row>
    <row r="47" spans="1:5" ht="12.75">
      <c r="A47" s="61" t="s">
        <v>444</v>
      </c>
      <c r="B47" s="61"/>
      <c r="C47" s="294"/>
      <c r="D47" s="294"/>
      <c r="E47" s="251">
        <f t="shared" si="2"/>
        <v>0</v>
      </c>
    </row>
    <row r="48" spans="1:5" ht="12.75">
      <c r="A48" s="61" t="s">
        <v>444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179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269</v>
      </c>
      <c r="B52" s="61"/>
      <c r="C52" s="91"/>
      <c r="D52" s="91"/>
      <c r="E52" s="91"/>
    </row>
    <row r="53" spans="1:5" ht="12.75">
      <c r="A53" s="499"/>
      <c r="B53" s="61"/>
      <c r="C53" s="294"/>
      <c r="D53" s="294"/>
      <c r="E53" s="251">
        <f>C53-D53</f>
        <v>0</v>
      </c>
    </row>
    <row r="54" spans="1:5" ht="12.75">
      <c r="A54" s="246" t="s">
        <v>488</v>
      </c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264</v>
      </c>
      <c r="B55" s="61"/>
      <c r="C55" s="294"/>
      <c r="D55" s="294"/>
      <c r="E55" s="251">
        <f t="shared" si="3"/>
        <v>0</v>
      </c>
    </row>
    <row r="56" spans="1:5" ht="12.75">
      <c r="A56" s="246" t="s">
        <v>265</v>
      </c>
      <c r="B56" s="61"/>
      <c r="C56" s="294"/>
      <c r="D56" s="294"/>
      <c r="E56" s="251">
        <f t="shared" si="3"/>
        <v>0</v>
      </c>
    </row>
    <row r="57" spans="1:5" ht="12.75">
      <c r="A57" s="246" t="s">
        <v>266</v>
      </c>
      <c r="B57" s="61"/>
      <c r="C57" s="294"/>
      <c r="D57" s="294"/>
      <c r="E57" s="251">
        <f t="shared" si="3"/>
        <v>0</v>
      </c>
    </row>
    <row r="58" spans="1:5" ht="12.75">
      <c r="A58" s="246" t="s">
        <v>267</v>
      </c>
      <c r="B58" s="61"/>
      <c r="C58" s="294"/>
      <c r="D58" s="294"/>
      <c r="E58" s="251">
        <f t="shared" si="3"/>
        <v>0</v>
      </c>
    </row>
    <row r="59" spans="1:5" ht="12.75">
      <c r="A59" s="61" t="s">
        <v>444</v>
      </c>
      <c r="B59" s="61"/>
      <c r="C59" s="294"/>
      <c r="D59" s="294"/>
      <c r="E59" s="251">
        <f t="shared" si="3"/>
        <v>0</v>
      </c>
    </row>
    <row r="60" spans="1:5" ht="12.75">
      <c r="A60" s="61" t="s">
        <v>444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179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25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C23" sqref="C2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EB-2011-0178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462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461</v>
      </c>
      <c r="B5" s="8"/>
      <c r="C5" s="8" t="s">
        <v>2</v>
      </c>
      <c r="D5" s="8"/>
      <c r="E5" s="8"/>
      <c r="F5" s="8"/>
    </row>
    <row r="6" spans="1:6" ht="12.75">
      <c r="A6" s="415" t="s">
        <v>441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Kingston Hydro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366</v>
      </c>
      <c r="D10" s="60"/>
      <c r="E10" s="25"/>
      <c r="F10" s="20"/>
    </row>
    <row r="11" spans="1:6" ht="12.75">
      <c r="A11" s="2" t="s">
        <v>119</v>
      </c>
      <c r="B11" s="20"/>
      <c r="C11" s="479">
        <f>TAXREC!C13</f>
        <v>30262.5525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186</v>
      </c>
      <c r="C17" s="295"/>
      <c r="D17" s="295"/>
      <c r="E17" s="313">
        <f>C17-D17</f>
        <v>0</v>
      </c>
    </row>
    <row r="18" spans="1:5" ht="12.75">
      <c r="A18" s="67" t="s">
        <v>250</v>
      </c>
      <c r="B18" t="s">
        <v>186</v>
      </c>
      <c r="C18" s="295"/>
      <c r="D18" s="295"/>
      <c r="E18" s="313">
        <f aca="true" t="shared" si="0" ref="E18:E44">C18-D18</f>
        <v>0</v>
      </c>
    </row>
    <row r="19" spans="1:5" ht="12.75">
      <c r="A19" s="503" t="s">
        <v>134</v>
      </c>
      <c r="B19" t="s">
        <v>186</v>
      </c>
      <c r="C19" s="295"/>
      <c r="D19" s="295"/>
      <c r="E19" s="313">
        <f t="shared" si="0"/>
        <v>0</v>
      </c>
    </row>
    <row r="20" spans="1:5" ht="12.75">
      <c r="A20" s="67" t="s">
        <v>445</v>
      </c>
      <c r="B20" t="s">
        <v>186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186</v>
      </c>
      <c r="C21" s="295"/>
      <c r="D21" s="295"/>
      <c r="E21" s="313">
        <f t="shared" si="0"/>
        <v>0</v>
      </c>
    </row>
    <row r="22" spans="1:5" ht="12.75">
      <c r="A22" s="67"/>
      <c r="B22" t="s">
        <v>186</v>
      </c>
      <c r="C22" s="295"/>
      <c r="D22" s="295"/>
      <c r="E22" s="313">
        <f t="shared" si="0"/>
        <v>0</v>
      </c>
    </row>
    <row r="23" spans="1:5" ht="12.75">
      <c r="A23" s="67" t="s">
        <v>136</v>
      </c>
      <c r="B23" t="s">
        <v>186</v>
      </c>
      <c r="C23" s="295"/>
      <c r="D23" s="295"/>
      <c r="E23" s="313">
        <f t="shared" si="0"/>
        <v>0</v>
      </c>
    </row>
    <row r="24" spans="1:5" ht="12.75">
      <c r="A24" s="67" t="s">
        <v>137</v>
      </c>
      <c r="B24" t="s">
        <v>186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186</v>
      </c>
      <c r="C25" s="295"/>
      <c r="D25" s="295"/>
      <c r="E25" s="313">
        <f t="shared" si="0"/>
        <v>0</v>
      </c>
    </row>
    <row r="26" spans="1:5" ht="12.75">
      <c r="A26" s="67" t="s">
        <v>190</v>
      </c>
      <c r="B26" t="s">
        <v>186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186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186</v>
      </c>
      <c r="C28" s="295"/>
      <c r="D28" s="295"/>
      <c r="E28" s="313">
        <f t="shared" si="0"/>
        <v>0</v>
      </c>
    </row>
    <row r="29" spans="1:5" ht="12.75">
      <c r="A29" s="67" t="s">
        <v>138</v>
      </c>
      <c r="B29" t="s">
        <v>186</v>
      </c>
      <c r="C29" s="295"/>
      <c r="D29" s="295"/>
      <c r="E29" s="313">
        <f t="shared" si="0"/>
        <v>0</v>
      </c>
    </row>
    <row r="30" spans="1:5" ht="12.75">
      <c r="A30" s="67" t="s">
        <v>139</v>
      </c>
      <c r="B30" t="s">
        <v>186</v>
      </c>
      <c r="C30" s="295"/>
      <c r="D30" s="295"/>
      <c r="E30" s="313">
        <f t="shared" si="0"/>
        <v>0</v>
      </c>
    </row>
    <row r="31" spans="1:5" ht="12.75">
      <c r="A31" s="67" t="s">
        <v>251</v>
      </c>
      <c r="B31" t="s">
        <v>186</v>
      </c>
      <c r="C31" s="295"/>
      <c r="D31" s="295"/>
      <c r="E31" s="313">
        <f t="shared" si="0"/>
        <v>0</v>
      </c>
    </row>
    <row r="32" spans="1:5" ht="12.75">
      <c r="A32" s="67" t="s">
        <v>140</v>
      </c>
      <c r="B32" t="s">
        <v>186</v>
      </c>
      <c r="C32" s="295"/>
      <c r="D32" s="295"/>
      <c r="E32" s="313">
        <f t="shared" si="0"/>
        <v>0</v>
      </c>
    </row>
    <row r="33" spans="1:5" ht="12.75">
      <c r="A33" s="67" t="s">
        <v>141</v>
      </c>
      <c r="B33" t="s">
        <v>186</v>
      </c>
      <c r="C33" s="295"/>
      <c r="D33" s="295"/>
      <c r="E33" s="313">
        <f t="shared" si="0"/>
        <v>0</v>
      </c>
    </row>
    <row r="34" spans="1:5" ht="12.75">
      <c r="A34" s="67" t="s">
        <v>142</v>
      </c>
      <c r="B34" t="s">
        <v>186</v>
      </c>
      <c r="C34" s="295"/>
      <c r="D34" s="295"/>
      <c r="E34" s="313">
        <f t="shared" si="0"/>
        <v>0</v>
      </c>
    </row>
    <row r="35" spans="1:5" ht="12.75">
      <c r="A35" s="67" t="s">
        <v>192</v>
      </c>
      <c r="B35" t="s">
        <v>186</v>
      </c>
      <c r="C35" s="295"/>
      <c r="D35" s="295"/>
      <c r="E35" s="313">
        <f t="shared" si="0"/>
        <v>0</v>
      </c>
    </row>
    <row r="36" spans="1:5" ht="12.75">
      <c r="A36" s="67" t="s">
        <v>468</v>
      </c>
      <c r="B36" t="s">
        <v>186</v>
      </c>
      <c r="C36" s="494"/>
      <c r="D36" s="295"/>
      <c r="E36" s="313">
        <f t="shared" si="0"/>
        <v>0</v>
      </c>
    </row>
    <row r="37" spans="1:5" ht="12.75">
      <c r="A37" s="67"/>
      <c r="B37" t="s">
        <v>186</v>
      </c>
      <c r="C37" s="295"/>
      <c r="D37" s="295"/>
      <c r="E37" s="313">
        <f t="shared" si="0"/>
        <v>0</v>
      </c>
    </row>
    <row r="38" spans="2:5" ht="12.75">
      <c r="B38" t="s">
        <v>186</v>
      </c>
      <c r="C38" s="295"/>
      <c r="D38" s="295"/>
      <c r="E38" s="251">
        <f t="shared" si="0"/>
        <v>0</v>
      </c>
    </row>
    <row r="39" spans="2:5" ht="12.75">
      <c r="B39" t="s">
        <v>186</v>
      </c>
      <c r="C39" s="294"/>
      <c r="D39" s="295"/>
      <c r="E39" s="251">
        <f t="shared" si="0"/>
        <v>0</v>
      </c>
    </row>
    <row r="40" spans="1:5" ht="12.75">
      <c r="A40" s="68" t="s">
        <v>203</v>
      </c>
      <c r="B40" t="s">
        <v>186</v>
      </c>
      <c r="C40" s="294"/>
      <c r="D40" s="294"/>
      <c r="E40" s="251">
        <f t="shared" si="0"/>
        <v>0</v>
      </c>
    </row>
    <row r="41" spans="1:5" ht="12.75">
      <c r="A41" s="500"/>
      <c r="B41" t="s">
        <v>186</v>
      </c>
      <c r="C41" s="294"/>
      <c r="D41" s="294"/>
      <c r="E41" s="251">
        <f t="shared" si="0"/>
        <v>0</v>
      </c>
    </row>
    <row r="42" spans="1:5" ht="12.75">
      <c r="A42" s="500"/>
      <c r="B42" t="s">
        <v>186</v>
      </c>
      <c r="C42" s="294"/>
      <c r="D42" s="294"/>
      <c r="E42" s="251">
        <f t="shared" si="0"/>
        <v>0</v>
      </c>
    </row>
    <row r="43" spans="1:5" ht="12.75">
      <c r="A43" s="502"/>
      <c r="B43" t="s">
        <v>186</v>
      </c>
      <c r="C43" s="294"/>
      <c r="D43" s="294"/>
      <c r="E43" s="251">
        <f t="shared" si="0"/>
        <v>0</v>
      </c>
    </row>
    <row r="44" spans="1:5" ht="12.75">
      <c r="A44" s="502"/>
      <c r="B44" t="s">
        <v>186</v>
      </c>
      <c r="C44" s="294"/>
      <c r="D44" s="294"/>
      <c r="E44" s="251">
        <f t="shared" si="0"/>
        <v>0</v>
      </c>
    </row>
    <row r="45" spans="1:5" ht="12.75">
      <c r="A45" s="67"/>
      <c r="B45" t="s">
        <v>186</v>
      </c>
      <c r="C45" s="294"/>
      <c r="D45" s="294"/>
      <c r="E45" s="279"/>
    </row>
    <row r="46" spans="1:5" ht="12.75">
      <c r="A46" s="70" t="s">
        <v>169</v>
      </c>
      <c r="B46" t="s">
        <v>188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171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143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202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169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144</v>
      </c>
    </row>
    <row r="82" spans="1:5" ht="12.75">
      <c r="A82" s="67" t="s">
        <v>145</v>
      </c>
      <c r="B82" s="8" t="s">
        <v>187</v>
      </c>
      <c r="C82" s="294"/>
      <c r="D82" s="294"/>
      <c r="E82" s="251">
        <f>C82-D82</f>
        <v>0</v>
      </c>
    </row>
    <row r="83" spans="1:5" ht="12.75">
      <c r="A83" s="71" t="s">
        <v>151</v>
      </c>
      <c r="B83" s="8" t="s">
        <v>187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146</v>
      </c>
      <c r="B84" s="8" t="s">
        <v>187</v>
      </c>
      <c r="C84" s="294"/>
      <c r="D84" s="294"/>
      <c r="E84" s="251">
        <f t="shared" si="5"/>
        <v>0</v>
      </c>
    </row>
    <row r="85" spans="1:5" ht="12.75">
      <c r="A85" s="71" t="s">
        <v>252</v>
      </c>
      <c r="B85" s="8" t="s">
        <v>187</v>
      </c>
      <c r="C85" s="294"/>
      <c r="D85" s="294"/>
      <c r="E85" s="251">
        <f t="shared" si="5"/>
        <v>0</v>
      </c>
    </row>
    <row r="86" spans="1:5" ht="12.75">
      <c r="A86" s="67" t="s">
        <v>193</v>
      </c>
      <c r="B86" s="8" t="s">
        <v>187</v>
      </c>
      <c r="C86" s="294"/>
      <c r="D86" s="294"/>
      <c r="E86" s="251">
        <f t="shared" si="5"/>
        <v>0</v>
      </c>
    </row>
    <row r="87" spans="1:5" ht="12.75">
      <c r="A87" s="67" t="s">
        <v>373</v>
      </c>
      <c r="B87" s="8" t="s">
        <v>187</v>
      </c>
      <c r="C87" s="490"/>
      <c r="D87" s="294"/>
      <c r="E87" s="251">
        <f t="shared" si="5"/>
        <v>0</v>
      </c>
    </row>
    <row r="88" spans="1:5" ht="12.75">
      <c r="A88" s="67" t="s">
        <v>194</v>
      </c>
      <c r="B88" s="8" t="s">
        <v>187</v>
      </c>
      <c r="C88" s="294"/>
      <c r="D88" s="294"/>
      <c r="E88" s="251">
        <f t="shared" si="5"/>
        <v>0</v>
      </c>
    </row>
    <row r="89" spans="1:5" ht="12.75">
      <c r="A89" s="67" t="s">
        <v>166</v>
      </c>
      <c r="B89" s="8" t="s">
        <v>187</v>
      </c>
      <c r="C89" s="294"/>
      <c r="D89" s="294"/>
      <c r="E89" s="251">
        <f t="shared" si="5"/>
        <v>0</v>
      </c>
    </row>
    <row r="90" spans="1:5" ht="12.75">
      <c r="A90" s="67" t="s">
        <v>167</v>
      </c>
      <c r="B90" s="8" t="s">
        <v>187</v>
      </c>
      <c r="C90" s="294"/>
      <c r="D90" s="294"/>
      <c r="E90" s="251">
        <f t="shared" si="5"/>
        <v>0</v>
      </c>
    </row>
    <row r="91" spans="1:5" ht="12.75">
      <c r="A91" s="67" t="s">
        <v>168</v>
      </c>
      <c r="B91" s="8" t="s">
        <v>187</v>
      </c>
      <c r="C91" s="294"/>
      <c r="D91" s="294"/>
      <c r="E91" s="251">
        <f t="shared" si="5"/>
        <v>0</v>
      </c>
    </row>
    <row r="92" spans="2:5" ht="12.75">
      <c r="B92" s="8" t="s">
        <v>187</v>
      </c>
      <c r="C92" s="294"/>
      <c r="D92" s="294"/>
      <c r="E92" s="251"/>
    </row>
    <row r="93" spans="1:5" ht="12.75">
      <c r="A93" s="67"/>
      <c r="B93" s="8" t="s">
        <v>187</v>
      </c>
      <c r="C93" s="294"/>
      <c r="D93" s="294"/>
      <c r="E93" s="251">
        <f t="shared" si="5"/>
        <v>0</v>
      </c>
    </row>
    <row r="94" spans="1:5" ht="12.75">
      <c r="A94" s="67"/>
      <c r="B94" s="8" t="s">
        <v>187</v>
      </c>
      <c r="C94" s="294"/>
      <c r="D94" s="294"/>
      <c r="E94" s="251">
        <f t="shared" si="5"/>
        <v>0</v>
      </c>
    </row>
    <row r="95" spans="1:5" ht="12.75">
      <c r="A95" s="68" t="s">
        <v>204</v>
      </c>
      <c r="B95" s="8" t="s">
        <v>187</v>
      </c>
      <c r="C95" s="294"/>
      <c r="D95" s="294"/>
      <c r="E95" s="251">
        <f t="shared" si="5"/>
        <v>0</v>
      </c>
    </row>
    <row r="96" spans="1:5" ht="12.75">
      <c r="A96" s="67" t="s">
        <v>469</v>
      </c>
      <c r="B96" s="8" t="s">
        <v>187</v>
      </c>
      <c r="C96" s="294">
        <v>0</v>
      </c>
      <c r="D96" s="294"/>
      <c r="E96" s="251">
        <f t="shared" si="5"/>
        <v>0</v>
      </c>
    </row>
    <row r="97" spans="1:5" ht="12.75">
      <c r="A97" s="504" t="s">
        <v>495</v>
      </c>
      <c r="B97" s="8" t="s">
        <v>187</v>
      </c>
      <c r="C97" s="294"/>
      <c r="D97" s="294"/>
      <c r="E97" s="251">
        <f t="shared" si="5"/>
        <v>0</v>
      </c>
    </row>
    <row r="98" spans="1:5" ht="12.75">
      <c r="A98" s="502"/>
      <c r="B98" s="8" t="s">
        <v>187</v>
      </c>
      <c r="C98" s="294"/>
      <c r="D98" s="294"/>
      <c r="E98" s="251">
        <f t="shared" si="5"/>
        <v>0</v>
      </c>
    </row>
    <row r="99" spans="1:5" ht="12.75">
      <c r="A99" s="67" t="s">
        <v>170</v>
      </c>
      <c r="B99" s="8" t="s">
        <v>188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173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201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200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170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74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4"/>
  <sheetViews>
    <sheetView zoomScale="90" zoomScaleNormal="90" zoomScalePageLayoutView="0" workbookViewId="0" topLeftCell="A1">
      <pane xSplit="1" ySplit="8" topLeftCell="B63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C39" sqref="C3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EB-2011-0178</v>
      </c>
    </row>
    <row r="3" spans="1:5" ht="12.75">
      <c r="A3" s="2" t="s">
        <v>381</v>
      </c>
      <c r="E3" s="92"/>
    </row>
    <row r="4" spans="1:6" ht="15">
      <c r="A4" s="458" t="s">
        <v>441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0" t="s">
        <v>382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Kingston Hydro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366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186</v>
      </c>
      <c r="C19" s="295"/>
      <c r="D19" s="295"/>
      <c r="E19" s="313">
        <f aca="true" t="shared" si="0" ref="E19:E45">C19-D19</f>
        <v>0</v>
      </c>
    </row>
    <row r="20" spans="1:5" ht="12.75">
      <c r="A20" t="s">
        <v>384</v>
      </c>
      <c r="B20" t="s">
        <v>186</v>
      </c>
      <c r="C20" s="294">
        <v>22436</v>
      </c>
      <c r="D20" s="295"/>
      <c r="E20" s="313">
        <f t="shared" si="0"/>
        <v>22436</v>
      </c>
    </row>
    <row r="21" spans="1:5" ht="12.75">
      <c r="A21" t="s">
        <v>449</v>
      </c>
      <c r="B21" t="s">
        <v>186</v>
      </c>
      <c r="C21" s="295"/>
      <c r="D21" s="295"/>
      <c r="E21" s="313">
        <f t="shared" si="0"/>
        <v>0</v>
      </c>
    </row>
    <row r="22" spans="1:5" ht="12.75">
      <c r="A22" s="67" t="s">
        <v>387</v>
      </c>
      <c r="B22" t="s">
        <v>186</v>
      </c>
      <c r="C22" s="295"/>
      <c r="D22" s="314"/>
      <c r="E22" s="313">
        <f t="shared" si="0"/>
        <v>0</v>
      </c>
    </row>
    <row r="23" spans="1:5" ht="12.75">
      <c r="A23" s="67" t="s">
        <v>388</v>
      </c>
      <c r="B23" t="s">
        <v>186</v>
      </c>
      <c r="C23" s="294"/>
      <c r="D23" s="295"/>
      <c r="E23" s="313">
        <f t="shared" si="0"/>
        <v>0</v>
      </c>
    </row>
    <row r="24" spans="1:5" ht="12.75">
      <c r="A24" s="67" t="s">
        <v>450</v>
      </c>
      <c r="B24" t="s">
        <v>186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186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186</v>
      </c>
      <c r="C26" s="295">
        <v>762929</v>
      </c>
      <c r="D26" s="295"/>
      <c r="E26" s="313">
        <f t="shared" si="0"/>
        <v>762929</v>
      </c>
    </row>
    <row r="27" spans="1:5" ht="12.75">
      <c r="A27" s="67" t="s">
        <v>433</v>
      </c>
      <c r="B27" t="s">
        <v>186</v>
      </c>
      <c r="C27" s="494"/>
      <c r="D27" s="494"/>
      <c r="E27" s="313">
        <f t="shared" si="0"/>
        <v>0</v>
      </c>
    </row>
    <row r="28" spans="1:5" ht="12.75">
      <c r="A28" s="67" t="s">
        <v>386</v>
      </c>
      <c r="B28" t="s">
        <v>186</v>
      </c>
      <c r="C28" s="295"/>
      <c r="D28" s="295"/>
      <c r="E28" s="313">
        <f t="shared" si="0"/>
        <v>0</v>
      </c>
    </row>
    <row r="29" spans="1:5" ht="12.75">
      <c r="A29" s="67" t="s">
        <v>135</v>
      </c>
      <c r="B29" t="s">
        <v>186</v>
      </c>
      <c r="C29" s="295"/>
      <c r="D29" s="295"/>
      <c r="E29" s="313">
        <f t="shared" si="0"/>
        <v>0</v>
      </c>
    </row>
    <row r="30" spans="1:5" ht="12.75">
      <c r="A30" s="67" t="s">
        <v>385</v>
      </c>
      <c r="B30" t="s">
        <v>186</v>
      </c>
      <c r="C30" s="295"/>
      <c r="D30" s="295"/>
      <c r="E30" s="313">
        <f t="shared" si="0"/>
        <v>0</v>
      </c>
    </row>
    <row r="31" spans="1:5" ht="12.75">
      <c r="A31" s="67" t="s">
        <v>191</v>
      </c>
      <c r="B31" t="s">
        <v>186</v>
      </c>
      <c r="C31" s="295"/>
      <c r="D31" s="295"/>
      <c r="E31" s="313">
        <f t="shared" si="0"/>
        <v>0</v>
      </c>
    </row>
    <row r="32" spans="1:5" ht="12.75">
      <c r="A32" s="67" t="s">
        <v>429</v>
      </c>
      <c r="B32" t="s">
        <v>186</v>
      </c>
      <c r="C32" s="494"/>
      <c r="D32" s="295"/>
      <c r="E32" s="313">
        <f t="shared" si="0"/>
        <v>0</v>
      </c>
    </row>
    <row r="33" spans="1:5" ht="12.75">
      <c r="A33" s="67" t="s">
        <v>430</v>
      </c>
      <c r="B33" t="s">
        <v>186</v>
      </c>
      <c r="C33" s="295"/>
      <c r="D33" s="295"/>
      <c r="E33" s="313">
        <f t="shared" si="0"/>
        <v>0</v>
      </c>
    </row>
    <row r="34" spans="1:5" ht="12.75">
      <c r="A34" s="67" t="s">
        <v>446</v>
      </c>
      <c r="B34" t="s">
        <v>186</v>
      </c>
      <c r="C34" s="295"/>
      <c r="D34" s="295"/>
      <c r="E34" s="313">
        <f t="shared" si="0"/>
        <v>0</v>
      </c>
    </row>
    <row r="35" spans="1:5" ht="12.75">
      <c r="A35" s="81" t="s">
        <v>447</v>
      </c>
      <c r="C35" s="494"/>
      <c r="D35" s="295"/>
      <c r="E35" s="313">
        <f t="shared" si="0"/>
        <v>0</v>
      </c>
    </row>
    <row r="36" spans="1:5" ht="12.75">
      <c r="A36" s="67" t="s">
        <v>431</v>
      </c>
      <c r="C36" s="295"/>
      <c r="D36" s="295"/>
      <c r="E36" s="313">
        <f t="shared" si="0"/>
        <v>0</v>
      </c>
    </row>
    <row r="37" spans="1:5" ht="12.75">
      <c r="A37" s="503" t="s">
        <v>510</v>
      </c>
      <c r="C37" s="295">
        <v>9724</v>
      </c>
      <c r="D37" s="295"/>
      <c r="E37" s="313">
        <f t="shared" si="0"/>
        <v>9724</v>
      </c>
    </row>
    <row r="38" spans="1:5" ht="12.75">
      <c r="A38" s="81" t="s">
        <v>389</v>
      </c>
      <c r="C38" s="295">
        <v>53398</v>
      </c>
      <c r="D38" s="295"/>
      <c r="E38" s="313">
        <f t="shared" si="0"/>
        <v>53398</v>
      </c>
    </row>
    <row r="39" spans="2:5" ht="12.75">
      <c r="B39" t="s">
        <v>186</v>
      </c>
      <c r="C39" s="295"/>
      <c r="D39" s="295"/>
      <c r="E39" s="313">
        <f t="shared" si="0"/>
        <v>0</v>
      </c>
    </row>
    <row r="40" spans="1:5" ht="12.75">
      <c r="A40" s="81" t="s">
        <v>383</v>
      </c>
      <c r="B40" t="s">
        <v>186</v>
      </c>
      <c r="C40" s="494"/>
      <c r="D40" s="295"/>
      <c r="E40" s="313">
        <f t="shared" si="0"/>
        <v>0</v>
      </c>
    </row>
    <row r="41" spans="1:5" ht="12.75">
      <c r="A41" s="67" t="s">
        <v>453</v>
      </c>
      <c r="B41" t="s">
        <v>186</v>
      </c>
      <c r="C41" s="295"/>
      <c r="D41" s="295"/>
      <c r="E41" s="313">
        <f t="shared" si="0"/>
        <v>0</v>
      </c>
    </row>
    <row r="42" spans="2:5" ht="12.75">
      <c r="B42" t="s">
        <v>186</v>
      </c>
      <c r="C42" s="295"/>
      <c r="D42" s="295"/>
      <c r="E42" s="313">
        <f t="shared" si="0"/>
        <v>0</v>
      </c>
    </row>
    <row r="43" spans="1:5" ht="12.75">
      <c r="A43" s="68" t="s">
        <v>203</v>
      </c>
      <c r="B43" t="s">
        <v>186</v>
      </c>
      <c r="C43" s="295"/>
      <c r="D43" s="295"/>
      <c r="E43" s="313">
        <f t="shared" si="0"/>
        <v>0</v>
      </c>
    </row>
    <row r="44" spans="1:5" ht="12.75">
      <c r="A44" s="500" t="s">
        <v>489</v>
      </c>
      <c r="B44" t="s">
        <v>186</v>
      </c>
      <c r="C44" s="294"/>
      <c r="D44" s="294"/>
      <c r="E44" s="251">
        <f t="shared" si="0"/>
        <v>0</v>
      </c>
    </row>
    <row r="45" spans="1:5" ht="12.75">
      <c r="A45" s="504" t="s">
        <v>509</v>
      </c>
      <c r="B45" t="s">
        <v>186</v>
      </c>
      <c r="C45" s="294">
        <v>890190</v>
      </c>
      <c r="D45" s="294"/>
      <c r="E45" s="251">
        <f t="shared" si="0"/>
        <v>890190</v>
      </c>
    </row>
    <row r="46" spans="1:5" ht="12.75">
      <c r="A46" s="500" t="s">
        <v>501</v>
      </c>
      <c r="C46" s="294"/>
      <c r="D46" s="294"/>
      <c r="E46" s="279"/>
    </row>
    <row r="47" spans="1:5" ht="12.75">
      <c r="A47" s="504" t="s">
        <v>498</v>
      </c>
      <c r="C47" s="294"/>
      <c r="D47" s="294"/>
      <c r="E47" s="279"/>
    </row>
    <row r="48" spans="1:5" ht="12.75">
      <c r="A48" s="504" t="s">
        <v>491</v>
      </c>
      <c r="B48" t="s">
        <v>186</v>
      </c>
      <c r="C48" s="294"/>
      <c r="D48" s="294"/>
      <c r="E48" s="279"/>
    </row>
    <row r="49" spans="1:5" ht="12.75">
      <c r="A49" s="443" t="s">
        <v>393</v>
      </c>
      <c r="B49" t="s">
        <v>188</v>
      </c>
      <c r="C49" s="251">
        <f>SUM(C19:C48)</f>
        <v>1738677</v>
      </c>
      <c r="D49" s="251">
        <f>SUM(D19:D48)</f>
        <v>0</v>
      </c>
      <c r="E49" s="251">
        <f>SUM(E19:E48)</f>
        <v>1738677</v>
      </c>
    </row>
    <row r="50" ht="12.75">
      <c r="A50" s="67"/>
    </row>
    <row r="51" ht="12.75">
      <c r="A51" s="81" t="s">
        <v>144</v>
      </c>
    </row>
    <row r="53" spans="1:5" ht="12.75">
      <c r="A53" s="71" t="s">
        <v>384</v>
      </c>
      <c r="B53" s="8" t="s">
        <v>187</v>
      </c>
      <c r="C53" s="294"/>
      <c r="D53" s="294"/>
      <c r="E53" s="251">
        <f aca="true" t="shared" si="1" ref="E53:E63">C53-D53</f>
        <v>0</v>
      </c>
    </row>
    <row r="54" spans="1:5" ht="12.75">
      <c r="A54" s="67" t="s">
        <v>449</v>
      </c>
      <c r="B54" s="8" t="s">
        <v>187</v>
      </c>
      <c r="C54" s="294"/>
      <c r="D54" s="294"/>
      <c r="E54" s="251">
        <f t="shared" si="1"/>
        <v>0</v>
      </c>
    </row>
    <row r="55" spans="1:5" ht="12.75">
      <c r="A55" t="s">
        <v>385</v>
      </c>
      <c r="B55" s="8" t="s">
        <v>187</v>
      </c>
      <c r="C55" s="294"/>
      <c r="D55" s="294"/>
      <c r="E55" s="251">
        <f t="shared" si="1"/>
        <v>0</v>
      </c>
    </row>
    <row r="56" spans="1:5" ht="12.75">
      <c r="A56" t="s">
        <v>432</v>
      </c>
      <c r="B56" s="8" t="s">
        <v>187</v>
      </c>
      <c r="C56" s="490"/>
      <c r="D56" s="294"/>
      <c r="E56" s="251">
        <f t="shared" si="1"/>
        <v>0</v>
      </c>
    </row>
    <row r="57" spans="1:5" ht="12.75">
      <c r="A57" s="503" t="s">
        <v>440</v>
      </c>
      <c r="B57" s="8" t="s">
        <v>187</v>
      </c>
      <c r="C57" s="294">
        <v>11046</v>
      </c>
      <c r="D57" s="294"/>
      <c r="E57" s="251">
        <f t="shared" si="1"/>
        <v>11046</v>
      </c>
    </row>
    <row r="58" spans="1:5" ht="12.75">
      <c r="A58" s="67" t="s">
        <v>452</v>
      </c>
      <c r="B58" s="8" t="s">
        <v>187</v>
      </c>
      <c r="C58" s="294"/>
      <c r="D58" s="294"/>
      <c r="E58" s="251">
        <f t="shared" si="1"/>
        <v>0</v>
      </c>
    </row>
    <row r="59" spans="1:5" ht="12.75">
      <c r="A59" s="2" t="s">
        <v>448</v>
      </c>
      <c r="B59" s="8" t="s">
        <v>187</v>
      </c>
      <c r="C59" s="490"/>
      <c r="D59" s="294"/>
      <c r="E59" s="251">
        <f t="shared" si="1"/>
        <v>0</v>
      </c>
    </row>
    <row r="60" spans="1:5" ht="12.75">
      <c r="A60" s="67" t="s">
        <v>451</v>
      </c>
      <c r="B60" s="8" t="s">
        <v>187</v>
      </c>
      <c r="C60" s="294"/>
      <c r="D60" s="294"/>
      <c r="E60" s="251">
        <f t="shared" si="1"/>
        <v>0</v>
      </c>
    </row>
    <row r="61" spans="1:5" ht="12.75">
      <c r="A61" s="503" t="s">
        <v>509</v>
      </c>
      <c r="B61" s="8" t="s">
        <v>187</v>
      </c>
      <c r="C61" s="294">
        <v>871102</v>
      </c>
      <c r="D61" s="294"/>
      <c r="E61" s="251">
        <f t="shared" si="1"/>
        <v>871102</v>
      </c>
    </row>
    <row r="62" spans="1:5" ht="12.75">
      <c r="A62" s="462" t="s">
        <v>390</v>
      </c>
      <c r="B62" s="8" t="s">
        <v>187</v>
      </c>
      <c r="C62" s="490">
        <v>83591</v>
      </c>
      <c r="D62" s="294"/>
      <c r="E62" s="251">
        <f t="shared" si="1"/>
        <v>83591</v>
      </c>
    </row>
    <row r="63" spans="2:5" ht="12.75">
      <c r="B63" s="8" t="s">
        <v>187</v>
      </c>
      <c r="C63" s="294"/>
      <c r="D63" s="294"/>
      <c r="E63" s="251">
        <f t="shared" si="1"/>
        <v>0</v>
      </c>
    </row>
    <row r="64" spans="1:5" ht="12.75">
      <c r="A64" s="462" t="s">
        <v>383</v>
      </c>
      <c r="B64" s="8" t="s">
        <v>187</v>
      </c>
      <c r="C64" s="490"/>
      <c r="D64" s="294"/>
      <c r="E64" s="251">
        <f aca="true" t="shared" si="2" ref="E64:E74">C64-D64</f>
        <v>0</v>
      </c>
    </row>
    <row r="65" spans="2:5" ht="12.75">
      <c r="B65" s="8" t="s">
        <v>187</v>
      </c>
      <c r="C65" s="294"/>
      <c r="D65" s="294"/>
      <c r="E65" s="251">
        <f t="shared" si="2"/>
        <v>0</v>
      </c>
    </row>
    <row r="66" spans="1:5" ht="12.75">
      <c r="A66" t="s">
        <v>487</v>
      </c>
      <c r="B66" s="8" t="s">
        <v>187</v>
      </c>
      <c r="C66" s="490"/>
      <c r="D66" s="294"/>
      <c r="E66" s="251">
        <f t="shared" si="2"/>
        <v>0</v>
      </c>
    </row>
    <row r="67" spans="2:5" ht="12.75">
      <c r="B67" s="8" t="s">
        <v>187</v>
      </c>
      <c r="C67" s="294"/>
      <c r="D67" s="294"/>
      <c r="E67" s="251">
        <f t="shared" si="2"/>
        <v>0</v>
      </c>
    </row>
    <row r="68" spans="2:5" ht="12.75">
      <c r="B68" s="8" t="s">
        <v>187</v>
      </c>
      <c r="C68" s="294"/>
      <c r="D68" s="294"/>
      <c r="E68" s="251">
        <f t="shared" si="2"/>
        <v>0</v>
      </c>
    </row>
    <row r="69" spans="1:5" ht="12.75">
      <c r="A69" s="67"/>
      <c r="B69" s="8" t="s">
        <v>187</v>
      </c>
      <c r="C69" s="294"/>
      <c r="D69" s="294"/>
      <c r="E69" s="251">
        <f t="shared" si="2"/>
        <v>0</v>
      </c>
    </row>
    <row r="70" spans="1:5" ht="12.75">
      <c r="A70" s="68" t="s">
        <v>204</v>
      </c>
      <c r="B70" s="8" t="s">
        <v>187</v>
      </c>
      <c r="C70" s="294"/>
      <c r="D70" s="294"/>
      <c r="E70" s="251">
        <f t="shared" si="2"/>
        <v>0</v>
      </c>
    </row>
    <row r="71" spans="1:5" ht="12.75">
      <c r="A71" s="504" t="s">
        <v>511</v>
      </c>
      <c r="B71" s="8" t="s">
        <v>187</v>
      </c>
      <c r="C71" s="294">
        <v>552256</v>
      </c>
      <c r="D71" s="294"/>
      <c r="E71" s="251">
        <f t="shared" si="2"/>
        <v>552256</v>
      </c>
    </row>
    <row r="72" spans="1:5" ht="12.75">
      <c r="A72" s="503" t="s">
        <v>493</v>
      </c>
      <c r="B72" s="8" t="s">
        <v>187</v>
      </c>
      <c r="C72" s="294"/>
      <c r="D72" s="294"/>
      <c r="E72" s="251">
        <f t="shared" si="2"/>
        <v>0</v>
      </c>
    </row>
    <row r="73" spans="1:5" ht="12.75">
      <c r="A73" s="504" t="s">
        <v>494</v>
      </c>
      <c r="B73" s="8" t="s">
        <v>187</v>
      </c>
      <c r="C73" s="294"/>
      <c r="D73" s="294"/>
      <c r="E73" s="251">
        <f t="shared" si="2"/>
        <v>0</v>
      </c>
    </row>
    <row r="74" spans="1:5" ht="12.75">
      <c r="A74" s="504" t="s">
        <v>497</v>
      </c>
      <c r="B74" s="8" t="s">
        <v>187</v>
      </c>
      <c r="C74" s="294"/>
      <c r="D74" s="294"/>
      <c r="E74" s="279">
        <f t="shared" si="2"/>
        <v>0</v>
      </c>
    </row>
    <row r="75" spans="1:5" ht="12.75">
      <c r="A75" s="442" t="s">
        <v>392</v>
      </c>
      <c r="B75" s="8" t="s">
        <v>188</v>
      </c>
      <c r="C75" s="251">
        <f>SUM(C53:C74)</f>
        <v>1517995</v>
      </c>
      <c r="D75" s="251">
        <f>SUM(D53:D74)</f>
        <v>0</v>
      </c>
      <c r="E75" s="251">
        <f>SUM(E53:E74)</f>
        <v>1517995</v>
      </c>
    </row>
    <row r="76" ht="12.75">
      <c r="A76" s="67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4">
      <selection activeCell="C58" sqref="C5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EB-2011-0178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303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Kingston Hydro Corporation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2004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0" t="s">
        <v>333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23" t="s">
        <v>472</v>
      </c>
      <c r="B8" s="524"/>
      <c r="C8" s="524"/>
      <c r="D8" s="524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463</v>
      </c>
      <c r="B10" s="327"/>
      <c r="C10" s="376" t="s">
        <v>111</v>
      </c>
      <c r="D10" s="376"/>
      <c r="E10" s="376" t="s">
        <v>111</v>
      </c>
      <c r="F10" s="377" t="s">
        <v>473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296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295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300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257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5" t="s">
        <v>328</v>
      </c>
      <c r="B21" s="406" t="s">
        <v>465</v>
      </c>
      <c r="C21" s="362">
        <f>5000000*REGINFO!D21</f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5" t="s">
        <v>329</v>
      </c>
      <c r="B22" s="407" t="s">
        <v>466</v>
      </c>
      <c r="C22" s="363">
        <f>10000000*REGINFO!D22</f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17" t="s">
        <v>485</v>
      </c>
      <c r="B23" s="518"/>
      <c r="C23" s="518"/>
      <c r="D23" s="518"/>
      <c r="E23" s="518"/>
      <c r="F23" s="518"/>
      <c r="G23" s="432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0" t="s">
        <v>334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23" t="s">
        <v>481</v>
      </c>
      <c r="B26" s="524"/>
      <c r="C26" s="524"/>
      <c r="D26" s="524"/>
      <c r="E26" s="524"/>
      <c r="F26" s="524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>
        <v>250001</v>
      </c>
      <c r="E27" s="368">
        <v>400001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436</v>
      </c>
      <c r="B28" s="327"/>
      <c r="C28" s="370" t="s">
        <v>111</v>
      </c>
      <c r="D28" s="370" t="s">
        <v>111</v>
      </c>
      <c r="E28" s="370" t="s">
        <v>111</v>
      </c>
      <c r="F28" s="371" t="s">
        <v>484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250000</v>
      </c>
      <c r="D29" s="372">
        <v>400000</v>
      </c>
      <c r="E29" s="372">
        <v>1128000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09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295</v>
      </c>
      <c r="B32" s="409">
        <v>2004</v>
      </c>
      <c r="C32" s="328">
        <v>0.1312</v>
      </c>
      <c r="D32" s="328">
        <v>0.2212</v>
      </c>
      <c r="E32" s="329">
        <v>0.2212</v>
      </c>
      <c r="F32" s="329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09">
        <v>2004</v>
      </c>
      <c r="C33" s="330">
        <v>0.055</v>
      </c>
      <c r="D33" s="330">
        <v>0.055</v>
      </c>
      <c r="E33" s="331">
        <v>0.0975</v>
      </c>
      <c r="F33" s="331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257</v>
      </c>
      <c r="B34" s="409">
        <v>2004</v>
      </c>
      <c r="C34" s="332">
        <f>SUM(C32:C33)</f>
        <v>0.1862</v>
      </c>
      <c r="D34" s="332">
        <f>SUM(D32:D33)</f>
        <v>0.2762</v>
      </c>
      <c r="E34" s="333">
        <f>SUM(E32:E33)</f>
        <v>0.3187</v>
      </c>
      <c r="F34" s="333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09">
        <v>2004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09">
        <v>2004</v>
      </c>
      <c r="C37" s="335">
        <v>0.002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09">
        <v>2004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5" t="s">
        <v>482</v>
      </c>
      <c r="B39" s="406" t="s">
        <v>465</v>
      </c>
      <c r="C39" s="362">
        <f>5000000*REGINFO!D21</f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5" t="s">
        <v>483</v>
      </c>
      <c r="B40" s="407" t="s">
        <v>480</v>
      </c>
      <c r="C40" s="363">
        <f>50000000*REGINFO!D22</f>
        <v>50000000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9" t="s">
        <v>331</v>
      </c>
      <c r="B41" s="518"/>
      <c r="C41" s="518"/>
      <c r="D41" s="518"/>
      <c r="E41" s="518"/>
      <c r="F41" s="518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20"/>
      <c r="B42" s="520"/>
      <c r="C42" s="520"/>
      <c r="D42" s="520"/>
      <c r="E42" s="520"/>
      <c r="F42" s="520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0" t="s">
        <v>335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479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>
        <v>250001</v>
      </c>
      <c r="E45" s="368">
        <v>400001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 t="s">
        <v>111</v>
      </c>
      <c r="E46" s="370" t="s">
        <v>111</v>
      </c>
      <c r="F46" s="371" t="s">
        <v>484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250000</v>
      </c>
      <c r="D47" s="372">
        <v>400000</v>
      </c>
      <c r="E47" s="372">
        <v>1128000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09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295</v>
      </c>
      <c r="B50" s="245"/>
      <c r="C50" s="352">
        <v>0.1312</v>
      </c>
      <c r="D50" s="352">
        <v>0.2212</v>
      </c>
      <c r="E50" s="353">
        <v>0.2229</v>
      </c>
      <c r="F50" s="495">
        <v>0.2212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0.055</v>
      </c>
      <c r="D51" s="354">
        <v>0.055</v>
      </c>
      <c r="E51" s="355">
        <v>0.1377</v>
      </c>
      <c r="F51" s="496">
        <v>0.14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257</v>
      </c>
      <c r="B52" s="245"/>
      <c r="C52" s="332">
        <f>SUM(C50:C51)</f>
        <v>0.1862</v>
      </c>
      <c r="D52" s="332">
        <f>SUM(D50:D51)</f>
        <v>0.2762</v>
      </c>
      <c r="E52" s="333">
        <f>SUM(E50:E51)</f>
        <v>0.3606</v>
      </c>
      <c r="F52" s="333">
        <f>SUM(F50:F51)</f>
        <v>0.3612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5" t="s">
        <v>345</v>
      </c>
      <c r="B57" s="406" t="s">
        <v>465</v>
      </c>
      <c r="C57" s="497">
        <v>5000000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5" t="s">
        <v>346</v>
      </c>
      <c r="B58" s="407" t="s">
        <v>480</v>
      </c>
      <c r="C58" s="498">
        <v>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17" t="s">
        <v>347</v>
      </c>
      <c r="B59" s="521"/>
      <c r="C59" s="521"/>
      <c r="D59" s="521"/>
      <c r="E59" s="521"/>
      <c r="F59" s="521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22"/>
      <c r="B60" s="522"/>
      <c r="C60" s="522"/>
      <c r="D60" s="522"/>
      <c r="E60" s="522"/>
      <c r="F60" s="522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EB-2011-0178</v>
      </c>
    </row>
    <row r="2" spans="1:2" ht="12.75">
      <c r="A2" s="2" t="s">
        <v>454</v>
      </c>
      <c r="B2" s="2"/>
    </row>
    <row r="3" spans="1:15" ht="12.75">
      <c r="A3" s="2" t="str">
        <f>REGINFO!A3</f>
        <v>Utility Name: Kingston Hydro Corporation</v>
      </c>
      <c r="O3" s="416" t="str">
        <f>REGINFO!E1</f>
        <v>Version 2009.1</v>
      </c>
    </row>
    <row r="4" spans="1:15" ht="12.75">
      <c r="A4" s="2" t="str">
        <f>REGINFO!A4</f>
        <v>Reporting period:  2004</v>
      </c>
      <c r="E4" s="417" t="s">
        <v>317</v>
      </c>
      <c r="F4" s="399"/>
      <c r="G4" s="399"/>
      <c r="H4" s="399"/>
      <c r="I4" s="399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188</v>
      </c>
      <c r="C11" s="395">
        <v>0</v>
      </c>
      <c r="D11" s="391"/>
      <c r="E11" s="397">
        <f>C22</f>
        <v>354796</v>
      </c>
      <c r="F11" s="419"/>
      <c r="G11" s="397">
        <f>E22</f>
        <v>290181</v>
      </c>
      <c r="H11" s="419"/>
      <c r="I11" s="397">
        <f>G22</f>
        <v>187549.20793050993</v>
      </c>
      <c r="J11" s="391"/>
      <c r="K11" s="397">
        <f>I22</f>
        <v>-40649.18089520489</v>
      </c>
      <c r="L11" s="391"/>
      <c r="M11" s="397">
        <f>K22</f>
        <v>-293484.7521205074</v>
      </c>
      <c r="N11" s="391"/>
      <c r="O11" s="397">
        <f>C11</f>
        <v>0</v>
      </c>
    </row>
    <row r="12" spans="1:15" ht="27" customHeight="1">
      <c r="A12" s="81" t="s">
        <v>394</v>
      </c>
      <c r="B12" s="66" t="s">
        <v>189</v>
      </c>
      <c r="C12" s="514">
        <v>354796</v>
      </c>
      <c r="D12" s="392"/>
      <c r="E12" s="396">
        <v>1077201</v>
      </c>
      <c r="F12" s="95"/>
      <c r="G12" s="418">
        <f>C12+E12</f>
        <v>1431997</v>
      </c>
      <c r="H12" s="95"/>
      <c r="I12" s="418">
        <f>(E12/12*9)+(G12/12*3)</f>
        <v>1165900</v>
      </c>
      <c r="J12" s="392"/>
      <c r="K12" s="418">
        <f>E12/12*3</f>
        <v>269300.25</v>
      </c>
      <c r="L12" s="392"/>
      <c r="M12" s="418">
        <f>'[3]TAXCALC'!C96/12*4</f>
        <v>333843.76325744117</v>
      </c>
      <c r="N12" s="392"/>
      <c r="O12" s="397">
        <f aca="true" t="shared" si="0" ref="O12:O20">SUM(C12:N12)</f>
        <v>4633038.013257441</v>
      </c>
    </row>
    <row r="13" spans="1:15" ht="27" customHeight="1">
      <c r="A13" s="81" t="s">
        <v>435</v>
      </c>
      <c r="B13" s="66"/>
      <c r="C13" s="418"/>
      <c r="D13" s="392"/>
      <c r="E13" s="418"/>
      <c r="F13" s="95"/>
      <c r="G13" s="418"/>
      <c r="H13" s="95"/>
      <c r="I13" s="418"/>
      <c r="J13" s="392"/>
      <c r="K13" s="396">
        <v>751148</v>
      </c>
      <c r="L13" s="392"/>
      <c r="M13" s="418"/>
      <c r="N13" s="392"/>
      <c r="O13" s="397">
        <f t="shared" si="0"/>
        <v>751148</v>
      </c>
    </row>
    <row r="14" spans="1:15" ht="26.25">
      <c r="A14" s="81" t="s">
        <v>395</v>
      </c>
      <c r="B14" s="66" t="s">
        <v>189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396</v>
      </c>
      <c r="B15" s="66" t="s">
        <v>189</v>
      </c>
      <c r="C15" s="396"/>
      <c r="D15" s="392"/>
      <c r="E15" s="396"/>
      <c r="F15" s="95"/>
      <c r="G15" s="396">
        <v>-68024</v>
      </c>
      <c r="H15" s="95"/>
      <c r="I15" s="396">
        <f>'[2]TAXCALC'!E132</f>
        <v>-146942.46823643413</v>
      </c>
      <c r="J15" s="392"/>
      <c r="K15" s="396">
        <f>TAXCALC!E132</f>
        <v>-59954.71255500224</v>
      </c>
      <c r="L15" s="392"/>
      <c r="M15" s="396"/>
      <c r="N15" s="392"/>
      <c r="O15" s="397">
        <f t="shared" si="0"/>
        <v>-274921.18079143635</v>
      </c>
    </row>
    <row r="16" spans="1:15" ht="27" customHeight="1">
      <c r="A16" s="81" t="s">
        <v>397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398</v>
      </c>
      <c r="B17" s="66" t="s">
        <v>189</v>
      </c>
      <c r="C17" s="396"/>
      <c r="D17" s="392"/>
      <c r="E17" s="396"/>
      <c r="F17" s="95"/>
      <c r="G17" s="396"/>
      <c r="H17" s="95"/>
      <c r="I17" s="396">
        <f>'[2]TAXCALC'!E181</f>
        <v>-50047.29345446081</v>
      </c>
      <c r="J17" s="392"/>
      <c r="K17" s="396">
        <f>TAXCALC!E181</f>
        <v>-136680.5712671003</v>
      </c>
      <c r="L17" s="392"/>
      <c r="M17" s="396"/>
      <c r="N17" s="392"/>
      <c r="O17" s="397">
        <f t="shared" si="0"/>
        <v>-186727.8647215611</v>
      </c>
    </row>
    <row r="18" spans="1:15" ht="26.25">
      <c r="A18" s="81" t="s">
        <v>399</v>
      </c>
      <c r="B18" s="66" t="s">
        <v>189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26" t="s">
        <v>400</v>
      </c>
      <c r="B19" s="66" t="s">
        <v>189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464</v>
      </c>
      <c r="B20" s="66" t="s">
        <v>187</v>
      </c>
      <c r="C20" s="418">
        <v>0</v>
      </c>
      <c r="D20" s="392"/>
      <c r="E20" s="396">
        <v>-1141816</v>
      </c>
      <c r="F20" s="95"/>
      <c r="G20" s="396">
        <v>-1466604.79206949</v>
      </c>
      <c r="H20" s="95"/>
      <c r="I20" s="396">
        <v>-1197108.62713482</v>
      </c>
      <c r="J20" s="392"/>
      <c r="K20" s="396">
        <v>-1076648.5374032</v>
      </c>
      <c r="L20" s="392"/>
      <c r="M20" s="514">
        <v>-474526.7827321</v>
      </c>
      <c r="N20" s="392"/>
      <c r="O20" s="397">
        <f t="shared" si="0"/>
        <v>-5356704.739339611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19"/>
    </row>
    <row r="22" spans="1:15" ht="13.5" thickBot="1">
      <c r="A22" s="81" t="s">
        <v>370</v>
      </c>
      <c r="B22" s="34"/>
      <c r="C22" s="398">
        <f>SUM(C11:C20)</f>
        <v>354796</v>
      </c>
      <c r="D22" s="419"/>
      <c r="E22" s="398">
        <f>SUM(E11:E20)</f>
        <v>290181</v>
      </c>
      <c r="F22" s="419"/>
      <c r="G22" s="398">
        <f>SUM(G11:G20)</f>
        <v>187549.20793050993</v>
      </c>
      <c r="H22" s="419"/>
      <c r="I22" s="398">
        <f>SUM(I11:I20)</f>
        <v>-40649.18089520489</v>
      </c>
      <c r="J22" s="391"/>
      <c r="K22" s="398">
        <f>SUM(K11:K20)</f>
        <v>-293484.7521205074</v>
      </c>
      <c r="L22" s="391"/>
      <c r="M22" s="398">
        <f>SUM(M11:M21)</f>
        <v>-434167.77159516624</v>
      </c>
      <c r="N22" s="391"/>
      <c r="O22" s="444">
        <f>SUM(O11:O20)</f>
        <v>-434167.771595167</v>
      </c>
    </row>
    <row r="23" spans="1:15" ht="13.5" thickTop="1">
      <c r="A23" s="427"/>
      <c r="B23" s="428"/>
      <c r="C23" s="434"/>
      <c r="D23" s="435"/>
      <c r="E23" s="434"/>
      <c r="F23" s="435"/>
      <c r="G23" s="434"/>
      <c r="H23" s="435"/>
      <c r="I23" s="434"/>
      <c r="J23" s="428"/>
      <c r="K23" s="434"/>
      <c r="L23" s="188"/>
      <c r="M23" s="436"/>
      <c r="N23" s="188"/>
      <c r="O23" s="436"/>
    </row>
    <row r="24" spans="1:15" ht="12.75">
      <c r="A24" s="450"/>
      <c r="B24" s="451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3"/>
    </row>
    <row r="25" spans="1:15" ht="12.75">
      <c r="A25" s="427"/>
      <c r="B25" s="428"/>
      <c r="C25" s="454"/>
      <c r="D25" s="454"/>
      <c r="E25" s="454"/>
      <c r="F25" s="454"/>
      <c r="G25" s="454"/>
      <c r="H25" s="454"/>
      <c r="I25" s="454"/>
      <c r="J25" s="455"/>
      <c r="K25" s="454"/>
      <c r="L25" s="456"/>
      <c r="M25" s="457"/>
      <c r="N25" s="456"/>
      <c r="O25" s="457"/>
    </row>
    <row r="26" spans="1:15" ht="12.75">
      <c r="A26" s="427" t="s">
        <v>401</v>
      </c>
      <c r="B26" s="428"/>
      <c r="C26" s="454"/>
      <c r="D26" s="454"/>
      <c r="E26" s="454"/>
      <c r="F26" s="454"/>
      <c r="G26" s="454"/>
      <c r="H26" s="454"/>
      <c r="I26" s="454"/>
      <c r="J26" s="455"/>
      <c r="K26" s="454"/>
      <c r="L26" s="456"/>
      <c r="M26" s="457"/>
      <c r="N26" s="456"/>
      <c r="O26" s="457"/>
    </row>
    <row r="27" spans="1:15" ht="9" customHeight="1">
      <c r="A27" s="427"/>
      <c r="B27" s="428"/>
      <c r="C27" s="428"/>
      <c r="D27" s="428"/>
      <c r="E27" s="428"/>
      <c r="F27" s="428"/>
      <c r="G27" s="428"/>
      <c r="H27" s="428"/>
      <c r="I27" s="428"/>
      <c r="J27" s="428"/>
      <c r="K27" s="429"/>
      <c r="L27" s="188"/>
      <c r="M27" s="188"/>
      <c r="N27" s="188"/>
      <c r="O27" s="188"/>
    </row>
    <row r="28" spans="1:15" ht="12.75">
      <c r="A28" s="427" t="s">
        <v>402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188"/>
      <c r="M28" s="188"/>
      <c r="N28" s="188"/>
      <c r="O28" s="188"/>
    </row>
    <row r="29" spans="1:15" ht="12.75">
      <c r="A29" s="430" t="s">
        <v>403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188"/>
      <c r="M29" s="188"/>
      <c r="N29" s="188"/>
      <c r="O29" s="188"/>
    </row>
    <row r="30" spans="1:15" ht="9" customHeight="1">
      <c r="A30" s="188"/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188"/>
      <c r="M30" s="188"/>
      <c r="N30" s="188"/>
      <c r="O30" s="188"/>
    </row>
    <row r="31" spans="1:15" ht="12.75">
      <c r="A31" s="445" t="s">
        <v>404</v>
      </c>
      <c r="B31" s="80"/>
      <c r="C31" s="80"/>
      <c r="D31" s="80"/>
      <c r="E31" s="80"/>
      <c r="F31" s="80"/>
      <c r="G31" s="80"/>
      <c r="H31" s="80"/>
      <c r="I31" s="441"/>
      <c r="J31" s="441"/>
      <c r="K31" s="441"/>
      <c r="L31" s="441"/>
      <c r="M31" s="441"/>
      <c r="N31" s="441"/>
      <c r="O31" s="441"/>
    </row>
    <row r="32" spans="1:15" ht="9" customHeight="1">
      <c r="A32" s="446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</row>
    <row r="33" spans="1:19" ht="12.75">
      <c r="A33" s="526" t="s">
        <v>405</v>
      </c>
      <c r="B33" s="527"/>
      <c r="C33" s="527"/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420"/>
      <c r="Q33" s="420"/>
      <c r="R33" s="420"/>
      <c r="S33" s="420"/>
    </row>
    <row r="34" spans="1:19" ht="12.75">
      <c r="A34" s="525" t="s">
        <v>406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420"/>
      <c r="Q34" s="420"/>
      <c r="R34" s="420"/>
      <c r="S34" s="420"/>
    </row>
    <row r="35" spans="1:19" ht="12.75">
      <c r="A35" s="525" t="s">
        <v>427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420"/>
      <c r="Q35" s="420"/>
      <c r="R35" s="420"/>
      <c r="S35" s="420"/>
    </row>
    <row r="36" spans="1:19" ht="12.75">
      <c r="A36" s="525" t="s">
        <v>407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420"/>
      <c r="Q36" s="420"/>
      <c r="R36" s="420"/>
      <c r="S36" s="420"/>
    </row>
    <row r="37" spans="1:19" ht="12.75">
      <c r="A37" s="431" t="s">
        <v>367</v>
      </c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20"/>
      <c r="Q37" s="420"/>
      <c r="R37" s="420"/>
      <c r="S37" s="420"/>
    </row>
    <row r="38" spans="1:19" ht="12.75">
      <c r="A38" s="431" t="s">
        <v>368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20"/>
      <c r="Q38" s="420"/>
      <c r="R38" s="420"/>
      <c r="S38" s="420"/>
    </row>
    <row r="39" spans="1:19" ht="12.75">
      <c r="A39" s="431" t="s">
        <v>408</v>
      </c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20"/>
      <c r="Q39" s="420"/>
      <c r="R39" s="420"/>
      <c r="S39" s="420"/>
    </row>
    <row r="40" spans="1:19" ht="12.75">
      <c r="A40" s="431" t="s">
        <v>409</v>
      </c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20"/>
      <c r="Q40" s="420"/>
      <c r="R40" s="420"/>
      <c r="S40" s="420"/>
    </row>
    <row r="41" spans="2:19" ht="9" customHeight="1"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20"/>
      <c r="Q41" s="420"/>
      <c r="R41" s="420"/>
      <c r="S41" s="420"/>
    </row>
    <row r="42" spans="1:15" ht="12.75">
      <c r="A42" s="433" t="s">
        <v>410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188"/>
      <c r="M42" s="188"/>
      <c r="N42" s="188"/>
      <c r="O42" s="188"/>
    </row>
    <row r="43" spans="1:15" ht="12.75">
      <c r="A43" s="428" t="s">
        <v>411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188"/>
      <c r="M43" s="188"/>
      <c r="N43" s="188"/>
      <c r="O43" s="188"/>
    </row>
    <row r="44" spans="1:15" ht="9" customHeight="1">
      <c r="A44" s="428"/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188"/>
      <c r="M44" s="188"/>
      <c r="N44" s="188"/>
      <c r="O44" s="188"/>
    </row>
    <row r="45" spans="1:15" ht="12.75">
      <c r="A45" s="433" t="s">
        <v>412</v>
      </c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188"/>
      <c r="M45" s="188"/>
      <c r="N45" s="188"/>
      <c r="O45" s="188"/>
    </row>
    <row r="46" spans="1:15" ht="12.75">
      <c r="A46" s="428" t="s">
        <v>413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188"/>
      <c r="M46" s="188"/>
      <c r="N46" s="188"/>
      <c r="O46" s="188"/>
    </row>
    <row r="47" spans="1:15" ht="9" customHeight="1">
      <c r="A47" s="428"/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188"/>
      <c r="M47" s="188"/>
      <c r="N47" s="188"/>
      <c r="O47" s="188"/>
    </row>
    <row r="48" spans="1:15" ht="12.75">
      <c r="A48" s="433" t="s">
        <v>414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188"/>
      <c r="M48" s="188"/>
      <c r="N48" s="188"/>
      <c r="O48" s="188"/>
    </row>
    <row r="49" spans="1:15" ht="12.75">
      <c r="A49" s="428" t="s">
        <v>415</v>
      </c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188"/>
      <c r="M49" s="188"/>
      <c r="N49" s="188"/>
      <c r="O49" s="188"/>
    </row>
    <row r="50" spans="1:15" ht="9" customHeight="1">
      <c r="A50" s="428"/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188"/>
      <c r="M50" s="188"/>
      <c r="N50" s="188"/>
      <c r="O50" s="188"/>
    </row>
    <row r="51" spans="1:15" ht="12.75">
      <c r="A51" s="433" t="s">
        <v>416</v>
      </c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188"/>
      <c r="M51" s="188"/>
      <c r="N51" s="188"/>
      <c r="O51" s="188"/>
    </row>
    <row r="52" spans="1:15" ht="12.75">
      <c r="A52" s="428" t="s">
        <v>413</v>
      </c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188"/>
      <c r="M52" s="188"/>
      <c r="N52" s="188"/>
      <c r="O52" s="188"/>
    </row>
    <row r="53" spans="1:15" ht="9" customHeight="1">
      <c r="A53" s="433"/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188"/>
      <c r="M53" s="188"/>
      <c r="N53" s="188"/>
      <c r="O53" s="188"/>
    </row>
    <row r="54" spans="1:15" ht="12.75">
      <c r="A54" s="428" t="s">
        <v>417</v>
      </c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188"/>
      <c r="M54" s="188"/>
      <c r="N54" s="188"/>
      <c r="O54" s="188"/>
    </row>
    <row r="55" spans="1:15" ht="9" customHeight="1">
      <c r="A55" s="428"/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188"/>
      <c r="M55" s="188"/>
      <c r="N55" s="188"/>
      <c r="O55" s="188"/>
    </row>
    <row r="56" spans="1:15" ht="12.75" customHeight="1">
      <c r="A56" s="433" t="s">
        <v>418</v>
      </c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188"/>
      <c r="M56" s="188"/>
      <c r="N56" s="188"/>
      <c r="O56" s="188"/>
    </row>
    <row r="57" spans="1:15" ht="9" customHeight="1">
      <c r="A57" s="428"/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188"/>
      <c r="M57" s="188"/>
      <c r="N57" s="188"/>
      <c r="O57" s="188"/>
    </row>
    <row r="58" spans="1:15" ht="12.75">
      <c r="A58" s="428" t="s">
        <v>419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188"/>
      <c r="M58" s="188"/>
      <c r="N58" s="188"/>
      <c r="O58" s="188"/>
    </row>
    <row r="59" spans="1:15" ht="12.75">
      <c r="A59" s="428" t="s">
        <v>420</v>
      </c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188"/>
      <c r="M59" s="188"/>
      <c r="N59" s="188"/>
      <c r="O59" s="188"/>
    </row>
    <row r="60" spans="1:15" ht="12.75">
      <c r="A60" s="428" t="s">
        <v>421</v>
      </c>
      <c r="B60" s="428"/>
      <c r="C60" s="428"/>
      <c r="D60" s="428"/>
      <c r="E60" s="428"/>
      <c r="F60" s="428"/>
      <c r="G60" s="428"/>
      <c r="H60" s="428"/>
      <c r="I60" s="428"/>
      <c r="J60" s="428"/>
      <c r="K60" s="428"/>
      <c r="L60" s="188"/>
      <c r="M60" s="188"/>
      <c r="N60" s="188"/>
      <c r="O60" s="188"/>
    </row>
    <row r="61" spans="1:15" ht="12.75">
      <c r="A61" s="428" t="s">
        <v>377</v>
      </c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188"/>
      <c r="M61" s="188"/>
      <c r="N61" s="188"/>
      <c r="O61" s="188"/>
    </row>
    <row r="62" spans="1:15" ht="9" customHeight="1">
      <c r="A62" s="428"/>
      <c r="B62" s="428"/>
      <c r="C62" s="428"/>
      <c r="D62" s="428"/>
      <c r="E62" s="428"/>
      <c r="F62" s="428"/>
      <c r="G62" s="428"/>
      <c r="H62" s="428"/>
      <c r="I62" s="428"/>
      <c r="J62" s="428"/>
      <c r="K62" s="428"/>
      <c r="L62" s="188"/>
      <c r="M62" s="188"/>
      <c r="N62" s="188"/>
      <c r="O62" s="188"/>
    </row>
    <row r="63" spans="1:15" ht="12.75">
      <c r="A63" s="428" t="s">
        <v>422</v>
      </c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188"/>
      <c r="M63" s="188"/>
      <c r="N63" s="188"/>
      <c r="O63" s="188"/>
    </row>
    <row r="64" spans="1:15" ht="12.75">
      <c r="A64" s="428" t="s">
        <v>423</v>
      </c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188"/>
      <c r="M64" s="188"/>
      <c r="N64" s="188"/>
      <c r="O64" s="188"/>
    </row>
    <row r="65" spans="1:15" ht="12.75">
      <c r="A65" s="428" t="s">
        <v>379</v>
      </c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188"/>
      <c r="M65" s="188"/>
      <c r="N65" s="188"/>
      <c r="O65" s="188"/>
    </row>
    <row r="66" spans="1:15" ht="3.75" customHeight="1">
      <c r="A66" s="428"/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188"/>
      <c r="M66" s="188"/>
      <c r="N66" s="188"/>
      <c r="O66" s="188"/>
    </row>
    <row r="67" spans="1:15" ht="12.75">
      <c r="A67" s="428" t="s">
        <v>378</v>
      </c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188"/>
      <c r="M67" s="188"/>
      <c r="N67" s="188"/>
      <c r="O67" s="188"/>
    </row>
    <row r="68" spans="1:15" ht="12.75">
      <c r="A68" s="428" t="s">
        <v>380</v>
      </c>
      <c r="B68" s="428"/>
      <c r="C68" s="428"/>
      <c r="D68" s="428"/>
      <c r="E68" s="428"/>
      <c r="F68" s="428"/>
      <c r="G68" s="428"/>
      <c r="H68" s="428"/>
      <c r="I68" s="428"/>
      <c r="J68" s="428"/>
      <c r="K68" s="428"/>
      <c r="L68" s="188"/>
      <c r="M68" s="188"/>
      <c r="N68" s="188"/>
      <c r="O68" s="188"/>
    </row>
    <row r="69" spans="1:15" ht="3.75" customHeight="1">
      <c r="A69" s="428"/>
      <c r="B69" s="428"/>
      <c r="C69" s="428"/>
      <c r="D69" s="428"/>
      <c r="E69" s="428"/>
      <c r="F69" s="428"/>
      <c r="G69" s="428"/>
      <c r="H69" s="428"/>
      <c r="I69" s="428"/>
      <c r="J69" s="428"/>
      <c r="K69" s="428"/>
      <c r="L69" s="188"/>
      <c r="M69" s="188"/>
      <c r="N69" s="188"/>
      <c r="O69" s="188"/>
    </row>
    <row r="70" spans="1:15" ht="12.75">
      <c r="A70" s="428" t="s">
        <v>424</v>
      </c>
      <c r="B70" s="428"/>
      <c r="C70" s="428"/>
      <c r="D70" s="428"/>
      <c r="E70" s="428"/>
      <c r="F70" s="428"/>
      <c r="G70" s="428"/>
      <c r="H70" s="428"/>
      <c r="I70" s="428"/>
      <c r="J70" s="428"/>
      <c r="K70" s="428"/>
      <c r="L70" s="188"/>
      <c r="M70" s="188"/>
      <c r="N70" s="188"/>
      <c r="O70" s="188"/>
    </row>
    <row r="71" spans="1:15" ht="12.75">
      <c r="A71" s="428" t="s">
        <v>425</v>
      </c>
      <c r="B71" s="428"/>
      <c r="C71" s="428"/>
      <c r="D71" s="428"/>
      <c r="E71" s="428"/>
      <c r="F71" s="428"/>
      <c r="G71" s="428"/>
      <c r="H71" s="428"/>
      <c r="I71" s="428"/>
      <c r="J71" s="428"/>
      <c r="K71" s="428"/>
      <c r="L71" s="188"/>
      <c r="M71" s="188"/>
      <c r="N71" s="188"/>
      <c r="O71" s="188"/>
    </row>
    <row r="72" spans="1:15" ht="12.75">
      <c r="A72" s="428" t="s">
        <v>426</v>
      </c>
      <c r="B72" s="428"/>
      <c r="C72" s="428"/>
      <c r="D72" s="428"/>
      <c r="E72" s="428"/>
      <c r="F72" s="428"/>
      <c r="G72" s="428"/>
      <c r="H72" s="428"/>
      <c r="I72" s="428"/>
      <c r="J72" s="428"/>
      <c r="K72" s="428"/>
      <c r="L72" s="188"/>
      <c r="M72" s="188"/>
      <c r="N72" s="188"/>
      <c r="O72" s="188"/>
    </row>
    <row r="73" spans="1:15" ht="9" customHeight="1">
      <c r="A73" s="428"/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188"/>
      <c r="M73" s="188"/>
      <c r="N73" s="188"/>
      <c r="O73" s="188"/>
    </row>
    <row r="74" spans="1:15" ht="12.75" customHeight="1">
      <c r="A74" s="525" t="s">
        <v>455</v>
      </c>
      <c r="B74" s="525"/>
      <c r="C74" s="525"/>
      <c r="D74" s="525"/>
      <c r="E74" s="525"/>
      <c r="F74" s="525"/>
      <c r="G74" s="525"/>
      <c r="H74" s="525"/>
      <c r="I74" s="525"/>
      <c r="J74" s="525"/>
      <c r="K74" s="525"/>
      <c r="L74" s="525"/>
      <c r="M74" s="525"/>
      <c r="N74" s="525"/>
      <c r="O74" s="525"/>
    </row>
    <row r="75" spans="1:15" ht="12.75">
      <c r="A75" s="428" t="s">
        <v>369</v>
      </c>
      <c r="B75" s="428"/>
      <c r="C75" s="428"/>
      <c r="D75" s="428"/>
      <c r="E75" s="428"/>
      <c r="F75" s="428"/>
      <c r="G75" s="428"/>
      <c r="H75" s="428"/>
      <c r="I75" s="428"/>
      <c r="J75" s="428"/>
      <c r="K75" s="428"/>
      <c r="L75" s="188"/>
      <c r="M75" s="188"/>
      <c r="N75" s="188"/>
      <c r="O75" s="188"/>
    </row>
    <row r="76" spans="1:15" ht="12.75">
      <c r="A76" s="188"/>
      <c r="B76" s="428"/>
      <c r="C76" s="428"/>
      <c r="D76" s="428"/>
      <c r="E76" s="428"/>
      <c r="F76" s="428"/>
      <c r="G76" s="428"/>
      <c r="H76" s="428"/>
      <c r="I76" s="428"/>
      <c r="J76" s="428"/>
      <c r="K76" s="428"/>
      <c r="L76" s="188"/>
      <c r="M76" s="188"/>
      <c r="N76" s="188"/>
      <c r="O76" s="188"/>
    </row>
    <row r="77" spans="1:15" ht="12.75">
      <c r="A77" s="188"/>
      <c r="B77" s="428"/>
      <c r="C77" s="428"/>
      <c r="D77" s="428"/>
      <c r="E77" s="428"/>
      <c r="F77" s="428"/>
      <c r="G77" s="428"/>
      <c r="H77" s="428"/>
      <c r="I77" s="428"/>
      <c r="J77" s="428"/>
      <c r="K77" s="428"/>
      <c r="L77" s="188"/>
      <c r="M77" s="188"/>
      <c r="N77" s="188"/>
      <c r="O77" s="188"/>
    </row>
    <row r="78" spans="1:17" ht="12.75">
      <c r="A78" s="188"/>
      <c r="B78" s="428"/>
      <c r="C78" s="428"/>
      <c r="D78" s="428"/>
      <c r="E78" s="428"/>
      <c r="F78" s="428"/>
      <c r="G78" s="428"/>
      <c r="H78" s="428"/>
      <c r="I78" s="428"/>
      <c r="J78" s="428"/>
      <c r="K78" s="428"/>
      <c r="L78" s="428"/>
      <c r="M78" s="428"/>
      <c r="N78" s="188"/>
      <c r="O78" s="188"/>
      <c r="P78" s="188"/>
      <c r="Q78" s="188"/>
    </row>
    <row r="79" spans="1:17" ht="12.75">
      <c r="A79" s="188"/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188"/>
      <c r="O79" s="188"/>
      <c r="P79" s="188"/>
      <c r="Q79" s="188"/>
    </row>
    <row r="80" spans="1:17" ht="12.75">
      <c r="A80" s="188"/>
      <c r="B80" s="428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188"/>
      <c r="O80" s="188"/>
      <c r="P80" s="188"/>
      <c r="Q80" s="188"/>
    </row>
    <row r="81" spans="1:17" ht="12.75">
      <c r="A81" s="428"/>
      <c r="B81" s="428"/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188"/>
      <c r="O81" s="188"/>
      <c r="P81" s="188"/>
      <c r="Q81" s="188"/>
    </row>
    <row r="82" spans="1:17" ht="12.75">
      <c r="A82" s="188"/>
      <c r="B82" s="188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188"/>
      <c r="O82" s="188"/>
      <c r="P82" s="188"/>
      <c r="Q82" s="188"/>
    </row>
    <row r="83" spans="1:17" ht="12.75">
      <c r="A83" s="188"/>
      <c r="B83" s="188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188"/>
      <c r="O83" s="188"/>
      <c r="P83" s="188"/>
      <c r="Q83" s="188"/>
    </row>
    <row r="84" spans="1:17" ht="12.75">
      <c r="A84" s="428"/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188"/>
      <c r="O84" s="188"/>
      <c r="P84" s="188"/>
      <c r="Q84" s="188"/>
    </row>
    <row r="85" spans="1:17" ht="12.75">
      <c r="A85" s="188"/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188"/>
      <c r="O85" s="188"/>
      <c r="P85" s="188"/>
      <c r="Q85" s="188"/>
    </row>
    <row r="86" spans="1:17" ht="12.75">
      <c r="A86" s="188"/>
      <c r="B86" s="428"/>
      <c r="C86" s="428"/>
      <c r="D86" s="428"/>
      <c r="E86" s="428"/>
      <c r="F86" s="428"/>
      <c r="G86" s="428"/>
      <c r="H86" s="428"/>
      <c r="I86" s="428"/>
      <c r="J86" s="428"/>
      <c r="K86" s="428"/>
      <c r="L86" s="428"/>
      <c r="M86" s="428"/>
      <c r="N86" s="188"/>
      <c r="O86" s="188"/>
      <c r="P86" s="188"/>
      <c r="Q86" s="188"/>
    </row>
    <row r="87" spans="1:17" ht="12.75">
      <c r="A87" s="188"/>
      <c r="B87" s="188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188"/>
      <c r="O87" s="188"/>
      <c r="P87" s="188"/>
      <c r="Q87" s="188"/>
    </row>
    <row r="88" spans="1:17" ht="12.75">
      <c r="A88" s="188"/>
      <c r="B88" s="188"/>
      <c r="C88" s="428"/>
      <c r="D88" s="428"/>
      <c r="E88" s="428"/>
      <c r="F88" s="428"/>
      <c r="G88" s="428"/>
      <c r="H88" s="428"/>
      <c r="I88" s="428"/>
      <c r="J88" s="428"/>
      <c r="K88" s="428"/>
      <c r="L88" s="428"/>
      <c r="M88" s="428"/>
      <c r="N88" s="188"/>
      <c r="O88" s="188"/>
      <c r="P88" s="188"/>
      <c r="Q88" s="188"/>
    </row>
    <row r="89" spans="1:17" ht="12.75">
      <c r="A89" s="188"/>
      <c r="B89" s="188"/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188"/>
      <c r="O89" s="188"/>
      <c r="P89" s="188"/>
      <c r="Q89" s="188"/>
    </row>
    <row r="90" spans="1:17" ht="12.75">
      <c r="A90" s="188"/>
      <c r="B90" s="188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188"/>
      <c r="O90" s="188"/>
      <c r="P90" s="188"/>
      <c r="Q90" s="188"/>
    </row>
    <row r="91" spans="1:17" ht="12.75">
      <c r="A91" s="188"/>
      <c r="B91" s="188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188"/>
      <c r="O91" s="188"/>
      <c r="P91" s="188"/>
      <c r="Q91" s="188"/>
    </row>
    <row r="92" spans="1:17" ht="12.75">
      <c r="A92" s="188"/>
      <c r="B92" s="188"/>
      <c r="C92" s="525"/>
      <c r="D92" s="525"/>
      <c r="E92" s="525"/>
      <c r="F92" s="525"/>
      <c r="G92" s="525"/>
      <c r="H92" s="525"/>
      <c r="I92" s="525"/>
      <c r="J92" s="525"/>
      <c r="K92" s="525"/>
      <c r="L92" s="525"/>
      <c r="M92" s="525"/>
      <c r="N92" s="525"/>
      <c r="O92" s="525"/>
      <c r="P92" s="525"/>
      <c r="Q92" s="525"/>
    </row>
    <row r="93" spans="1:17" ht="12.75">
      <c r="A93" s="188"/>
      <c r="B93" s="188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rmurphy</cp:lastModifiedBy>
  <cp:lastPrinted>2011-11-25T18:34:53Z</cp:lastPrinted>
  <dcterms:created xsi:type="dcterms:W3CDTF">2001-11-07T16:15:53Z</dcterms:created>
  <dcterms:modified xsi:type="dcterms:W3CDTF">2012-01-30T18:23:54Z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