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1565" activeTab="0"/>
  </bookViews>
  <sheets>
    <sheet name="Summary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<sst xmlns="http://schemas.openxmlformats.org/spreadsheetml/2006/main" count="96" uniqueCount="49">
  <si>
    <t>Thunder Bay Hydro</t>
  </si>
  <si>
    <t>PILS Calculation</t>
  </si>
  <si>
    <t>Fixed Customer Charge</t>
  </si>
  <si>
    <t>Volumetric</t>
  </si>
  <si>
    <t>Unbilled Customer Charge</t>
  </si>
  <si>
    <t>Monthly Service Charge</t>
  </si>
  <si>
    <t>2001 PILS Recovery</t>
  </si>
  <si>
    <t>2002 PILS Recovery</t>
  </si>
  <si>
    <t>Volumetric kwh or kw</t>
  </si>
  <si>
    <t>Volumetric Rate</t>
  </si>
  <si>
    <t>#customers</t>
  </si>
  <si>
    <t>(E+G)/H*2001 PILs Rate</t>
  </si>
  <si>
    <t>(E+G)/H*2002 PILs Rate</t>
  </si>
  <si>
    <t>F/PIILs Rate + Unbilled Consumpiton of Demand</t>
  </si>
  <si>
    <t>K*L</t>
  </si>
  <si>
    <t>K*N</t>
  </si>
  <si>
    <t>Residential</t>
  </si>
  <si>
    <t>Large User</t>
  </si>
  <si>
    <t>Street Lighting</t>
  </si>
  <si>
    <t>Sen Lighting</t>
  </si>
  <si>
    <t>GS &lt;50KW</t>
  </si>
  <si>
    <t>GS &gt;50KW</t>
  </si>
  <si>
    <t>GS&gt;1000kw</t>
  </si>
  <si>
    <t>Fixed</t>
  </si>
  <si>
    <t>Unbilled Fixed Charge Only</t>
  </si>
  <si>
    <t>Unbilled Volumetric Change</t>
  </si>
  <si>
    <t>(D+F)/G*2002 PILs Rate</t>
  </si>
  <si>
    <t>(D+F)/G*2001 PILs Rate</t>
  </si>
  <si>
    <t>(E+G)/H*PILS Rate* 3/12</t>
  </si>
  <si>
    <t xml:space="preserve">2004 Load Stats -Billed per Revenue Reports </t>
  </si>
  <si>
    <t>Used Billed Consumption as Calculated Below versus simply 25% of annual</t>
  </si>
  <si>
    <t>Fixed Distribution           2004</t>
  </si>
  <si>
    <t>Volumetric  Distribution 2004</t>
  </si>
  <si>
    <t>Unbilled Customer Charge   2004</t>
  </si>
  <si>
    <t>2003 PILS Recovery</t>
  </si>
  <si>
    <t>PILS Volumetric Rate</t>
  </si>
  <si>
    <t>GS&lt;50KW</t>
  </si>
  <si>
    <t>January to March per our analysis (annual * 3/12)</t>
  </si>
  <si>
    <t>Billed Consumption January-March 31st per Load Stats</t>
  </si>
  <si>
    <t>Less Unbilled December 2003</t>
  </si>
  <si>
    <t>Plus March 31st unbilled as per Query</t>
  </si>
  <si>
    <t>Revised Consumption</t>
  </si>
  <si>
    <t>GS&gt;50KW</t>
  </si>
  <si>
    <t>Plus March 31st unbilled estimated **</t>
  </si>
  <si>
    <t>Street Light</t>
  </si>
  <si>
    <t>GS&gt;1000KW</t>
  </si>
  <si>
    <t>January to March per our analysis (annual * 3/12</t>
  </si>
  <si>
    <t>**Estimate assumes the subsequent month billed kw would approximate the unbilled</t>
  </si>
  <si>
    <t>(E+J)/PILs Rate + Unbilled Consumption of Demand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</si>
</sst>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#,##0_ ;\-#,##0\ "/>
    <numFmt numFmtId="166" formatCode="0.000000"/>
    <numFmt numFmtId="167" formatCode="#,##0.00000_ ;\-#,##0.00000\ "/>
    <numFmt numFmtId="168" formatCode="_-&quot;$&quot;* #,##0.0000000_-;\-&quot;$&quot;* #,##0.0000000_-;_-&quot;$&quot;* &quot;-&quot;???????_-;_-@_-"/>
    <numFmt numFmtId="169" formatCode="#,##0.00_ ;\-#,##0.00\ "/>
    <numFmt numFmtId="170" formatCode="&quot;$&quot;#,##0_);[Red]\(&quot;$&quot;#,##0\)"/>
    <numFmt numFmtId="171" formatCode="_(* #,##0_);_(* \(#,##0\);_(* &quot;-&quot;_);_(@_)"/>
    <numFmt numFmtId="172" formatCode="_-* #,##0_-;\-* #,##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55">
      <alignment/>
      <protection/>
    </xf>
    <xf numFmtId="42" fontId="0" fillId="0" borderId="0" xfId="55" applyNumberFormat="1">
      <alignment/>
      <protection/>
    </xf>
    <xf numFmtId="0" fontId="0" fillId="0" borderId="0" xfId="55" applyAlignment="1">
      <alignment wrapText="1"/>
      <protection/>
    </xf>
    <xf numFmtId="0" fontId="0" fillId="0" borderId="0" xfId="55" applyFont="1" applyAlignment="1">
      <alignment wrapText="1"/>
      <protection/>
    </xf>
    <xf numFmtId="0" fontId="2" fillId="0" borderId="0" xfId="55" applyFont="1" applyAlignment="1">
      <alignment wrapText="1"/>
      <protection/>
    </xf>
    <xf numFmtId="0" fontId="2" fillId="0" borderId="0" xfId="55" applyFont="1" applyAlignment="1">
      <alignment horizontal="center" wrapText="1"/>
      <protection/>
    </xf>
    <xf numFmtId="0" fontId="0" fillId="0" borderId="0" xfId="55" applyAlignment="1">
      <alignment shrinkToFit="1"/>
      <protection/>
    </xf>
    <xf numFmtId="44" fontId="0" fillId="0" borderId="0" xfId="55" applyNumberFormat="1">
      <alignment/>
      <protection/>
    </xf>
    <xf numFmtId="164" fontId="0" fillId="0" borderId="0" xfId="55" applyNumberFormat="1">
      <alignment/>
      <protection/>
    </xf>
    <xf numFmtId="165" fontId="0" fillId="0" borderId="0" xfId="55" applyNumberFormat="1">
      <alignment/>
      <protection/>
    </xf>
    <xf numFmtId="166" fontId="0" fillId="33" borderId="0" xfId="55" applyNumberFormat="1" applyFill="1">
      <alignment/>
      <protection/>
    </xf>
    <xf numFmtId="166" fontId="0" fillId="0" borderId="0" xfId="55" applyNumberFormat="1">
      <alignment/>
      <protection/>
    </xf>
    <xf numFmtId="164" fontId="0" fillId="33" borderId="0" xfId="55" applyNumberFormat="1" applyFill="1">
      <alignment/>
      <protection/>
    </xf>
    <xf numFmtId="167" fontId="0" fillId="0" borderId="0" xfId="55" applyNumberFormat="1">
      <alignment/>
      <protection/>
    </xf>
    <xf numFmtId="168" fontId="0" fillId="0" borderId="0" xfId="55" applyNumberFormat="1">
      <alignment/>
      <protection/>
    </xf>
    <xf numFmtId="42" fontId="0" fillId="0" borderId="10" xfId="55" applyNumberFormat="1" applyBorder="1">
      <alignment/>
      <protection/>
    </xf>
    <xf numFmtId="164" fontId="0" fillId="34" borderId="10" xfId="55" applyNumberFormat="1" applyFill="1" applyBorder="1">
      <alignment/>
      <protection/>
    </xf>
    <xf numFmtId="164" fontId="0" fillId="35" borderId="10" xfId="55" applyNumberFormat="1" applyFill="1" applyBorder="1">
      <alignment/>
      <protection/>
    </xf>
    <xf numFmtId="169" fontId="0" fillId="0" borderId="0" xfId="55" applyNumberFormat="1">
      <alignment/>
      <protection/>
    </xf>
    <xf numFmtId="0" fontId="0" fillId="0" borderId="10" xfId="55" applyBorder="1">
      <alignment/>
      <protection/>
    </xf>
    <xf numFmtId="164" fontId="0" fillId="0" borderId="0" xfId="0" applyNumberFormat="1" applyAlignment="1">
      <alignment/>
    </xf>
    <xf numFmtId="164" fontId="2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42" fontId="26" fillId="29" borderId="0" xfId="47" applyNumberFormat="1" applyAlignment="1">
      <alignment wrapText="1"/>
    </xf>
    <xf numFmtId="0" fontId="26" fillId="29" borderId="0" xfId="47" applyAlignment="1">
      <alignment wrapText="1"/>
    </xf>
    <xf numFmtId="170" fontId="0" fillId="0" borderId="0" xfId="55" applyNumberFormat="1">
      <alignment/>
      <protection/>
    </xf>
    <xf numFmtId="171" fontId="0" fillId="0" borderId="0" xfId="55" applyNumberFormat="1">
      <alignment/>
      <protection/>
    </xf>
    <xf numFmtId="170" fontId="0" fillId="0" borderId="10" xfId="55" applyNumberFormat="1" applyBorder="1">
      <alignment/>
      <protection/>
    </xf>
    <xf numFmtId="15" fontId="0" fillId="0" borderId="0" xfId="0" applyNumberFormat="1" applyAlignment="1">
      <alignment/>
    </xf>
    <xf numFmtId="42" fontId="0" fillId="0" borderId="0" xfId="0" applyNumberFormat="1" applyAlignment="1">
      <alignment wrapText="1"/>
    </xf>
    <xf numFmtId="42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5" borderId="0" xfId="0" applyFill="1" applyAlignment="1">
      <alignment wrapText="1"/>
    </xf>
    <xf numFmtId="0" fontId="0" fillId="0" borderId="0" xfId="0" applyAlignment="1">
      <alignment shrinkToFit="1"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42" fontId="0" fillId="0" borderId="10" xfId="0" applyNumberFormat="1" applyBorder="1" applyAlignment="1">
      <alignment/>
    </xf>
    <xf numFmtId="170" fontId="0" fillId="0" borderId="10" xfId="0" applyNumberFormat="1" applyBorder="1" applyAlignment="1">
      <alignment/>
    </xf>
    <xf numFmtId="44" fontId="0" fillId="0" borderId="0" xfId="0" applyNumberFormat="1" applyAlignment="1">
      <alignment/>
    </xf>
    <xf numFmtId="164" fontId="0" fillId="34" borderId="10" xfId="0" applyNumberFormat="1" applyFill="1" applyBorder="1" applyAlignment="1">
      <alignment/>
    </xf>
    <xf numFmtId="164" fontId="0" fillId="35" borderId="10" xfId="0" applyNumberFormat="1" applyFill="1" applyBorder="1" applyAlignment="1">
      <alignment/>
    </xf>
    <xf numFmtId="169" fontId="0" fillId="0" borderId="0" xfId="0" applyNumberFormat="1" applyAlignment="1">
      <alignment/>
    </xf>
    <xf numFmtId="44" fontId="0" fillId="34" borderId="10" xfId="0" applyNumberFormat="1" applyFill="1" applyBorder="1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72" fontId="0" fillId="0" borderId="12" xfId="0" applyNumberFormat="1" applyBorder="1" applyAlignment="1">
      <alignment/>
    </xf>
    <xf numFmtId="172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right"/>
    </xf>
    <xf numFmtId="172" fontId="2" fillId="0" borderId="15" xfId="0" applyNumberFormat="1" applyFont="1" applyBorder="1" applyAlignment="1">
      <alignment/>
    </xf>
    <xf numFmtId="172" fontId="2" fillId="0" borderId="11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/>
    </xf>
    <xf numFmtId="15" fontId="2" fillId="0" borderId="0" xfId="55" applyNumberFormat="1" applyFont="1" applyAlignment="1">
      <alignment horizontal="center" wrapText="1"/>
      <protection/>
    </xf>
    <xf numFmtId="0" fontId="26" fillId="29" borderId="0" xfId="47" applyAlignment="1">
      <alignment horizontal="center" wrapText="1"/>
    </xf>
    <xf numFmtId="0" fontId="2" fillId="0" borderId="0" xfId="55" applyFont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erv1\finance\Admin_2\Financial%20Statements\YearEnd\2004\loadstats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dmin_2\Statistics%20&amp;%20Data\Load%20Stats\Monthly%20Stats\2004-2006\2004%20Demand%20and%20Consumption%20Stats_Revis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dmin_2\Statistics%20&amp;%20Data\Load%20Stats\Monthly%20Stats\2004-2006\2004-2006_with%20adjusted%20consump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ADSTATS"/>
      <sheetName val="Strtlght"/>
      <sheetName val="NORMALRATES)"/>
    </sheetNames>
    <sheetDataSet>
      <sheetData sheetId="0">
        <row r="5">
          <cell r="X5">
            <v>139820.06</v>
          </cell>
          <cell r="AA5">
            <v>30345.93</v>
          </cell>
        </row>
        <row r="6">
          <cell r="E6">
            <v>354174193.96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and Stats"/>
      <sheetName val="Data"/>
      <sheetName val="Str Light Chart"/>
      <sheetName val="GS&gt;50 Chart"/>
      <sheetName val="GS&gt;1000 Chart"/>
      <sheetName val="Lg User Chart"/>
      <sheetName val="kWh Chart"/>
    </sheetNames>
    <sheetDataSet>
      <sheetData sheetId="0">
        <row r="10">
          <cell r="C10">
            <v>2525.97</v>
          </cell>
          <cell r="D10">
            <v>2525.97</v>
          </cell>
          <cell r="E10">
            <v>2527.5</v>
          </cell>
        </row>
        <row r="11">
          <cell r="C11">
            <v>68988.59</v>
          </cell>
          <cell r="D11">
            <v>67973.62999999999</v>
          </cell>
          <cell r="E11">
            <v>73757.06</v>
          </cell>
          <cell r="F11">
            <v>64793.25000000001</v>
          </cell>
          <cell r="O11">
            <v>756447.78</v>
          </cell>
        </row>
        <row r="12">
          <cell r="C12">
            <v>45595.270000000004</v>
          </cell>
          <cell r="D12">
            <v>40287.53999999999</v>
          </cell>
          <cell r="E12">
            <v>35865.85</v>
          </cell>
          <cell r="F12">
            <v>37337.93</v>
          </cell>
          <cell r="O12">
            <v>510660.62000000005</v>
          </cell>
        </row>
        <row r="13">
          <cell r="C13">
            <v>14101.61</v>
          </cell>
          <cell r="D13">
            <v>13348.29</v>
          </cell>
          <cell r="E13">
            <v>9206.24</v>
          </cell>
          <cell r="F13">
            <v>12426.52</v>
          </cell>
        </row>
        <row r="22">
          <cell r="B22">
            <v>-444139</v>
          </cell>
          <cell r="C22">
            <v>35468066</v>
          </cell>
          <cell r="D22">
            <v>34226472</v>
          </cell>
          <cell r="E22">
            <v>43177016</v>
          </cell>
        </row>
        <row r="23">
          <cell r="C23">
            <v>87128</v>
          </cell>
          <cell r="D23">
            <v>87128</v>
          </cell>
          <cell r="E23">
            <v>87128</v>
          </cell>
          <cell r="O23">
            <v>1046952</v>
          </cell>
        </row>
        <row r="24">
          <cell r="B24">
            <v>-28792</v>
          </cell>
          <cell r="C24">
            <v>13743889</v>
          </cell>
          <cell r="D24">
            <v>13853176.6</v>
          </cell>
          <cell r="E24">
            <v>15409232.1</v>
          </cell>
          <cell r="O24">
            <v>147598437.4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and Stats"/>
      <sheetName val="Data"/>
      <sheetName val="Str Light Chart"/>
      <sheetName val="GS&gt;50 Chart"/>
      <sheetName val="GS&gt;1000 Chart"/>
      <sheetName val="Lg User Chart"/>
      <sheetName val="kWh Chart"/>
    </sheetNames>
    <sheetDataSet>
      <sheetData sheetId="0">
        <row r="10">
          <cell r="C10">
            <v>2525.97</v>
          </cell>
          <cell r="F10">
            <v>2527.01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7"/>
  <sheetViews>
    <sheetView tabSelected="1" view="pageLayout" workbookViewId="0" topLeftCell="A1">
      <selection activeCell="N1" sqref="N1:P1"/>
    </sheetView>
  </sheetViews>
  <sheetFormatPr defaultColWidth="9.140625" defaultRowHeight="12.75"/>
  <cols>
    <col min="3" max="3" width="1.28515625" style="0" customWidth="1"/>
    <col min="4" max="7" width="11.28125" style="0" bestFit="1" customWidth="1"/>
    <col min="8" max="8" width="12.28125" style="0" bestFit="1" customWidth="1"/>
    <col min="9" max="9" width="12.421875" style="0" bestFit="1" customWidth="1"/>
    <col min="10" max="10" width="12.7109375" style="0" bestFit="1" customWidth="1"/>
    <col min="11" max="11" width="13.140625" style="0" customWidth="1"/>
    <col min="12" max="12" width="12.28125" style="0" bestFit="1" customWidth="1"/>
    <col min="13" max="13" width="12.00390625" style="0" bestFit="1" customWidth="1"/>
    <col min="14" max="14" width="14.00390625" style="0" bestFit="1" customWidth="1"/>
    <col min="15" max="15" width="11.28125" style="0" bestFit="1" customWidth="1"/>
    <col min="16" max="16" width="10.421875" style="0" customWidth="1"/>
  </cols>
  <sheetData>
    <row r="1" spans="1:16" ht="12.75">
      <c r="A1" s="1" t="s">
        <v>0</v>
      </c>
      <c r="B1" s="1"/>
      <c r="C1" s="1"/>
      <c r="D1" s="2"/>
      <c r="E1" s="2"/>
      <c r="F1" s="2"/>
      <c r="G1" s="1"/>
      <c r="H1" s="1"/>
      <c r="I1" s="1"/>
      <c r="J1" s="1"/>
      <c r="K1" s="1"/>
      <c r="L1" s="1"/>
      <c r="M1" s="1"/>
      <c r="N1" s="61"/>
      <c r="O1" s="61"/>
      <c r="P1" s="61"/>
    </row>
    <row r="2" spans="1:16" ht="12.75">
      <c r="A2" s="59">
        <v>37621</v>
      </c>
      <c r="B2" s="59"/>
      <c r="C2" s="1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1" t="s">
        <v>1</v>
      </c>
      <c r="B3" s="1"/>
      <c r="C3" s="1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38.25">
      <c r="A4" s="1"/>
      <c r="B4" s="1"/>
      <c r="C4" s="1"/>
      <c r="D4" s="3" t="s">
        <v>2</v>
      </c>
      <c r="E4" s="2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6</v>
      </c>
      <c r="M4" s="3" t="s">
        <v>9</v>
      </c>
      <c r="N4" s="3" t="s">
        <v>7</v>
      </c>
      <c r="O4" s="1"/>
      <c r="P4" s="4" t="s">
        <v>10</v>
      </c>
    </row>
    <row r="5" spans="1:16" ht="51">
      <c r="A5" s="1"/>
      <c r="B5" s="1"/>
      <c r="C5" s="1"/>
      <c r="D5" s="2"/>
      <c r="E5" s="2"/>
      <c r="F5" s="2"/>
      <c r="G5" s="3"/>
      <c r="H5" s="5" t="s">
        <v>11</v>
      </c>
      <c r="I5" s="5" t="s">
        <v>12</v>
      </c>
      <c r="J5" s="5" t="s">
        <v>13</v>
      </c>
      <c r="K5" s="3"/>
      <c r="L5" s="6" t="s">
        <v>14</v>
      </c>
      <c r="M5" s="3"/>
      <c r="N5" s="6" t="s">
        <v>15</v>
      </c>
      <c r="O5" s="1"/>
      <c r="P5" s="4"/>
    </row>
    <row r="6" spans="1:16" ht="12.75">
      <c r="A6" s="1">
        <v>311</v>
      </c>
      <c r="B6" s="7" t="s">
        <v>16</v>
      </c>
      <c r="C6" s="1"/>
      <c r="D6" s="2">
        <v>3007915</v>
      </c>
      <c r="E6" s="2">
        <v>1850408.45</v>
      </c>
      <c r="F6" s="2">
        <v>788652</v>
      </c>
      <c r="G6" s="8">
        <v>10.87607</v>
      </c>
      <c r="H6" s="9">
        <f>($D$6+$F$6)/$G$6*0.4167</f>
        <v>145459.66225851802</v>
      </c>
      <c r="I6" s="9">
        <f>(D6+F6)/G6*1.0047</f>
        <v>350715.9171373483</v>
      </c>
      <c r="J6" s="10">
        <f>(E6/0.011)+57128894</f>
        <v>225347844</v>
      </c>
      <c r="K6" s="11">
        <v>0.00042</v>
      </c>
      <c r="L6" s="9">
        <f>J6*K6</f>
        <v>94646.09448</v>
      </c>
      <c r="M6" s="12">
        <v>0.001012</v>
      </c>
      <c r="N6" s="9">
        <f>J6*M6</f>
        <v>228052.01812800003</v>
      </c>
      <c r="O6" s="1"/>
      <c r="P6" s="10">
        <f>(D6+F6)/G6/8</f>
        <v>43634.40792492141</v>
      </c>
    </row>
    <row r="7" spans="1:16" ht="12.75">
      <c r="A7" s="1">
        <v>312</v>
      </c>
      <c r="B7" s="7" t="s">
        <v>17</v>
      </c>
      <c r="C7" s="1"/>
      <c r="D7" s="2">
        <v>239325</v>
      </c>
      <c r="E7" s="2">
        <v>169229</v>
      </c>
      <c r="F7" s="2">
        <v>34189</v>
      </c>
      <c r="G7" s="8">
        <v>11396.4235</v>
      </c>
      <c r="H7" s="13">
        <f>(D7+F7)/G7*435.9365</f>
        <v>10462.469726664685</v>
      </c>
      <c r="I7" s="13">
        <f>(D7+F7)/G7*1050.9849</f>
        <v>25223.622475823224</v>
      </c>
      <c r="J7" s="10">
        <f>(E7/1.3992)+19719</f>
        <v>140665.9696969697</v>
      </c>
      <c r="K7" s="11">
        <v>0.053614</v>
      </c>
      <c r="L7" s="9">
        <f>J7*K7</f>
        <v>7541.665299333334</v>
      </c>
      <c r="M7" s="12">
        <v>0.129257</v>
      </c>
      <c r="N7" s="9">
        <f>J7*M7</f>
        <v>18182.061245121215</v>
      </c>
      <c r="O7" s="1"/>
      <c r="P7" s="10">
        <f>(D7+F7)/G7/8</f>
        <v>2.999998201190049</v>
      </c>
    </row>
    <row r="8" spans="1:16" ht="12.75">
      <c r="A8" s="1">
        <v>313</v>
      </c>
      <c r="B8" s="7" t="s">
        <v>18</v>
      </c>
      <c r="C8" s="1"/>
      <c r="D8" s="2">
        <v>15038</v>
      </c>
      <c r="E8" s="2">
        <v>11638</v>
      </c>
      <c r="F8" s="2">
        <v>2148</v>
      </c>
      <c r="G8" s="8">
        <v>1.46427</v>
      </c>
      <c r="H8" s="13">
        <f>(D8+F8)/G8*0.0587</f>
        <v>688.9564083126746</v>
      </c>
      <c r="I8" s="13">
        <f>(D8+F8)/G8*0.1416</f>
        <v>1661.9459525907107</v>
      </c>
      <c r="J8" s="10">
        <f>(E8/5.4673)+2489</f>
        <v>4617.6558264591295</v>
      </c>
      <c r="K8" s="11">
        <v>0.1802</v>
      </c>
      <c r="L8" s="9">
        <f>J8*K8</f>
        <v>832.1015799279352</v>
      </c>
      <c r="M8" s="12">
        <v>0.434439</v>
      </c>
      <c r="N8" s="9">
        <f>J8*M8</f>
        <v>2006.0897795910778</v>
      </c>
      <c r="O8" s="1"/>
      <c r="P8" s="10">
        <f>(D8+F8)/G8/8</f>
        <v>1467.1133056062065</v>
      </c>
    </row>
    <row r="9" spans="1:16" ht="12.75">
      <c r="A9" s="1">
        <v>314</v>
      </c>
      <c r="B9" s="7" t="s">
        <v>19</v>
      </c>
      <c r="C9" s="1"/>
      <c r="D9" s="2">
        <v>0</v>
      </c>
      <c r="E9" s="2"/>
      <c r="F9" s="2"/>
      <c r="G9" s="8"/>
      <c r="H9" s="13"/>
      <c r="I9" s="13"/>
      <c r="J9" s="10"/>
      <c r="K9" s="12"/>
      <c r="L9" s="9"/>
      <c r="M9" s="12"/>
      <c r="N9" s="9"/>
      <c r="O9" s="1"/>
      <c r="P9" s="10"/>
    </row>
    <row r="10" spans="1:16" ht="12.75">
      <c r="A10" s="1">
        <v>315</v>
      </c>
      <c r="B10" s="7" t="s">
        <v>20</v>
      </c>
      <c r="C10" s="1"/>
      <c r="D10" s="2">
        <v>585670</v>
      </c>
      <c r="E10" s="2">
        <v>867657.4</v>
      </c>
      <c r="F10" s="2">
        <v>85478</v>
      </c>
      <c r="G10" s="8">
        <v>17.21288</v>
      </c>
      <c r="H10" s="13">
        <f>(D10+F10)/G10*0.6908</f>
        <v>26935.006715901116</v>
      </c>
      <c r="I10" s="13">
        <f>(D10+F10)/G10*1.6654</f>
        <v>64935.66905712467</v>
      </c>
      <c r="J10" s="10">
        <f>(E10/0.0106)+15666497</f>
        <v>97520968.6981132</v>
      </c>
      <c r="K10" s="12">
        <v>0.000393</v>
      </c>
      <c r="L10" s="9">
        <f>J10*K10</f>
        <v>38325.74069835849</v>
      </c>
      <c r="M10" s="12">
        <v>0.000949</v>
      </c>
      <c r="N10" s="9">
        <f>J10*M10</f>
        <v>92547.39929450942</v>
      </c>
      <c r="O10" s="1"/>
      <c r="P10" s="10">
        <f>(D10+F10)/G10/8</f>
        <v>4873.879327573306</v>
      </c>
    </row>
    <row r="11" spans="1:16" ht="12.75">
      <c r="A11" s="1">
        <v>316</v>
      </c>
      <c r="B11" s="7" t="s">
        <v>21</v>
      </c>
      <c r="C11" s="1"/>
      <c r="D11" s="2">
        <v>548772</v>
      </c>
      <c r="E11" s="2">
        <v>368950.29</v>
      </c>
      <c r="F11" s="2">
        <v>85204</v>
      </c>
      <c r="G11" s="8">
        <v>165.38499</v>
      </c>
      <c r="H11" s="13">
        <f>(D11+F11)/G11*5.7832</f>
        <v>22168.940501795234</v>
      </c>
      <c r="I11" s="13">
        <f>(D11+F11)/G11*13.9426</f>
        <v>53446.65061563326</v>
      </c>
      <c r="J11" s="10">
        <f>(E11/0.8035)+68001</f>
        <v>527179.9545737398</v>
      </c>
      <c r="K11" s="14">
        <v>0.03478</v>
      </c>
      <c r="L11" s="9">
        <f>J11*K11</f>
        <v>18335.31882007467</v>
      </c>
      <c r="M11" s="14">
        <v>0.08385</v>
      </c>
      <c r="N11" s="9">
        <f>J11*M11</f>
        <v>44204.03919100808</v>
      </c>
      <c r="O11" s="1"/>
      <c r="P11" s="10">
        <f>(D11+F11)/G11/8</f>
        <v>479.1668216081762</v>
      </c>
    </row>
    <row r="12" spans="1:16" ht="12.75">
      <c r="A12" s="1">
        <v>317</v>
      </c>
      <c r="B12" s="7"/>
      <c r="C12" s="1"/>
      <c r="D12" s="2"/>
      <c r="E12" s="2"/>
      <c r="F12" s="2"/>
      <c r="G12" s="8"/>
      <c r="H12" s="13"/>
      <c r="I12" s="13"/>
      <c r="J12" s="10"/>
      <c r="K12" s="15"/>
      <c r="L12" s="9"/>
      <c r="M12" s="15"/>
      <c r="N12" s="9"/>
      <c r="O12" s="1"/>
      <c r="P12" s="10"/>
    </row>
    <row r="13" spans="1:16" ht="12.75">
      <c r="A13" s="1">
        <v>318</v>
      </c>
      <c r="B13" s="7" t="s">
        <v>22</v>
      </c>
      <c r="C13" s="1"/>
      <c r="D13" s="2">
        <v>187928</v>
      </c>
      <c r="E13" s="2">
        <v>327856</v>
      </c>
      <c r="F13" s="2">
        <v>34102</v>
      </c>
      <c r="G13" s="8">
        <v>1638.90523</v>
      </c>
      <c r="H13" s="13">
        <f>(D13+F13)/G13*59.5402</f>
        <v>8066.183671889313</v>
      </c>
      <c r="I13" s="13">
        <f>(D13+F13)/G13*143.5436</f>
        <v>19446.50912365445</v>
      </c>
      <c r="J13" s="10">
        <f>(E13/1.2387)+42956</f>
        <v>307633.48445951403</v>
      </c>
      <c r="K13" s="14">
        <v>0.051566</v>
      </c>
      <c r="L13" s="9">
        <f>J13*K13</f>
        <v>15863.4282596393</v>
      </c>
      <c r="M13" s="14">
        <v>0.124319</v>
      </c>
      <c r="N13" s="9">
        <f>J13*M13</f>
        <v>38244.687154522326</v>
      </c>
      <c r="O13" s="1"/>
      <c r="P13" s="10">
        <f>(D13+F13)/G13/8</f>
        <v>16.934322675875528</v>
      </c>
    </row>
    <row r="14" spans="1:16" ht="13.5" thickBot="1">
      <c r="A14" s="1"/>
      <c r="B14" s="1"/>
      <c r="C14" s="1"/>
      <c r="D14" s="16">
        <f aca="true" t="shared" si="0" ref="D14:I14">SUM(D6:D13)</f>
        <v>4584648</v>
      </c>
      <c r="E14" s="16">
        <f t="shared" si="0"/>
        <v>3595739.14</v>
      </c>
      <c r="F14" s="16">
        <f t="shared" si="0"/>
        <v>1029773</v>
      </c>
      <c r="G14" s="16"/>
      <c r="H14" s="17">
        <f t="shared" si="0"/>
        <v>213781.219283081</v>
      </c>
      <c r="I14" s="18">
        <f t="shared" si="0"/>
        <v>515430.3143621746</v>
      </c>
      <c r="J14" s="19"/>
      <c r="K14" s="14"/>
      <c r="L14" s="17">
        <f>SUM(L6:L13)</f>
        <v>175544.34913733375</v>
      </c>
      <c r="M14" s="20"/>
      <c r="N14" s="18">
        <f>SUM(N6:N13)</f>
        <v>423236.29479275213</v>
      </c>
      <c r="O14" s="1"/>
      <c r="P14" s="1"/>
    </row>
    <row r="15" spans="9:14" ht="14.25" thickBot="1" thickTop="1">
      <c r="I15" s="21">
        <f>SUM(H14:I14)</f>
        <v>729211.5336452556</v>
      </c>
      <c r="J15" s="21"/>
      <c r="K15" s="21"/>
      <c r="L15" s="21"/>
      <c r="M15" s="21"/>
      <c r="N15" s="21">
        <f>SUM(L14+N14)</f>
        <v>598780.6439300859</v>
      </c>
    </row>
    <row r="16" spans="9:14" ht="13.5" thickBot="1">
      <c r="I16" s="21"/>
      <c r="J16" s="21"/>
      <c r="K16" s="21"/>
      <c r="L16" s="21"/>
      <c r="M16" s="21"/>
      <c r="N16" s="22">
        <f>SUM(I15:N15)</f>
        <v>1327992.1775753414</v>
      </c>
    </row>
    <row r="17" spans="1:14" ht="12.75">
      <c r="A17" s="1" t="s">
        <v>0</v>
      </c>
      <c r="B17" s="1"/>
      <c r="I17" s="21"/>
      <c r="J17" s="21"/>
      <c r="K17" s="21"/>
      <c r="L17" s="21"/>
      <c r="M17" s="21"/>
      <c r="N17" s="21"/>
    </row>
    <row r="18" spans="1:2" s="23" customFormat="1" ht="14.25">
      <c r="A18" s="59">
        <v>37986</v>
      </c>
      <c r="B18" s="59"/>
    </row>
    <row r="19" spans="1:15" ht="59.25" customHeight="1">
      <c r="A19" s="1"/>
      <c r="B19" s="1"/>
      <c r="C19" s="1"/>
      <c r="D19" s="2" t="s">
        <v>23</v>
      </c>
      <c r="E19" s="2" t="s">
        <v>3</v>
      </c>
      <c r="F19" s="24" t="s">
        <v>24</v>
      </c>
      <c r="G19" s="3" t="s">
        <v>5</v>
      </c>
      <c r="H19" s="3" t="s">
        <v>6</v>
      </c>
      <c r="I19" s="3" t="s">
        <v>7</v>
      </c>
      <c r="J19" s="25" t="s">
        <v>25</v>
      </c>
      <c r="K19" s="25" t="s">
        <v>8</v>
      </c>
      <c r="L19" s="3" t="s">
        <v>9</v>
      </c>
      <c r="M19" s="3" t="s">
        <v>6</v>
      </c>
      <c r="N19" s="3" t="s">
        <v>9</v>
      </c>
      <c r="O19" s="3" t="s">
        <v>7</v>
      </c>
    </row>
    <row r="20" spans="1:15" ht="63.75">
      <c r="A20" s="1"/>
      <c r="B20" s="1"/>
      <c r="C20" s="2"/>
      <c r="D20" s="2"/>
      <c r="E20" s="2"/>
      <c r="F20" s="3"/>
      <c r="G20" s="1"/>
      <c r="H20" s="5" t="s">
        <v>27</v>
      </c>
      <c r="I20" s="5" t="s">
        <v>26</v>
      </c>
      <c r="J20" s="5"/>
      <c r="K20" s="5" t="s">
        <v>48</v>
      </c>
      <c r="L20" s="1"/>
      <c r="M20" s="6" t="s">
        <v>14</v>
      </c>
      <c r="N20" s="3"/>
      <c r="O20" s="6" t="s">
        <v>15</v>
      </c>
    </row>
    <row r="21" spans="1:15" ht="12.75">
      <c r="A21" s="1">
        <v>311</v>
      </c>
      <c r="B21" s="7" t="s">
        <v>16</v>
      </c>
      <c r="C21" s="1"/>
      <c r="D21" s="2">
        <v>5716195.82</v>
      </c>
      <c r="E21" s="2">
        <v>3986576.24</v>
      </c>
      <c r="F21" s="26">
        <v>-4842</v>
      </c>
      <c r="G21" s="8">
        <v>10.87607</v>
      </c>
      <c r="H21" s="9">
        <f>(D21+F21)/G21*0.4167</f>
        <v>218821.7928713221</v>
      </c>
      <c r="I21" s="9">
        <f>(D21+F21)/G21*1.0047</f>
        <v>527598.4048423741</v>
      </c>
      <c r="J21" s="26">
        <v>-20489</v>
      </c>
      <c r="K21" s="27">
        <f>((E21+J21)/0.011)</f>
        <v>360553385.4545455</v>
      </c>
      <c r="L21" s="12">
        <v>0.00042</v>
      </c>
      <c r="M21" s="9">
        <f>K21*L21</f>
        <v>151432.4218909091</v>
      </c>
      <c r="N21" s="12">
        <v>0.001012</v>
      </c>
      <c r="O21" s="9">
        <f>K21*N21</f>
        <v>364880.0260800001</v>
      </c>
    </row>
    <row r="22" spans="1:15" ht="12.75">
      <c r="A22" s="1">
        <v>312</v>
      </c>
      <c r="B22" s="7" t="s">
        <v>17</v>
      </c>
      <c r="C22" s="1"/>
      <c r="D22" s="2">
        <v>410271.12</v>
      </c>
      <c r="E22" s="2">
        <v>238924.82</v>
      </c>
      <c r="F22" s="26">
        <v>0</v>
      </c>
      <c r="G22" s="8">
        <v>11396.4235</v>
      </c>
      <c r="H22" s="9">
        <f>(D22+F22)/G22*435.9365</f>
        <v>15693.70918024238</v>
      </c>
      <c r="I22" s="9">
        <f>(D22+F22)/G22*1050.9849</f>
        <v>37835.444780205646</v>
      </c>
      <c r="J22" s="26">
        <v>-4490</v>
      </c>
      <c r="K22" s="27">
        <f>((E22)/1.3992)</f>
        <v>170758.1618067467</v>
      </c>
      <c r="L22" s="12">
        <v>0.053614</v>
      </c>
      <c r="M22" s="9">
        <f>K22*L22</f>
        <v>9155.028087106919</v>
      </c>
      <c r="N22" s="12">
        <v>0.129257</v>
      </c>
      <c r="O22" s="9">
        <f>K22*N22</f>
        <v>22071.68772065466</v>
      </c>
    </row>
    <row r="23" spans="1:15" ht="12.75">
      <c r="A23" s="1">
        <v>313</v>
      </c>
      <c r="B23" s="7" t="s">
        <v>18</v>
      </c>
      <c r="C23" s="1"/>
      <c r="D23" s="2">
        <v>26165.21</v>
      </c>
      <c r="E23" s="2">
        <v>21216.83</v>
      </c>
      <c r="F23" s="26">
        <v>30</v>
      </c>
      <c r="G23" s="8">
        <v>1.46427</v>
      </c>
      <c r="H23" s="9">
        <f>(D23+F23)/G23*0.0587</f>
        <v>1050.1197367971754</v>
      </c>
      <c r="I23" s="9">
        <f>(D23+F23)/G23*0.1416</f>
        <v>2533.1678829724024</v>
      </c>
      <c r="J23" s="26">
        <v>25</v>
      </c>
      <c r="K23" s="27">
        <f>((E23)/5.4673)</f>
        <v>3880.6778482980635</v>
      </c>
      <c r="L23" s="12">
        <v>0.1802</v>
      </c>
      <c r="M23" s="9">
        <f>K23*L23</f>
        <v>699.2981482633111</v>
      </c>
      <c r="N23" s="12">
        <v>0.434439</v>
      </c>
      <c r="O23" s="9">
        <f>K23*N23</f>
        <v>1685.9178037367624</v>
      </c>
    </row>
    <row r="24" spans="1:15" ht="12.75">
      <c r="A24" s="1">
        <v>314</v>
      </c>
      <c r="B24" s="7" t="s">
        <v>19</v>
      </c>
      <c r="C24" s="1"/>
      <c r="D24" s="2">
        <v>0</v>
      </c>
      <c r="E24" s="2"/>
      <c r="F24" s="26"/>
      <c r="G24" s="8"/>
      <c r="H24" s="9"/>
      <c r="I24" s="9"/>
      <c r="J24" s="26"/>
      <c r="K24" s="27"/>
      <c r="L24" s="12"/>
      <c r="M24" s="9"/>
      <c r="N24" s="12"/>
      <c r="O24" s="9"/>
    </row>
    <row r="25" spans="1:15" ht="12.75">
      <c r="A25" s="1">
        <v>315</v>
      </c>
      <c r="B25" s="7" t="s">
        <v>20</v>
      </c>
      <c r="C25" s="1"/>
      <c r="D25" s="2">
        <v>1011735.42</v>
      </c>
      <c r="E25" s="2">
        <v>1573421.196</v>
      </c>
      <c r="F25" s="26">
        <v>-3682</v>
      </c>
      <c r="G25" s="8">
        <v>17.21288</v>
      </c>
      <c r="H25" s="9">
        <f>(D25+F25)/G25*0.6908</f>
        <v>40455.943603627056</v>
      </c>
      <c r="I25" s="9">
        <f>(D25+F25)/G25*1.6654</f>
        <v>97532.32263676969</v>
      </c>
      <c r="J25" s="26">
        <v>-10026</v>
      </c>
      <c r="K25" s="27">
        <f>((E25)/0.0106)</f>
        <v>148435961.88679245</v>
      </c>
      <c r="L25" s="12">
        <v>0.000393</v>
      </c>
      <c r="M25" s="9">
        <f>K25*L25</f>
        <v>58335.33302150943</v>
      </c>
      <c r="N25" s="12">
        <v>0.000949</v>
      </c>
      <c r="O25" s="9">
        <f>K25*N25</f>
        <v>140865.72783056603</v>
      </c>
    </row>
    <row r="26" spans="1:15" ht="12.75">
      <c r="A26" s="1">
        <v>316</v>
      </c>
      <c r="B26" s="7" t="s">
        <v>21</v>
      </c>
      <c r="C26" s="1"/>
      <c r="D26" s="2">
        <v>987867.72</v>
      </c>
      <c r="E26" s="2">
        <v>646208.31</v>
      </c>
      <c r="F26" s="26">
        <v>2883</v>
      </c>
      <c r="G26" s="8">
        <v>165.38499</v>
      </c>
      <c r="H26" s="9">
        <f>(D26+F26)/G26*5.7832</f>
        <v>34644.67702845343</v>
      </c>
      <c r="I26" s="9">
        <f>(D26+F26)/G26*13.9426</f>
        <v>83524.15166982204</v>
      </c>
      <c r="J26" s="26">
        <v>1344</v>
      </c>
      <c r="K26" s="27">
        <f>((E26)/0.8035)</f>
        <v>804241.8294959553</v>
      </c>
      <c r="L26" s="14">
        <v>0.03478</v>
      </c>
      <c r="M26" s="9">
        <f>K26*L26</f>
        <v>27971.530829869323</v>
      </c>
      <c r="N26" s="14">
        <v>0.08385</v>
      </c>
      <c r="O26" s="9">
        <f>K26*N26</f>
        <v>67435.67740323584</v>
      </c>
    </row>
    <row r="27" spans="1:15" ht="12.75">
      <c r="A27" s="1">
        <v>317</v>
      </c>
      <c r="B27" s="7"/>
      <c r="C27" s="1"/>
      <c r="D27" s="2"/>
      <c r="E27" s="2"/>
      <c r="F27" s="26">
        <v>0</v>
      </c>
      <c r="G27" s="8"/>
      <c r="H27" s="9"/>
      <c r="I27" s="9"/>
      <c r="J27" s="26"/>
      <c r="K27" s="27"/>
      <c r="L27" s="15"/>
      <c r="M27" s="9"/>
      <c r="N27" s="15"/>
      <c r="O27" s="9"/>
    </row>
    <row r="28" spans="1:15" ht="12.75">
      <c r="A28" s="1">
        <v>318</v>
      </c>
      <c r="B28" s="7" t="s">
        <v>22</v>
      </c>
      <c r="C28" s="1"/>
      <c r="D28" s="2">
        <v>393393.03</v>
      </c>
      <c r="E28" s="2">
        <v>586503.02</v>
      </c>
      <c r="F28" s="26">
        <v>-1</v>
      </c>
      <c r="G28" s="8">
        <v>1638.90523</v>
      </c>
      <c r="H28" s="9">
        <f>(D28+F28)/G28*59.5402</f>
        <v>14291.637927475525</v>
      </c>
      <c r="I28" s="9">
        <f>(D28+F28)/G28*143.5436</f>
        <v>34455.26145371322</v>
      </c>
      <c r="J28" s="26">
        <v>3997</v>
      </c>
      <c r="K28" s="27">
        <f>((E28)/1.2387)</f>
        <v>473482.69960442407</v>
      </c>
      <c r="L28" s="14">
        <v>0.051566</v>
      </c>
      <c r="M28" s="9">
        <f>K28*L28</f>
        <v>24415.608887801733</v>
      </c>
      <c r="N28" s="14">
        <v>0.124319</v>
      </c>
      <c r="O28" s="9">
        <f>K28*N28</f>
        <v>58862.89573212239</v>
      </c>
    </row>
    <row r="29" spans="1:15" ht="13.5" thickBot="1">
      <c r="A29" s="1"/>
      <c r="B29" s="1"/>
      <c r="C29" s="1"/>
      <c r="D29" s="16">
        <f>SUM(D21:D28)</f>
        <v>8545628.32</v>
      </c>
      <c r="E29" s="16">
        <f>SUM(E21:E28)</f>
        <v>7052850.416000001</v>
      </c>
      <c r="F29" s="28">
        <f>SUM(F21:F28)</f>
        <v>-5612</v>
      </c>
      <c r="G29" s="8"/>
      <c r="H29" s="17">
        <f>SUM(H21:H28)</f>
        <v>324957.8803479177</v>
      </c>
      <c r="I29" s="18">
        <f>SUM(I21:I28)</f>
        <v>783478.7532658571</v>
      </c>
      <c r="J29" s="28">
        <f>SUM(J21:J28)</f>
        <v>-29639</v>
      </c>
      <c r="K29" s="19"/>
      <c r="L29" s="14"/>
      <c r="M29" s="17">
        <f>SUM(M21:M28)</f>
        <v>272009.2208654598</v>
      </c>
      <c r="N29" s="20"/>
      <c r="O29" s="18">
        <f>SUM(O21:O28)</f>
        <v>655801.9325703157</v>
      </c>
    </row>
    <row r="30" spans="1:7" ht="13.5" thickTop="1">
      <c r="A30" s="1"/>
      <c r="B30" s="1"/>
      <c r="C30" s="1"/>
      <c r="D30" s="2"/>
      <c r="E30" s="2"/>
      <c r="F30" s="2"/>
      <c r="G30" s="8"/>
    </row>
    <row r="31" spans="1:15" ht="13.5" thickBot="1">
      <c r="A31" s="2"/>
      <c r="B31" s="2"/>
      <c r="C31" s="2"/>
      <c r="I31" s="21">
        <f>SUM(H29:I29)</f>
        <v>1108436.6336137748</v>
      </c>
      <c r="J31" s="21"/>
      <c r="K31" s="21"/>
      <c r="L31" s="21"/>
      <c r="M31" s="21"/>
      <c r="N31" s="21"/>
      <c r="O31" s="21">
        <f>SUM(M29:O29)</f>
        <v>927811.1534357755</v>
      </c>
    </row>
    <row r="32" spans="1:15" ht="13.5" thickBot="1">
      <c r="A32" s="2"/>
      <c r="B32" s="2"/>
      <c r="C32" s="2"/>
      <c r="I32" s="21"/>
      <c r="J32" s="21"/>
      <c r="K32" s="21"/>
      <c r="L32" s="21"/>
      <c r="M32" s="21"/>
      <c r="N32" s="21"/>
      <c r="O32" s="22">
        <f>I31+O31</f>
        <v>2036247.7870495503</v>
      </c>
    </row>
    <row r="33" spans="1:15" ht="12.75">
      <c r="A33" s="2"/>
      <c r="B33" s="2"/>
      <c r="C33" s="2"/>
      <c r="I33" s="21"/>
      <c r="J33" s="21"/>
      <c r="K33" s="21"/>
      <c r="L33" s="21"/>
      <c r="M33" s="21"/>
      <c r="N33" s="21"/>
      <c r="O33" s="21"/>
    </row>
    <row r="34" spans="1:15" ht="12.75">
      <c r="A34" s="2"/>
      <c r="B34" s="2"/>
      <c r="C34" s="2"/>
      <c r="I34" s="21"/>
      <c r="J34" s="21"/>
      <c r="K34" s="21"/>
      <c r="L34" s="21"/>
      <c r="M34" s="21"/>
      <c r="N34" s="21"/>
      <c r="O34" s="21"/>
    </row>
    <row r="35" spans="1:15" ht="12.75">
      <c r="A35" s="2"/>
      <c r="B35" s="2"/>
      <c r="C35" s="2"/>
      <c r="I35" s="21"/>
      <c r="J35" s="21"/>
      <c r="K35" s="21"/>
      <c r="L35" s="21"/>
      <c r="M35" s="21"/>
      <c r="N35" s="21"/>
      <c r="O35" s="21"/>
    </row>
    <row r="36" spans="1:15" ht="12.75">
      <c r="A36" s="2"/>
      <c r="B36" s="2"/>
      <c r="C36" s="2"/>
      <c r="I36" s="21"/>
      <c r="J36" s="21"/>
      <c r="K36" s="21"/>
      <c r="L36" s="21"/>
      <c r="M36" s="21"/>
      <c r="N36" s="21"/>
      <c r="O36" s="21"/>
    </row>
    <row r="37" spans="1:15" ht="12.75">
      <c r="A37" s="2"/>
      <c r="B37" s="2"/>
      <c r="C37" s="2"/>
      <c r="I37" s="21"/>
      <c r="J37" s="21"/>
      <c r="K37" s="21"/>
      <c r="L37" s="21"/>
      <c r="M37" s="21"/>
      <c r="N37" s="21"/>
      <c r="O37" s="21"/>
    </row>
    <row r="38" spans="1:15" ht="12.75">
      <c r="A38" s="2"/>
      <c r="B38" s="2"/>
      <c r="C38" s="2"/>
      <c r="I38" s="21"/>
      <c r="J38" s="21"/>
      <c r="K38" s="21"/>
      <c r="L38" s="21"/>
      <c r="M38" s="21"/>
      <c r="N38" s="21"/>
      <c r="O38" s="21"/>
    </row>
    <row r="39" spans="1:15" ht="12.75">
      <c r="A39" s="2"/>
      <c r="B39" s="2"/>
      <c r="C39" s="2"/>
      <c r="I39" s="21"/>
      <c r="J39" s="21"/>
      <c r="K39" s="21"/>
      <c r="L39" s="21"/>
      <c r="M39" s="21"/>
      <c r="N39" s="21"/>
      <c r="O39" s="21"/>
    </row>
    <row r="40" spans="1:14" ht="12.75">
      <c r="A40" s="1"/>
      <c r="B40" s="1"/>
      <c r="C40" s="1"/>
      <c r="I40" s="21"/>
      <c r="J40" s="21"/>
      <c r="K40" s="21"/>
      <c r="L40" s="21"/>
      <c r="M40" s="21"/>
      <c r="N40" s="21"/>
    </row>
    <row r="41" spans="1:15" ht="12.75">
      <c r="A41" s="1" t="s">
        <v>0</v>
      </c>
      <c r="B41" s="1"/>
      <c r="C41" s="1"/>
      <c r="I41" s="21"/>
      <c r="J41" s="21"/>
      <c r="K41" s="21"/>
      <c r="L41" s="21"/>
      <c r="M41" s="21"/>
      <c r="N41" s="21"/>
      <c r="O41" s="21"/>
    </row>
    <row r="42" spans="1:15" ht="12.75">
      <c r="A42" s="59">
        <v>38107</v>
      </c>
      <c r="B42" s="59"/>
      <c r="C42" s="1"/>
      <c r="I42" s="21"/>
      <c r="J42" s="21"/>
      <c r="K42" s="21"/>
      <c r="L42" s="21"/>
      <c r="M42" s="21"/>
      <c r="N42" s="21"/>
      <c r="O42" s="21"/>
    </row>
    <row r="43" spans="1:14" ht="51.75">
      <c r="A43" s="29"/>
      <c r="D43" s="30"/>
      <c r="E43" s="30"/>
      <c r="F43" s="31"/>
      <c r="H43" s="25" t="s">
        <v>28</v>
      </c>
      <c r="I43" s="25" t="s">
        <v>28</v>
      </c>
      <c r="J43" s="32" t="s">
        <v>29</v>
      </c>
      <c r="L43" s="60" t="s">
        <v>30</v>
      </c>
      <c r="M43" s="60"/>
      <c r="N43" s="60"/>
    </row>
    <row r="44" spans="4:14" ht="60">
      <c r="D44" s="30" t="s">
        <v>31</v>
      </c>
      <c r="E44" s="30" t="s">
        <v>32</v>
      </c>
      <c r="F44" s="24" t="s">
        <v>33</v>
      </c>
      <c r="G44" s="32" t="s">
        <v>5</v>
      </c>
      <c r="H44" s="32" t="s">
        <v>6</v>
      </c>
      <c r="I44" s="32" t="s">
        <v>34</v>
      </c>
      <c r="J44" s="32" t="s">
        <v>8</v>
      </c>
      <c r="K44" s="32" t="s">
        <v>35</v>
      </c>
      <c r="L44" s="32" t="s">
        <v>6</v>
      </c>
      <c r="M44" s="33" t="s">
        <v>9</v>
      </c>
      <c r="N44" s="33" t="s">
        <v>34</v>
      </c>
    </row>
    <row r="45" spans="1:14" ht="12.75">
      <c r="A45">
        <v>311</v>
      </c>
      <c r="B45" s="34" t="s">
        <v>16</v>
      </c>
      <c r="D45" s="31">
        <v>5693342.91</v>
      </c>
      <c r="E45" s="31">
        <v>3853308.61</v>
      </c>
      <c r="F45" s="35">
        <v>30530</v>
      </c>
      <c r="G45" s="8">
        <v>10.87607</v>
      </c>
      <c r="H45" s="21">
        <f>($D$45+$F$45)/$G$45*0.4167*3/12</f>
        <v>54825.36066789291</v>
      </c>
      <c r="I45" s="21">
        <f>(D45+F45)/G45*1.0047*3/12</f>
        <v>132188.7205736309</v>
      </c>
      <c r="J45" s="36">
        <f>'[1]LOADSTATS'!$E$6</f>
        <v>354174193.96</v>
      </c>
      <c r="K45" s="37">
        <v>0.00042</v>
      </c>
      <c r="L45" s="21">
        <f>J61*K45</f>
        <v>48936.15804</v>
      </c>
      <c r="M45" s="37">
        <v>0.001012</v>
      </c>
      <c r="N45" s="21">
        <f>J61*M45</f>
        <v>117912.83794400001</v>
      </c>
    </row>
    <row r="46" spans="1:14" ht="12.75">
      <c r="A46">
        <v>312</v>
      </c>
      <c r="B46" s="34" t="s">
        <v>17</v>
      </c>
      <c r="D46" s="31">
        <v>410271.12</v>
      </c>
      <c r="E46" s="31">
        <v>122097.26</v>
      </c>
      <c r="F46" s="35">
        <v>0</v>
      </c>
      <c r="G46" s="8">
        <v>11396.4235</v>
      </c>
      <c r="H46" s="21">
        <f>(D46+F46)/G46*435.9365*3/12</f>
        <v>3923.427295060595</v>
      </c>
      <c r="I46" s="21">
        <f>(D46+F46)/G46*1050.9849*3/12</f>
        <v>9458.861195051411</v>
      </c>
      <c r="J46" s="36">
        <f>'[1]LOADSTATS'!$X$5</f>
        <v>139820.06</v>
      </c>
      <c r="K46" s="37">
        <v>0.053614</v>
      </c>
      <c r="L46" s="21">
        <f>J68*K46</f>
        <v>1875.4740147000002</v>
      </c>
      <c r="M46" s="37">
        <v>0.129257</v>
      </c>
      <c r="N46" s="21">
        <f>J68*M46</f>
        <v>4521.545579850001</v>
      </c>
    </row>
    <row r="47" spans="1:14" ht="12.75">
      <c r="A47">
        <v>313</v>
      </c>
      <c r="B47" s="34" t="s">
        <v>18</v>
      </c>
      <c r="D47" s="31">
        <v>26188.5</v>
      </c>
      <c r="E47" s="31">
        <v>18146.68</v>
      </c>
      <c r="F47" s="35">
        <v>5</v>
      </c>
      <c r="G47" s="8">
        <v>1.46427</v>
      </c>
      <c r="H47" s="21">
        <f>(D47+F47)/G47*0.0587*3/12</f>
        <v>262.5127964787915</v>
      </c>
      <c r="I47" s="21">
        <f>(D47+F47)/G47*0.1416*3/12</f>
        <v>633.2506300067611</v>
      </c>
      <c r="J47" s="36">
        <f>'[1]LOADSTATS'!$AA$5</f>
        <v>30345.93</v>
      </c>
      <c r="K47" s="37">
        <v>0.1802</v>
      </c>
      <c r="L47" s="21">
        <f>J75*K47</f>
        <v>1366.0024959999998</v>
      </c>
      <c r="M47" s="37">
        <v>0.434439</v>
      </c>
      <c r="N47" s="21">
        <f>J75*M47</f>
        <v>3293.25615072</v>
      </c>
    </row>
    <row r="48" spans="1:14" ht="12.75">
      <c r="A48">
        <v>314</v>
      </c>
      <c r="B48" s="34" t="s">
        <v>19</v>
      </c>
      <c r="D48" s="31">
        <v>0</v>
      </c>
      <c r="E48" s="31"/>
      <c r="F48" s="35"/>
      <c r="G48" s="8"/>
      <c r="H48" s="21"/>
      <c r="I48" s="21"/>
      <c r="J48" s="36"/>
      <c r="K48" s="37"/>
      <c r="L48" s="21"/>
      <c r="M48" s="37"/>
      <c r="N48" s="21">
        <f>J48*M48*28.27%</f>
        <v>0</v>
      </c>
    </row>
    <row r="49" spans="1:14" ht="12.75">
      <c r="A49">
        <v>315</v>
      </c>
      <c r="B49" s="34" t="s">
        <v>20</v>
      </c>
      <c r="D49" s="31">
        <v>1010870.7</v>
      </c>
      <c r="E49" s="31">
        <v>1540987.36</v>
      </c>
      <c r="F49" s="35">
        <v>4681</v>
      </c>
      <c r="G49" s="8">
        <v>17.21288</v>
      </c>
      <c r="H49" s="21">
        <f>(D49+F49)/G49*0.6908*3/12</f>
        <v>10189.2175272238</v>
      </c>
      <c r="I49" s="21">
        <f>(D49+F49)/G49*1.6654*3/12</f>
        <v>24564.451172319797</v>
      </c>
      <c r="J49" s="36">
        <f>'[2]Demand Stats'!$O$23+'[2]Demand Stats'!$O$24</f>
        <v>148645389.4</v>
      </c>
      <c r="K49" s="37">
        <v>0.000393</v>
      </c>
      <c r="L49" s="21">
        <f>M61*K49</f>
        <v>16919.710589100003</v>
      </c>
      <c r="M49" s="37">
        <v>0.000949</v>
      </c>
      <c r="N49" s="21">
        <f>M61*M49</f>
        <v>40857.0110663</v>
      </c>
    </row>
    <row r="50" spans="1:14" ht="12.75">
      <c r="A50">
        <v>316</v>
      </c>
      <c r="B50" s="34" t="s">
        <v>21</v>
      </c>
      <c r="D50" s="31">
        <v>930891.17</v>
      </c>
      <c r="E50" s="31">
        <v>515047.13</v>
      </c>
      <c r="F50" s="35">
        <v>-6318</v>
      </c>
      <c r="G50" s="8">
        <v>165.38499</v>
      </c>
      <c r="H50" s="21">
        <f>(D50+F50)/G50*5.7832*3/12</f>
        <v>8082.643347416232</v>
      </c>
      <c r="I50" s="21">
        <f>(D50+F50)/G50*13.9426*3/12</f>
        <v>19486.2814939282</v>
      </c>
      <c r="J50" s="36">
        <f>'[2]Demand Stats'!$O$11</f>
        <v>756447.78</v>
      </c>
      <c r="K50" s="38">
        <v>0.03478</v>
      </c>
      <c r="L50" s="21">
        <f>M68*K50</f>
        <v>7182.9026331999985</v>
      </c>
      <c r="M50" s="38">
        <v>0.08385</v>
      </c>
      <c r="N50" s="21">
        <f>M68*M50</f>
        <v>17317.032368999997</v>
      </c>
    </row>
    <row r="51" spans="1:14" ht="12.75">
      <c r="A51">
        <v>317</v>
      </c>
      <c r="B51" s="34"/>
      <c r="D51" s="31"/>
      <c r="E51" s="31"/>
      <c r="F51" s="35"/>
      <c r="G51" s="8"/>
      <c r="H51" s="21"/>
      <c r="I51" s="21"/>
      <c r="J51" s="36"/>
      <c r="K51" s="39"/>
      <c r="L51" s="21"/>
      <c r="M51" s="39"/>
      <c r="N51" s="21">
        <f>J51*M51*3/12</f>
        <v>0</v>
      </c>
    </row>
    <row r="52" spans="1:14" ht="12.75">
      <c r="A52">
        <v>318</v>
      </c>
      <c r="B52" s="34" t="s">
        <v>22</v>
      </c>
      <c r="D52" s="31">
        <v>393338.4</v>
      </c>
      <c r="E52" s="31">
        <v>316299.01</v>
      </c>
      <c r="F52" s="35">
        <v>0</v>
      </c>
      <c r="G52" s="8">
        <v>1638.90523</v>
      </c>
      <c r="H52" s="21">
        <f>(D52+F52)/G52*59.5402*3/12</f>
        <v>3572.4223974317297</v>
      </c>
      <c r="I52" s="21">
        <f>(D52+F52)/G52*143.5436*3/12</f>
        <v>8612.641066841918</v>
      </c>
      <c r="J52" s="36">
        <f>'[2]Demand Stats'!$O$12</f>
        <v>510660.62000000005</v>
      </c>
      <c r="K52" s="38">
        <v>0.051566</v>
      </c>
      <c r="L52" s="21">
        <f>M75*K52</f>
        <v>5852.293407120001</v>
      </c>
      <c r="M52" s="38">
        <v>0.12432</v>
      </c>
      <c r="N52" s="21">
        <f>M75*M52</f>
        <v>14109.2409024</v>
      </c>
    </row>
    <row r="53" spans="4:14" ht="13.5" thickBot="1">
      <c r="D53" s="40">
        <f>SUM(D45:D52)</f>
        <v>8464902.8</v>
      </c>
      <c r="E53" s="40">
        <f>SUM(E45:E52)</f>
        <v>6365886.05</v>
      </c>
      <c r="F53" s="41">
        <f>SUM(F45:F52)</f>
        <v>28898</v>
      </c>
      <c r="G53" s="42"/>
      <c r="H53" s="43">
        <f>SUM(H45:H52)</f>
        <v>80855.58403150406</v>
      </c>
      <c r="I53" s="44">
        <f>SUM(I45:I52)</f>
        <v>194944.20613177898</v>
      </c>
      <c r="J53" s="45"/>
      <c r="K53" s="38"/>
      <c r="L53" s="43">
        <f>SUM(L45:L52)</f>
        <v>82132.54118012</v>
      </c>
      <c r="M53" s="46"/>
      <c r="N53" s="44">
        <f>SUM(N45:N52)</f>
        <v>198010.92401227</v>
      </c>
    </row>
    <row r="54" spans="4:14" ht="14.25" thickBot="1" thickTop="1">
      <c r="D54" s="31"/>
      <c r="E54" s="31"/>
      <c r="F54" s="31"/>
      <c r="G54" s="42"/>
      <c r="I54" s="21">
        <f>SUM(H53:I53)</f>
        <v>275799.790163283</v>
      </c>
      <c r="N54" s="21">
        <f>SUM(L53:N53)</f>
        <v>280143.46519239</v>
      </c>
    </row>
    <row r="55" spans="4:14" ht="13.5" thickBot="1">
      <c r="D55" s="31"/>
      <c r="E55" s="31"/>
      <c r="F55" s="31"/>
      <c r="G55" s="42"/>
      <c r="N55" s="22">
        <f>SUM(I54:N54)</f>
        <v>555943.255355673</v>
      </c>
    </row>
    <row r="56" spans="4:13" ht="12.75">
      <c r="D56" s="31"/>
      <c r="E56" s="31"/>
      <c r="F56" s="31"/>
      <c r="J56" s="47" t="s">
        <v>16</v>
      </c>
      <c r="M56" s="48" t="s">
        <v>36</v>
      </c>
    </row>
    <row r="57" spans="4:13" ht="13.5" thickBot="1">
      <c r="D57" s="31"/>
      <c r="E57" s="31"/>
      <c r="F57" s="31"/>
      <c r="I57" s="49" t="s">
        <v>37</v>
      </c>
      <c r="J57" s="50">
        <f>J45*3/12</f>
        <v>88543548.49</v>
      </c>
      <c r="M57" s="50">
        <f>J49*3/12</f>
        <v>37161347.35</v>
      </c>
    </row>
    <row r="58" spans="4:13" ht="12.75">
      <c r="D58" s="31"/>
      <c r="E58" s="31"/>
      <c r="F58" s="31"/>
      <c r="I58" s="49" t="s">
        <v>38</v>
      </c>
      <c r="J58" s="51">
        <f>SUM('[2]Demand Stats'!$B$22:$E$22)</f>
        <v>112427415</v>
      </c>
      <c r="M58" s="51">
        <f>SUM('[2]Demand Stats'!$B$23:$E$24)</f>
        <v>43238889.7</v>
      </c>
    </row>
    <row r="59" spans="4:13" ht="12.75">
      <c r="D59" s="31"/>
      <c r="E59" s="31"/>
      <c r="F59" s="31"/>
      <c r="I59" s="49" t="s">
        <v>39</v>
      </c>
      <c r="J59" s="51">
        <v>-55453650</v>
      </c>
      <c r="M59" s="51">
        <f>-14759461</f>
        <v>-14759461</v>
      </c>
    </row>
    <row r="60" spans="4:13" ht="13.5" thickBot="1">
      <c r="D60" s="31"/>
      <c r="E60" s="31"/>
      <c r="F60" s="31"/>
      <c r="I60" s="52" t="s">
        <v>40</v>
      </c>
      <c r="J60" s="51">
        <v>59540897</v>
      </c>
      <c r="K60" s="51"/>
      <c r="M60" s="51">
        <v>14573270</v>
      </c>
    </row>
    <row r="61" spans="4:13" ht="13.5" thickBot="1">
      <c r="D61" s="31"/>
      <c r="E61" s="31"/>
      <c r="F61" s="31"/>
      <c r="H61" s="53"/>
      <c r="I61" s="54" t="s">
        <v>41</v>
      </c>
      <c r="J61" s="55">
        <f>SUM(J58:J60)</f>
        <v>116514662</v>
      </c>
      <c r="M61" s="55">
        <f>SUM(M58:M60)</f>
        <v>43052698.7</v>
      </c>
    </row>
    <row r="62" spans="4:10" ht="12.75">
      <c r="D62" s="31"/>
      <c r="E62" s="31"/>
      <c r="F62" s="31"/>
      <c r="I62" s="49"/>
      <c r="J62" s="51"/>
    </row>
    <row r="63" spans="4:13" ht="12.75">
      <c r="D63" s="31"/>
      <c r="E63" s="31"/>
      <c r="F63" s="31"/>
      <c r="J63" s="48" t="s">
        <v>17</v>
      </c>
      <c r="M63" s="47" t="s">
        <v>42</v>
      </c>
    </row>
    <row r="64" spans="4:13" ht="13.5" thickBot="1">
      <c r="D64" s="31"/>
      <c r="E64" s="31"/>
      <c r="F64" s="31"/>
      <c r="I64" s="49" t="s">
        <v>37</v>
      </c>
      <c r="J64" s="50">
        <f>J46*3/12</f>
        <v>34955.015</v>
      </c>
      <c r="K64" s="51"/>
      <c r="M64" s="50">
        <f>J50/12*3</f>
        <v>189111.945</v>
      </c>
    </row>
    <row r="65" spans="4:13" ht="12.75">
      <c r="D65" s="31"/>
      <c r="E65" s="31"/>
      <c r="F65" s="31"/>
      <c r="I65" s="49" t="s">
        <v>38</v>
      </c>
      <c r="J65" s="51">
        <f>SUM('[2]Demand Stats'!$C$13:$E$13)</f>
        <v>36656.14</v>
      </c>
      <c r="M65" s="51">
        <f>SUM('[2]Demand Stats'!$B$11:$E$11)</f>
        <v>210719.27999999997</v>
      </c>
    </row>
    <row r="66" spans="4:13" ht="12.75">
      <c r="D66" s="31"/>
      <c r="E66" s="31"/>
      <c r="F66" s="31"/>
      <c r="I66" s="49" t="s">
        <v>39</v>
      </c>
      <c r="J66" s="51">
        <f>-'[2]Demand Stats'!$C$13</f>
        <v>-14101.61</v>
      </c>
      <c r="M66" s="51">
        <f>-'[2]Demand Stats'!$C$11</f>
        <v>-68988.59</v>
      </c>
    </row>
    <row r="67" spans="4:13" ht="13.5" thickBot="1">
      <c r="D67" s="31"/>
      <c r="E67" s="31"/>
      <c r="F67" s="31"/>
      <c r="I67" s="52" t="s">
        <v>43</v>
      </c>
      <c r="J67" s="51">
        <f>'[2]Demand Stats'!$F$13</f>
        <v>12426.52</v>
      </c>
      <c r="M67" s="51">
        <f>'[2]Demand Stats'!$F$11</f>
        <v>64793.25000000001</v>
      </c>
    </row>
    <row r="68" spans="4:13" ht="13.5" thickBot="1">
      <c r="D68" s="31"/>
      <c r="E68" s="31"/>
      <c r="F68" s="31"/>
      <c r="H68" s="53"/>
      <c r="I68" s="54" t="s">
        <v>41</v>
      </c>
      <c r="J68" s="55">
        <f>SUM(J65:J67)</f>
        <v>34981.05</v>
      </c>
      <c r="M68" s="56">
        <f>SUM(M65:M67)</f>
        <v>206523.93999999997</v>
      </c>
    </row>
    <row r="69" spans="4:6" ht="12.75">
      <c r="D69" s="31"/>
      <c r="E69" s="31"/>
      <c r="F69" s="31"/>
    </row>
    <row r="70" spans="4:13" ht="12.75">
      <c r="D70" s="31"/>
      <c r="E70" s="31"/>
      <c r="F70" s="31"/>
      <c r="J70" s="48" t="s">
        <v>44</v>
      </c>
      <c r="M70" s="47" t="s">
        <v>45</v>
      </c>
    </row>
    <row r="71" spans="4:13" ht="13.5" thickBot="1">
      <c r="D71" s="31"/>
      <c r="E71" s="31"/>
      <c r="F71" s="31"/>
      <c r="I71" s="49" t="s">
        <v>46</v>
      </c>
      <c r="J71" s="50">
        <f>J47*3/12</f>
        <v>7586.482500000001</v>
      </c>
      <c r="M71" s="50">
        <f>J52/12*3</f>
        <v>127665.15500000003</v>
      </c>
    </row>
    <row r="72" spans="4:13" ht="12.75">
      <c r="D72" s="31"/>
      <c r="E72" s="31"/>
      <c r="F72" s="31"/>
      <c r="I72" s="49" t="s">
        <v>38</v>
      </c>
      <c r="J72" s="57">
        <f>SUM('[2]Demand Stats'!$C$10:$E$10)</f>
        <v>7579.44</v>
      </c>
      <c r="M72" s="51">
        <f>SUM('[2]Demand Stats'!$C$12:$E$12)</f>
        <v>121748.66</v>
      </c>
    </row>
    <row r="73" spans="4:13" ht="12.75">
      <c r="D73" s="31"/>
      <c r="E73" s="31"/>
      <c r="F73" s="31"/>
      <c r="I73" s="49" t="s">
        <v>39</v>
      </c>
      <c r="J73" s="51">
        <f>-'[3]Demand Stats'!$C$10</f>
        <v>-2525.97</v>
      </c>
      <c r="M73" s="51">
        <f>-'[2]Demand Stats'!$C$12</f>
        <v>-45595.270000000004</v>
      </c>
    </row>
    <row r="74" spans="4:13" ht="13.5" thickBot="1">
      <c r="D74" s="31"/>
      <c r="E74" s="31"/>
      <c r="F74" s="31"/>
      <c r="I74" s="52" t="s">
        <v>43</v>
      </c>
      <c r="J74" s="51">
        <f>'[3]Demand Stats'!$F$10</f>
        <v>2527.01</v>
      </c>
      <c r="M74" s="51">
        <f>'[2]Demand Stats'!$F$12</f>
        <v>37337.93</v>
      </c>
    </row>
    <row r="75" spans="4:13" ht="13.5" thickBot="1">
      <c r="D75" s="31"/>
      <c r="E75" s="31"/>
      <c r="F75" s="31"/>
      <c r="H75" s="53"/>
      <c r="I75" s="54" t="s">
        <v>41</v>
      </c>
      <c r="J75" s="55">
        <f>SUM(J72:J74)</f>
        <v>7580.48</v>
      </c>
      <c r="M75" s="56">
        <f>SUM(M72:M74)</f>
        <v>113491.32</v>
      </c>
    </row>
    <row r="76" spans="4:6" ht="12.75">
      <c r="D76" s="31"/>
      <c r="E76" s="31"/>
      <c r="F76" s="31"/>
    </row>
    <row r="77" spans="4:8" ht="12.75">
      <c r="D77" s="31"/>
      <c r="E77" s="31"/>
      <c r="F77" s="31"/>
      <c r="H77" s="58" t="s">
        <v>47</v>
      </c>
    </row>
  </sheetData>
  <sheetProtection/>
  <mergeCells count="5">
    <mergeCell ref="A2:B2"/>
    <mergeCell ref="A18:B18"/>
    <mergeCell ref="A42:B42"/>
    <mergeCell ref="L43:N43"/>
    <mergeCell ref="N1:P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5" scale="83" r:id="rId1"/>
  <headerFooter>
    <oddHeader>&amp;C&amp;"Arial,Bold"&amp;12Support for PILs Collections through the period from May 1, 2002 to April 30, 2004&amp;R&amp;"Arial,Bold"&amp;12APPENDIX E</oddHeader>
    <oddFooter>&amp;C&amp;Z&amp;F &amp;A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Thunder Bay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jpajala</dc:creator>
  <cp:keywords/>
  <dc:description/>
  <cp:lastModifiedBy>Joline Dosen</cp:lastModifiedBy>
  <cp:lastPrinted>2012-01-31T19:49:15Z</cp:lastPrinted>
  <dcterms:created xsi:type="dcterms:W3CDTF">2012-01-31T16:58:05Z</dcterms:created>
  <dcterms:modified xsi:type="dcterms:W3CDTF">2012-01-31T19:49:27Z</dcterms:modified>
  <cp:category/>
  <cp:version/>
  <cp:contentType/>
  <cp:contentStatus/>
</cp:coreProperties>
</file>