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270" windowWidth="15360" windowHeight="8415" tabRatio="90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Calculation'!$A$1:$AC$77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'TAXREC'!$A$1:$E$161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2.xml><?xml version="1.0" encoding="utf-8"?>
<comments xmlns="http://schemas.openxmlformats.org/spreadsheetml/2006/main">
  <authors>
    <author>David J. Smelsky</author>
  </authors>
  <commentList>
    <comment ref="E122" authorId="0">
      <text>
        <r>
          <rPr>
            <b/>
            <sz val="10"/>
            <rFont val="Tahoma"/>
            <family val="2"/>
          </rPr>
          <t>David J. Smelsky:</t>
        </r>
        <r>
          <rPr>
            <sz val="10"/>
            <rFont val="Tahoma"/>
            <family val="2"/>
          </rPr>
          <t xml:space="preserve">
Based on the Board's Decision, this cell should be 36.12%</t>
        </r>
      </text>
    </comment>
  </commentList>
</comments>
</file>

<file path=xl/comments3.xml><?xml version="1.0" encoding="utf-8"?>
<comments xmlns="http://schemas.openxmlformats.org/spreadsheetml/2006/main">
  <authors>
    <author>Cindy Speziale</author>
    <author>jpajala</author>
  </authors>
  <commentList>
    <comment ref="C149" authorId="0">
      <text>
        <r>
          <rPr>
            <b/>
            <sz val="8"/>
            <rFont val="Tahoma"/>
            <family val="2"/>
          </rPr>
          <t>Cindy Speziale:</t>
        </r>
        <r>
          <rPr>
            <sz val="8"/>
            <rFont val="Tahoma"/>
            <family val="2"/>
          </rPr>
          <t xml:space="preserve">
38% less 10% provincial abatement-7% general tax reduction plus 4% of 28% or 1.12% surtax.</t>
        </r>
      </text>
    </comment>
    <comment ref="C145" authorId="1">
      <text>
        <r>
          <rPr>
            <b/>
            <sz val="9"/>
            <rFont val="Tahoma"/>
            <family val="2"/>
          </rPr>
          <t>jpajala:</t>
        </r>
        <r>
          <rPr>
            <sz val="9"/>
            <rFont val="Tahoma"/>
            <family val="2"/>
          </rPr>
          <t xml:space="preserve">
this represents the apprenticeship tax credit</t>
        </r>
      </text>
    </comment>
  </commentList>
</comments>
</file>

<file path=xl/comments8.xml><?xml version="1.0" encoding="utf-8"?>
<comments xmlns="http://schemas.openxmlformats.org/spreadsheetml/2006/main">
  <authors>
    <author>jpajala</author>
  </authors>
  <commentList>
    <comment ref="I8" authorId="0">
      <text>
        <r>
          <rPr>
            <b/>
            <sz val="9"/>
            <rFont val="Tahoma"/>
            <family val="2"/>
          </rPr>
          <t>jpajala:</t>
        </r>
        <r>
          <rPr>
            <sz val="9"/>
            <rFont val="Tahoma"/>
            <family val="2"/>
          </rPr>
          <t xml:space="preserve">
new rates effective April 1, 2004</t>
        </r>
      </text>
    </comment>
    <comment ref="M12" authorId="0">
      <text>
        <r>
          <rPr>
            <b/>
            <sz val="9"/>
            <rFont val="Tahoma"/>
            <family val="2"/>
          </rPr>
          <t>jpajala:</t>
        </r>
        <r>
          <rPr>
            <sz val="9"/>
            <rFont val="Tahoma"/>
            <family val="2"/>
          </rPr>
          <t xml:space="preserve">
Proxy has been adjusted for the impact of the LCT repeal.</t>
        </r>
      </text>
    </comment>
  </commentList>
</comments>
</file>

<file path=xl/sharedStrings.xml><?xml version="1.0" encoding="utf-8"?>
<sst xmlns="http://schemas.openxmlformats.org/spreadsheetml/2006/main" count="889" uniqueCount="511">
  <si>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</si>
  <si>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</si>
  <si>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</si>
  <si>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</si>
  <si>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</si>
  <si>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</si>
  <si>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</si>
  <si>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</si>
  <si>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</si>
  <si>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</si>
  <si>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</si>
  <si>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</si>
  <si>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</si>
  <si>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</si>
  <si>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</si>
  <si>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</si>
  <si>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</si>
  <si>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</si>
  <si>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</si>
  <si>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</si>
  <si>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</si>
  <si>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</si>
  <si>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</si>
  <si>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</si>
  <si>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</si>
  <si>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</si>
  <si>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</si>
  <si>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</si>
  <si>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</si>
  <si>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</si>
  <si>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</si>
  <si>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</si>
  <si>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</si>
  <si>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</si>
  <si>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</si>
  <si>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</si>
  <si>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</si>
  <si>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</si>
  <si>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</si>
  <si>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</si>
  <si>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</si>
  <si>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</si>
  <si>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</si>
  <si>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</si>
  <si>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</si>
  <si>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</si>
  <si>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</si>
  <si>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</si>
  <si>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</si>
  <si>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</si>
  <si>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</si>
  <si>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</si>
  <si>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</si>
  <si>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</si>
  <si>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</si>
  <si>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</si>
  <si>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</si>
  <si>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</si>
  <si>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</si>
  <si>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</si>
  <si>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</si>
  <si>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</si>
  <si>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</si>
  <si>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</si>
  <si>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</si>
  <si>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</si>
  <si>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</si>
  <si>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</si>
  <si>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</si>
  <si>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</si>
  <si>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</si>
  <si>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</si>
  <si>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</si>
  <si>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</si>
  <si>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</si>
  <si>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</si>
  <si>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</si>
  <si>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</si>
  <si>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</si>
  <si>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</si>
  <si>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</si>
  <si>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</si>
  <si>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</si>
  <si>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</si>
  <si>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</si>
  <si>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</si>
  <si>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</si>
  <si>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</si>
  <si>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</si>
  <si>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</si>
  <si>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</si>
  <si>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</si>
  <si>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</si>
  <si>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</si>
  <si>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</si>
  <si>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</si>
  <si>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</si>
  <si>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</si>
  <si>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</si>
  <si>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</si>
  <si>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</si>
  <si>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</si>
  <si>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</si>
  <si>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</si>
  <si>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</si>
  <si>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</si>
  <si>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</si>
  <si>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</si>
  <si>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</si>
  <si>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</si>
  <si>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</si>
  <si>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</si>
  <si>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</si>
  <si>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</si>
  <si>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</si>
  <si>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</si>
  <si>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</si>
  <si>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</si>
  <si>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</si>
  <si>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</si>
  <si>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</si>
  <si>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</si>
  <si>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</si>
  <si>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</si>
  <si>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</si>
  <si>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</si>
  <si>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</si>
  <si>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</si>
  <si>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</si>
  <si>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</si>
  <si>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</si>
  <si>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</si>
  <si>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</si>
  <si>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</si>
  <si>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</si>
  <si>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</si>
  <si>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</si>
  <si>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</si>
  <si>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</si>
  <si>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</si>
  <si>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</si>
  <si>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</si>
  <si>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</si>
  <si>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</si>
  <si>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</si>
  <si>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</si>
  <si>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</si>
  <si>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</si>
  <si>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</si>
  <si>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</si>
  <si>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</si>
  <si>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</si>
  <si>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</si>
  <si>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</si>
  <si>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</si>
  <si>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</si>
  <si>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</si>
  <si>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</si>
  <si>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</si>
  <si>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</si>
  <si>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</si>
  <si>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</si>
  <si>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</si>
  <si>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</si>
  <si>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</si>
  <si>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</si>
  <si>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</si>
  <si>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</si>
  <si>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</si>
  <si>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</si>
  <si>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</si>
  <si>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</si>
  <si>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</si>
  <si>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</si>
  <si>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</si>
  <si>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</si>
  <si>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</si>
  <si>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</si>
  <si>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</si>
  <si>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</si>
  <si>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</si>
  <si>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</si>
  <si>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</si>
  <si>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</si>
  <si>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</si>
  <si>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</si>
  <si>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</si>
  <si>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</si>
  <si>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</si>
  <si>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</si>
  <si>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</si>
  <si>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</si>
  <si>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</si>
  <si>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</si>
  <si>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</si>
  <si>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</si>
  <si>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</si>
  <si>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</si>
  <si>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</si>
  <si>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</si>
  <si>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</si>
  <si>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</si>
  <si>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</si>
  <si>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</si>
  <si>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</si>
  <si>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</si>
  <si>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</si>
  <si>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</si>
  <si>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</si>
  <si>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</si>
  <si>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</si>
  <si>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</si>
  <si>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</si>
  <si>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</si>
  <si>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</si>
  <si>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</si>
  <si>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</si>
  <si>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</si>
  <si>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</si>
  <si>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</si>
  <si>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</si>
  <si>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</si>
  <si>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</si>
  <si>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</si>
  <si>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</si>
  <si>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</si>
  <si>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</si>
  <si>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</si>
  <si>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</si>
  <si>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</si>
  <si>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</si>
  <si>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</si>
  <si>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</si>
  <si>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</si>
  <si>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</si>
  <si>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</si>
  <si>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</si>
  <si>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</si>
  <si>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</si>
  <si>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</si>
  <si>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</si>
  <si>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</si>
  <si>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</si>
  <si>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</si>
  <si>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</si>
  <si>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</si>
  <si>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</si>
  <si>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</si>
  <si>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</si>
  <si>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</si>
  <si>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</si>
  <si>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</si>
  <si>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</si>
  <si>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</si>
  <si>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</si>
  <si>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</si>
  <si>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</si>
  <si>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</si>
  <si>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</si>
  <si>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</si>
  <si>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</si>
  <si>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</si>
  <si>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</si>
  <si>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</si>
  <si>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</si>
  <si>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</si>
  <si>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</si>
  <si>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</si>
  <si>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</si>
  <si>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</si>
  <si>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</si>
  <si>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</si>
  <si>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</si>
  <si>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</si>
  <si>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</si>
  <si>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</si>
  <si>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</si>
  <si>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</si>
  <si>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</si>
  <si>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</si>
  <si>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</si>
  <si>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</si>
  <si>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</si>
  <si>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</si>
  <si>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</si>
  <si>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</si>
  <si>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</si>
  <si>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</si>
  <si>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</si>
  <si>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</si>
  <si>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</si>
  <si>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</si>
  <si>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</si>
  <si>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</si>
  <si>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</si>
  <si>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</si>
  <si>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</si>
  <si>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</si>
  <si>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</si>
  <si>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</si>
  <si>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</si>
  <si>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</si>
  <si>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</si>
  <si>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</si>
  <si>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</si>
  <si>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</si>
  <si>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</si>
  <si>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</si>
  <si>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</si>
  <si>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</si>
  <si>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</si>
  <si>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</si>
  <si>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</si>
  <si>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</si>
  <si>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</si>
  <si>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</si>
  <si>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</si>
  <si>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</si>
  <si>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</si>
  <si>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</si>
  <si>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</si>
  <si>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</si>
  <si>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</si>
  <si>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</si>
  <si>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</si>
  <si>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</si>
  <si>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</si>
  <si>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</si>
  <si>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</si>
  <si>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</si>
  <si>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</si>
  <si>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</si>
  <si>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</si>
  <si>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</si>
  <si>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</si>
  <si>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</si>
  <si>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</si>
  <si>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</si>
  <si>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</si>
  <si>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</si>
  <si>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</si>
  <si>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</si>
  <si>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</si>
  <si>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</si>
  <si>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</si>
  <si>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</si>
  <si>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</si>
  <si>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</si>
  <si>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</si>
  <si>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</si>
  <si>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</si>
  <si>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</si>
  <si>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</si>
  <si>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</si>
  <si>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</si>
  <si>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</si>
  <si>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</si>
  <si>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</si>
  <si>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</si>
  <si>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</si>
  <si>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</si>
  <si>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</si>
  <si>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</si>
  <si>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</si>
  <si>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</si>
  <si>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</si>
  <si>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</si>
  <si>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</si>
  <si>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</si>
  <si>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</si>
  <si>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</si>
  <si>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</si>
  <si>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</si>
  <si>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</si>
  <si>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</si>
  <si>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</si>
  <si>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</si>
  <si>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</si>
  <si>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</si>
  <si>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</si>
  <si>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</si>
  <si>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</si>
  <si>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</si>
  <si>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</si>
  <si>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</si>
  <si>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</si>
  <si>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</si>
  <si>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</si>
  <si>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</si>
  <si>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</si>
  <si>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</si>
  <si>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</si>
  <si>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</si>
  <si>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</si>
  <si>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</si>
  <si>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</si>
  <si>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</si>
  <si>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</si>
  <si>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</si>
  <si>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</si>
  <si>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</si>
  <si>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</si>
  <si>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</si>
  <si>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</si>
  <si>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</si>
  <si>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</si>
  <si>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</si>
  <si>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</si>
  <si>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</si>
  <si>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</si>
  <si>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</si>
  <si>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</si>
  <si>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</si>
  <si>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</si>
  <si>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</si>
  <si>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</si>
  <si>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</si>
  <si>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</si>
  <si>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</si>
  <si>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</si>
  <si>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</si>
  <si>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</si>
  <si>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</si>
  <si>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</si>
  <si>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</si>
  <si>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</si>
  <si>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</si>
  <si>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</si>
  <si>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</si>
  <si>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</si>
  <si>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</si>
  <si>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</si>
  <si>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</si>
  <si>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</si>
  <si>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</si>
  <si>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</si>
  <si>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</si>
  <si>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</si>
  <si>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</si>
  <si>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</si>
  <si>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</si>
  <si>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</si>
  <si>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</si>
  <si>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</si>
  <si>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</si>
  <si>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</si>
  <si>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</si>
  <si>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</si>
  <si>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</si>
  <si>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</si>
  <si>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</si>
  <si>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</si>
  <si>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</si>
  <si>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</si>
  <si>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</si>
  <si>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</si>
  <si>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</si>
  <si>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</si>
  <si>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</si>
  <si>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</si>
  <si>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</si>
  <si>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</si>
  <si>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</si>
  <si>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</si>
  <si>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</si>
  <si>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</si>
  <si>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</si>
  <si>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</si>
  <si>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Divide federal income tax by the taxable income</t>
  </si>
  <si>
    <t>Divide Ontario income tax by the taxable income</t>
  </si>
  <si>
    <t>PILs billed to (collected from) customers             (8)</t>
  </si>
  <si>
    <t>Correct rate should be?</t>
  </si>
  <si>
    <t>Enter from tax return</t>
  </si>
  <si>
    <t>No entry on tax return</t>
  </si>
  <si>
    <t>Provision for bad debts</t>
  </si>
  <si>
    <t>Non-taxable load transfers</t>
  </si>
  <si>
    <t xml:space="preserve">RECAP </t>
  </si>
  <si>
    <t>Does this include LCT?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</si>
  <si>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</si>
  <si>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</si>
  <si>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</si>
  <si>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MAX $50MM</t>
  </si>
  <si>
    <t>&gt;1,128,000</t>
  </si>
  <si>
    <t>Reporting period:  2005</t>
  </si>
  <si>
    <t>12-31-2005</t>
  </si>
  <si>
    <t xml:space="preserve">     Capitalized</t>
  </si>
  <si>
    <t>Rates Used in 2005 RAM PILs Applications for 2005</t>
  </si>
  <si>
    <t>MAX $7.5MM</t>
  </si>
  <si>
    <t>RAM 2005</t>
  </si>
  <si>
    <t>Expected Income Tax Rates for 2005 and Capital Tax Exemptions for 2005</t>
  </si>
  <si>
    <t>Input Information from Utility's Actual 2005 Tax Returns</t>
  </si>
  <si>
    <r>
      <t xml:space="preserve">Ontario Capital Tax Exemption  </t>
    </r>
    <r>
      <rPr>
        <b/>
        <sz val="10"/>
        <color indexed="10"/>
        <rFont val="Arial"/>
        <family val="2"/>
      </rPr>
      <t>*** 2005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</si>
  <si>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2005</t>
    </r>
  </si>
  <si>
    <t>**Exemption amounts must agree with the Board-approved 2005 RAM PILs filing</t>
  </si>
  <si>
    <t>Actual 2005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</si>
  <si>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2005</t>
    </r>
  </si>
  <si>
    <t xml:space="preserve">     Recovery of Regulatory Assets</t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</si>
  <si>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2005 </t>
    </r>
    <r>
      <rPr>
        <sz val="10"/>
        <rFont val="Arial"/>
        <family val="0"/>
      </rPr>
      <t>Utility's tax return</t>
    </r>
  </si>
  <si>
    <t>PILs TAXES - EB-2008-0381</t>
  </si>
  <si>
    <t>Actual Interest Paid</t>
  </si>
  <si>
    <t>Utility Name: Thunder Bay Hydro Electricity Distribution Inc.</t>
  </si>
  <si>
    <t>Y</t>
  </si>
  <si>
    <t>N</t>
  </si>
  <si>
    <t>Non-deductible accruals</t>
  </si>
  <si>
    <t>Amortisation included in 40, 41, &amp; 42 above added to 43</t>
  </si>
  <si>
    <t xml:space="preserve">Per Corporate </t>
  </si>
  <si>
    <t>Tax Returns</t>
  </si>
  <si>
    <t>Appenticeship Credit</t>
  </si>
  <si>
    <t xml:space="preserve">   CDM Expenses in 2005 Board Approved Regulatory Income</t>
  </si>
  <si>
    <t>Non-deductible accrued termination benefits (paid out beyond 180 days)</t>
  </si>
  <si>
    <t xml:space="preserve">Principle Balance 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</si>
</sst>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&quot;$&quot;#,##0.0_);\(&quot;$&quot;#,##0.0\)"/>
    <numFmt numFmtId="213" formatCode="#,##0.00000000"/>
    <numFmt numFmtId="214" formatCode="#,##0.00000000000"/>
    <numFmt numFmtId="215" formatCode="#,##0.0000000000"/>
    <numFmt numFmtId="216" formatCode="#,##0.000000000"/>
    <numFmt numFmtId="217" formatCode="#,##0.0000000"/>
    <numFmt numFmtId="218" formatCode="#,##0.000000"/>
    <numFmt numFmtId="219" formatCode="#,##0.00000"/>
    <numFmt numFmtId="220" formatCode="#,##0.0000"/>
    <numFmt numFmtId="221" formatCode="#,##0.000"/>
  </numFmts>
  <fonts count="6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00102615356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4" applyNumberFormat="0" applyFill="0" applyAlignment="0" applyProtection="0"/>
    <xf numFmtId="0" fontId="59" fillId="31" borderId="0" applyNumberFormat="0" applyBorder="0" applyAlignment="0" applyProtection="0"/>
    <xf numFmtId="0" fontId="0" fillId="32" borderId="5" applyNumberFormat="0" applyFont="0" applyAlignment="0" applyProtection="0"/>
    <xf numFmtId="0" fontId="60" fillId="27" borderId="6" applyNumberFormat="0" applyAlignment="0" applyProtection="0"/>
    <xf numFmtId="10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62" fillId="0" borderId="0" applyNumberFormat="0" applyFill="0" applyBorder="0" applyAlignment="0" applyProtection="0"/>
  </cellStyleXfs>
  <cellXfs count="537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>
      <alignment horizontal="right" vertical="top"/>
    </xf>
    <xf numFmtId="3" fontId="0" fillId="41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41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1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1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1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1" borderId="44" xfId="0" applyNumberFormat="1" applyFill="1" applyBorder="1" applyAlignment="1" applyProtection="1">
      <alignment horizontal="center" vertical="top"/>
      <protection locked="0"/>
    </xf>
    <xf numFmtId="10" fontId="0" fillId="41" borderId="51" xfId="0" applyNumberFormat="1" applyFill="1" applyBorder="1" applyAlignment="1" applyProtection="1">
      <alignment horizontal="center" vertical="top"/>
      <protection locked="0"/>
    </xf>
    <xf numFmtId="10" fontId="0" fillId="41" borderId="18" xfId="0" applyNumberFormat="1" applyFill="1" applyBorder="1" applyAlignment="1" applyProtection="1">
      <alignment horizontal="center" vertical="top"/>
      <protection locked="0"/>
    </xf>
    <xf numFmtId="10" fontId="0" fillId="41" borderId="10" xfId="0" applyNumberFormat="1" applyFill="1" applyBorder="1" applyAlignment="1" applyProtection="1">
      <alignment horizontal="center" vertical="top"/>
      <protection locked="0"/>
    </xf>
    <xf numFmtId="178" fontId="0" fillId="41" borderId="44" xfId="0" applyNumberFormat="1" applyFill="1" applyBorder="1" applyAlignment="1" applyProtection="1">
      <alignment horizontal="center" vertical="top"/>
      <protection locked="0"/>
    </xf>
    <xf numFmtId="178" fontId="0" fillId="41" borderId="14" xfId="0" applyNumberFormat="1" applyFill="1" applyBorder="1" applyAlignment="1" applyProtection="1">
      <alignment horizontal="center" vertical="top"/>
      <protection locked="0"/>
    </xf>
    <xf numFmtId="10" fontId="0" fillId="41" borderId="14" xfId="0" applyNumberFormat="1" applyFill="1" applyBorder="1" applyAlignment="1" applyProtection="1">
      <alignment horizontal="center" vertical="top"/>
      <protection locked="0"/>
    </xf>
    <xf numFmtId="10" fontId="0" fillId="41" borderId="9" xfId="0" applyNumberFormat="1" applyFill="1" applyBorder="1" applyAlignment="1" applyProtection="1">
      <alignment horizontal="center" vertical="top"/>
      <protection locked="0"/>
    </xf>
    <xf numFmtId="0" fontId="0" fillId="41" borderId="14" xfId="0" applyFill="1" applyBorder="1" applyAlignment="1" applyProtection="1">
      <alignment horizontal="center" vertical="top"/>
      <protection locked="0"/>
    </xf>
    <xf numFmtId="0" fontId="0" fillId="41" borderId="9" xfId="0" applyFill="1" applyBorder="1" applyAlignment="1" applyProtection="1">
      <alignment horizontal="center" vertical="top"/>
      <protection locked="0"/>
    </xf>
    <xf numFmtId="3" fontId="0" fillId="41" borderId="14" xfId="0" applyNumberFormat="1" applyFill="1" applyBorder="1" applyAlignment="1" applyProtection="1">
      <alignment horizontal="center" vertical="center"/>
      <protection locked="0"/>
    </xf>
    <xf numFmtId="3" fontId="0" fillId="41" borderId="46" xfId="0" applyNumberFormat="1" applyFill="1" applyBorder="1" applyAlignment="1" applyProtection="1">
      <alignment horizontal="center" vertical="center"/>
      <protection locked="0"/>
    </xf>
    <xf numFmtId="0" fontId="0" fillId="41" borderId="46" xfId="0" applyFill="1" applyBorder="1" applyAlignment="1" applyProtection="1">
      <alignment horizontal="center" vertical="top"/>
      <protection locked="0"/>
    </xf>
    <xf numFmtId="0" fontId="0" fillId="41" borderId="52" xfId="0" applyFill="1" applyBorder="1" applyAlignment="1" applyProtection="1">
      <alignment horizontal="center" vertical="top"/>
      <protection locked="0"/>
    </xf>
    <xf numFmtId="0" fontId="0" fillId="40" borderId="0" xfId="0" applyFill="1" applyBorder="1" applyAlignment="1" applyProtection="1">
      <alignment horizontal="center" vertical="top"/>
      <protection locked="0"/>
    </xf>
    <xf numFmtId="10" fontId="0" fillId="40" borderId="0" xfId="0" applyNumberFormat="1" applyFill="1" applyBorder="1" applyAlignment="1" applyProtection="1">
      <alignment horizontal="center" vertical="top"/>
      <protection locked="0"/>
    </xf>
    <xf numFmtId="3" fontId="3" fillId="40" borderId="48" xfId="42" applyNumberFormat="1" applyFont="1" applyFill="1" applyBorder="1" applyAlignment="1" applyProtection="1">
      <alignment horizontal="center" vertical="top"/>
      <protection locked="0"/>
    </xf>
    <xf numFmtId="4" fontId="9" fillId="40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0" borderId="49" xfId="0" applyFont="1" applyFill="1" applyBorder="1" applyAlignment="1" applyProtection="1">
      <alignment horizontal="center" vertical="top"/>
      <protection locked="0"/>
    </xf>
    <xf numFmtId="3" fontId="3" fillId="40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0" borderId="49" xfId="42" applyNumberFormat="1" applyFont="1" applyFill="1" applyBorder="1" applyAlignment="1" applyProtection="1">
      <alignment horizontal="center" vertical="top"/>
      <protection locked="0"/>
    </xf>
    <xf numFmtId="0" fontId="9" fillId="40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1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1" borderId="0" xfId="0" applyNumberFormat="1" applyFill="1" applyAlignment="1" applyProtection="1">
      <alignment/>
      <protection/>
    </xf>
    <xf numFmtId="3" fontId="0" fillId="41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1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0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1" borderId="0" xfId="0" applyNumberFormat="1" applyFill="1" applyAlignment="1">
      <alignment vertical="top"/>
    </xf>
    <xf numFmtId="10" fontId="0" fillId="41" borderId="0" xfId="0" applyNumberFormat="1" applyFill="1" applyAlignment="1">
      <alignment vertical="top"/>
    </xf>
    <xf numFmtId="9" fontId="0" fillId="41" borderId="0" xfId="0" applyNumberFormat="1" applyFill="1" applyAlignment="1">
      <alignment horizontal="center" vertical="top"/>
    </xf>
    <xf numFmtId="16" fontId="0" fillId="41" borderId="0" xfId="0" applyNumberFormat="1" applyFill="1" applyAlignment="1">
      <alignment horizontal="center" vertical="top"/>
    </xf>
    <xf numFmtId="3" fontId="0" fillId="41" borderId="0" xfId="0" applyNumberFormat="1" applyFill="1" applyAlignment="1">
      <alignment vertical="top"/>
    </xf>
    <xf numFmtId="3" fontId="0" fillId="40" borderId="0" xfId="0" applyNumberFormat="1" applyFill="1" applyBorder="1" applyAlignment="1" applyProtection="1">
      <alignment vertical="top"/>
      <protection locked="0"/>
    </xf>
    <xf numFmtId="3" fontId="0" fillId="40" borderId="0" xfId="0" applyNumberFormat="1" applyFill="1" applyBorder="1" applyAlignment="1" applyProtection="1">
      <alignment vertical="top"/>
      <protection/>
    </xf>
    <xf numFmtId="0" fontId="0" fillId="41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1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1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7" fontId="19" fillId="0" borderId="0" xfId="0" applyNumberFormat="1" applyFont="1" applyBorder="1" applyAlignment="1">
      <alignment horizontal="left" vertical="top"/>
    </xf>
    <xf numFmtId="3" fontId="19" fillId="42" borderId="17" xfId="0" applyNumberFormat="1" applyFont="1" applyFill="1" applyBorder="1" applyAlignment="1" applyProtection="1">
      <alignment horizontal="center" vertical="top"/>
      <protection locked="0"/>
    </xf>
    <xf numFmtId="3" fontId="0" fillId="42" borderId="14" xfId="0" applyNumberFormat="1" applyFill="1" applyBorder="1" applyAlignment="1" applyProtection="1">
      <alignment horizontal="right" vertical="top"/>
      <protection/>
    </xf>
    <xf numFmtId="3" fontId="0" fillId="36" borderId="59" xfId="0" applyNumberFormat="1" applyFill="1" applyBorder="1" applyAlignment="1" applyProtection="1">
      <alignment/>
      <protection/>
    </xf>
    <xf numFmtId="3" fontId="0" fillId="0" borderId="18" xfId="42" applyNumberFormat="1" applyFont="1" applyBorder="1" applyAlignment="1" applyProtection="1">
      <alignment vertical="top"/>
      <protection/>
    </xf>
    <xf numFmtId="164" fontId="0" fillId="0" borderId="0" xfId="45" applyNumberFormat="1" applyFont="1" applyBorder="1" applyAlignment="1" applyProtection="1">
      <alignment vertical="top"/>
      <protection locked="0"/>
    </xf>
    <xf numFmtId="10" fontId="0" fillId="0" borderId="0" xfId="63" applyFont="1" applyAlignment="1" applyProtection="1">
      <alignment vertical="top"/>
      <protection locked="0"/>
    </xf>
    <xf numFmtId="10" fontId="0" fillId="44" borderId="0" xfId="63" applyFont="1" applyFill="1" applyAlignment="1" applyProtection="1">
      <alignment vertical="top"/>
      <protection locked="0"/>
    </xf>
    <xf numFmtId="0" fontId="0" fillId="0" borderId="0" xfId="0" applyFont="1" applyAlignment="1">
      <alignment vertical="top" wrapText="1"/>
    </xf>
    <xf numFmtId="0" fontId="0" fillId="41" borderId="17" xfId="0" applyFont="1" applyFill="1" applyBorder="1" applyAlignment="1">
      <alignment horizontal="center" vertical="top"/>
    </xf>
    <xf numFmtId="0" fontId="0" fillId="41" borderId="0" xfId="0" applyFont="1" applyFill="1" applyAlignment="1">
      <alignment horizontal="center" vertical="top"/>
    </xf>
    <xf numFmtId="15" fontId="0" fillId="0" borderId="0" xfId="0" applyNumberFormat="1" applyBorder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3" fontId="0" fillId="0" borderId="0" xfId="0" applyNumberFormat="1" applyFont="1" applyAlignment="1">
      <alignment vertical="top"/>
    </xf>
    <xf numFmtId="3" fontId="0" fillId="45" borderId="0" xfId="0" applyNumberFormat="1" applyFill="1" applyAlignment="1">
      <alignment/>
    </xf>
    <xf numFmtId="0" fontId="0" fillId="45" borderId="0" xfId="0" applyFill="1" applyAlignment="1">
      <alignment vertical="top"/>
    </xf>
    <xf numFmtId="0" fontId="0" fillId="45" borderId="11" xfId="0" applyFill="1" applyBorder="1" applyAlignment="1">
      <alignment vertical="top"/>
    </xf>
    <xf numFmtId="14" fontId="0" fillId="45" borderId="0" xfId="0" applyNumberFormat="1" applyFill="1" applyAlignment="1">
      <alignment vertical="top"/>
    </xf>
    <xf numFmtId="14" fontId="0" fillId="45" borderId="0" xfId="0" applyNumberFormat="1" applyFill="1" applyBorder="1" applyAlignment="1">
      <alignment vertical="top"/>
    </xf>
    <xf numFmtId="3" fontId="0" fillId="44" borderId="0" xfId="0" applyNumberFormat="1" applyFill="1" applyAlignment="1" applyProtection="1">
      <alignment/>
      <protection/>
    </xf>
    <xf numFmtId="3" fontId="0" fillId="44" borderId="0" xfId="0" applyNumberFormat="1" applyFill="1" applyAlignment="1">
      <alignment/>
    </xf>
    <xf numFmtId="3" fontId="0" fillId="44" borderId="0" xfId="0" applyNumberFormat="1" applyFill="1" applyBorder="1" applyAlignment="1" applyProtection="1">
      <alignment/>
      <protection/>
    </xf>
    <xf numFmtId="37" fontId="0" fillId="44" borderId="0" xfId="0" applyNumberFormat="1" applyFill="1" applyBorder="1" applyAlignment="1">
      <alignment vertical="top"/>
    </xf>
    <xf numFmtId="3" fontId="0" fillId="45" borderId="0" xfId="0" applyNumberFormat="1" applyFill="1" applyBorder="1" applyAlignment="1">
      <alignment/>
    </xf>
    <xf numFmtId="37" fontId="0" fillId="45" borderId="0" xfId="0" applyNumberFormat="1" applyFill="1" applyBorder="1" applyAlignment="1">
      <alignment vertical="top"/>
    </xf>
    <xf numFmtId="0" fontId="0" fillId="44" borderId="0" xfId="0" applyFill="1" applyAlignment="1">
      <alignment vertical="top"/>
    </xf>
    <xf numFmtId="0" fontId="0" fillId="44" borderId="0" xfId="0" applyFill="1" applyAlignment="1">
      <alignment vertical="top" wrapText="1"/>
    </xf>
    <xf numFmtId="0" fontId="0" fillId="45" borderId="0" xfId="0" applyFill="1" applyAlignment="1">
      <alignment vertical="top" wrapText="1"/>
    </xf>
    <xf numFmtId="0" fontId="0" fillId="44" borderId="0" xfId="0" applyFill="1" applyAlignment="1">
      <alignment vertical="top"/>
    </xf>
    <xf numFmtId="0" fontId="0" fillId="44" borderId="0" xfId="0" applyFill="1" applyAlignment="1" applyProtection="1">
      <alignment vertical="top"/>
      <protection locked="0"/>
    </xf>
    <xf numFmtId="0" fontId="0" fillId="0" borderId="0" xfId="0" applyFont="1" applyFill="1" applyBorder="1" applyAlignment="1">
      <alignment vertical="top"/>
    </xf>
    <xf numFmtId="37" fontId="0" fillId="46" borderId="14" xfId="0" applyNumberFormat="1" applyFill="1" applyBorder="1" applyAlignment="1">
      <alignment vertical="top"/>
    </xf>
    <xf numFmtId="3" fontId="0" fillId="46" borderId="14" xfId="0" applyNumberFormat="1" applyFill="1" applyBorder="1" applyAlignment="1" applyProtection="1">
      <alignment vertical="top"/>
      <protection/>
    </xf>
    <xf numFmtId="37" fontId="0" fillId="47" borderId="0" xfId="0" applyNumberFormat="1" applyFill="1" applyBorder="1" applyAlignment="1">
      <alignment vertical="top"/>
    </xf>
    <xf numFmtId="0" fontId="4" fillId="34" borderId="0" xfId="0" applyFont="1" applyFill="1" applyAlignment="1">
      <alignment vertical="top" wrapText="1"/>
    </xf>
    <xf numFmtId="3" fontId="0" fillId="34" borderId="0" xfId="0" applyNumberFormat="1" applyFill="1" applyAlignment="1">
      <alignment vertical="top"/>
    </xf>
    <xf numFmtId="3" fontId="0" fillId="13" borderId="14" xfId="0" applyNumberFormat="1" applyFill="1" applyBorder="1" applyAlignment="1" applyProtection="1">
      <alignment/>
      <protection/>
    </xf>
    <xf numFmtId="3" fontId="0" fillId="48" borderId="14" xfId="0" applyNumberFormat="1" applyFill="1" applyBorder="1" applyAlignment="1" applyProtection="1">
      <alignment vertical="top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4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BHEDI_2002_PILs_Model_201111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BHEDI_2003_PILs_Model_201111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BHEDI_2004_PILs_Model_201111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TBHEDI_2001Q4_PILs_Model_2012012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ppendix%20G_TBHEDI_PILs_Monthly%20Carrying%20Charges_201201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</sheetNames>
    <sheetDataSet>
      <sheetData sheetId="1">
        <row r="181">
          <cell r="E181">
            <v>0</v>
          </cell>
        </row>
        <row r="183">
          <cell r="E183">
            <v>45550.347753856004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</sheetNames>
    <sheetDataSet>
      <sheetData sheetId="1">
        <row r="181">
          <cell r="E181">
            <v>-51804.99224806215</v>
          </cell>
        </row>
        <row r="183">
          <cell r="E183">
            <v>32584.4192248062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</sheetNames>
    <sheetDataSet>
      <sheetData sheetId="1">
        <row r="181">
          <cell r="E181">
            <v>-208842.58991699948</v>
          </cell>
        </row>
        <row r="183">
          <cell r="E183">
            <v>-153129.3507692308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  <sheetName val="Tax Reserves"/>
      <sheetName val="TAXREC 2"/>
      <sheetName val="TAXREC 3"/>
      <sheetName val="Tax Rates"/>
      <sheetName val="TAXCALC 2003"/>
      <sheetName val="Tax Rates 2003"/>
      <sheetName val="PILs 1562 Calculation"/>
    </sheetNames>
    <sheetDataSet>
      <sheetData sheetId="1">
        <row r="181">
          <cell r="E181">
            <v>809.404958677686</v>
          </cell>
        </row>
        <row r="183">
          <cell r="E183">
            <v>-95482.7773848595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EB 1562"/>
      <sheetName val="Calculated Carrying Charges"/>
    </sheetNames>
    <sheetDataSet>
      <sheetData sheetId="0">
        <row r="16">
          <cell r="E16">
            <v>3482.8931125</v>
          </cell>
        </row>
        <row r="31">
          <cell r="O31">
            <v>56463.35999538425</v>
          </cell>
        </row>
        <row r="45">
          <cell r="O45">
            <v>38738.658486429085</v>
          </cell>
        </row>
        <row r="58">
          <cell r="O58">
            <v>42652.65453291334</v>
          </cell>
        </row>
        <row r="74">
          <cell r="O74">
            <v>34084.34811094443</v>
          </cell>
        </row>
        <row r="89">
          <cell r="C89">
            <v>2057.111354568215</v>
          </cell>
          <cell r="D89">
            <v>1807.0179524848816</v>
          </cell>
          <cell r="E89">
            <v>1807.9150795682149</v>
          </cell>
          <cell r="F89">
            <v>1637.5215920682149</v>
          </cell>
          <cell r="O89">
            <v>11682.594704796262</v>
          </cell>
        </row>
      </sheetData>
      <sheetData sheetId="1">
        <row r="8">
          <cell r="F8">
            <v>5917.0113017901895</v>
          </cell>
          <cell r="J8">
            <v>4981.42886961924</v>
          </cell>
          <cell r="N8">
            <v>1423.7123967818804</v>
          </cell>
          <cell r="R8">
            <v>998.1631968646592</v>
          </cell>
          <cell r="V8">
            <v>1839.8744819950457</v>
          </cell>
          <cell r="X8">
            <v>613.2914939983485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tabSelected="1" workbookViewId="0" topLeftCell="A1">
      <selection activeCell="A3" sqref="A3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498</v>
      </c>
      <c r="C1" s="8"/>
      <c r="E1" s="2" t="s">
        <v>461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500</v>
      </c>
      <c r="C3" s="8"/>
      <c r="D3" s="454" t="s">
        <v>447</v>
      </c>
      <c r="E3" s="8"/>
      <c r="F3" s="8"/>
      <c r="G3" s="8"/>
      <c r="H3" s="8"/>
    </row>
    <row r="4" spans="1:8" ht="12.75">
      <c r="A4" s="2" t="s">
        <v>483</v>
      </c>
      <c r="C4" s="8"/>
      <c r="D4" s="453" t="s">
        <v>442</v>
      </c>
      <c r="E4" s="428"/>
      <c r="H4" s="8"/>
    </row>
    <row r="5" spans="1:8" ht="12.75">
      <c r="A5" s="52"/>
      <c r="C5" s="8"/>
      <c r="D5" s="452" t="s">
        <v>443</v>
      </c>
      <c r="E5" s="398"/>
      <c r="H5" s="8"/>
    </row>
    <row r="6" spans="1:8" ht="12.75">
      <c r="A6" s="2" t="s">
        <v>126</v>
      </c>
      <c r="B6" s="388">
        <v>365</v>
      </c>
      <c r="C6" s="8" t="s">
        <v>127</v>
      </c>
      <c r="D6" s="21"/>
      <c r="H6" s="8"/>
    </row>
    <row r="7" spans="1:8" ht="13.5" thickBot="1">
      <c r="A7" s="52" t="s">
        <v>256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493" t="s">
        <v>501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493" t="s">
        <v>502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493" t="s">
        <v>502</v>
      </c>
    </row>
    <row r="18" spans="1:4" ht="15" customHeight="1">
      <c r="A18" s="389" t="s">
        <v>315</v>
      </c>
      <c r="C18" s="8"/>
      <c r="D18" s="8"/>
    </row>
    <row r="19" spans="1:4" ht="15" customHeight="1">
      <c r="A19" s="523" t="s">
        <v>316</v>
      </c>
      <c r="B19" s="8" t="s">
        <v>313</v>
      </c>
      <c r="C19" s="8" t="s">
        <v>64</v>
      </c>
      <c r="D19" s="494" t="s">
        <v>501</v>
      </c>
    </row>
    <row r="20" spans="1:4" ht="13.5" thickBot="1">
      <c r="A20" s="524"/>
      <c r="B20" s="8" t="s">
        <v>314</v>
      </c>
      <c r="C20" s="8" t="s">
        <v>64</v>
      </c>
      <c r="D20" s="493" t="s">
        <v>501</v>
      </c>
    </row>
    <row r="21" spans="1:4" ht="12.75">
      <c r="A21" s="523" t="s">
        <v>312</v>
      </c>
      <c r="B21" s="8" t="s">
        <v>313</v>
      </c>
      <c r="C21" s="8"/>
      <c r="D21" s="423">
        <v>1</v>
      </c>
    </row>
    <row r="22" spans="1:4" ht="12.75">
      <c r="A22" s="523"/>
      <c r="B22" s="8" t="s">
        <v>314</v>
      </c>
      <c r="C22" s="8"/>
      <c r="D22" s="423">
        <v>1</v>
      </c>
    </row>
    <row r="23" spans="1:4" ht="7.5" customHeight="1">
      <c r="A23" s="45"/>
      <c r="C23" s="8"/>
      <c r="D23" s="388"/>
    </row>
    <row r="24" spans="1:4" ht="12.75">
      <c r="A24" s="45" t="s">
        <v>212</v>
      </c>
      <c r="C24" s="8" t="s">
        <v>213</v>
      </c>
      <c r="D24" s="424" t="s">
        <v>484</v>
      </c>
    </row>
    <row r="25" ht="6.75" customHeight="1" thickBot="1">
      <c r="A25" s="12"/>
    </row>
    <row r="26" spans="1:5" ht="12.75">
      <c r="A26" s="255" t="s">
        <v>67</v>
      </c>
      <c r="C26" s="8"/>
      <c r="E26" s="443" t="s">
        <v>297</v>
      </c>
    </row>
    <row r="27" spans="1:5" ht="12.75">
      <c r="A27" s="256" t="s">
        <v>68</v>
      </c>
      <c r="C27" s="8"/>
      <c r="E27" s="444" t="s">
        <v>298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287</v>
      </c>
      <c r="D31" s="421">
        <v>66420856</v>
      </c>
      <c r="H31" s="5"/>
    </row>
    <row r="32" ht="6" customHeight="1"/>
    <row r="33" spans="1:8" ht="12.75">
      <c r="A33" t="s">
        <v>71</v>
      </c>
      <c r="D33" s="422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15.75" customHeight="1">
      <c r="H36" s="34"/>
    </row>
    <row r="37" spans="1:8" ht="12.75">
      <c r="A37" t="s">
        <v>73</v>
      </c>
      <c r="D37" s="422">
        <v>0.0988</v>
      </c>
      <c r="H37" s="41"/>
    </row>
    <row r="38" ht="4.5" customHeight="1">
      <c r="H38" s="34"/>
    </row>
    <row r="39" spans="1:8" ht="12.75">
      <c r="A39" t="s">
        <v>74</v>
      </c>
      <c r="D39" s="422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5688946.3164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5">
        <v>868952</v>
      </c>
      <c r="E43" s="387">
        <f>D43</f>
        <v>868952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4819994.3164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6">
        <v>387</v>
      </c>
      <c r="E47" s="387">
        <f>D47</f>
        <v>387</v>
      </c>
      <c r="H47" s="40"/>
      <c r="J47" s="5"/>
      <c r="K47" s="5"/>
    </row>
    <row r="48" spans="1:11" ht="12.75">
      <c r="A48" t="s">
        <v>290</v>
      </c>
      <c r="D48" s="426">
        <v>387</v>
      </c>
      <c r="E48" s="387">
        <f>D48</f>
        <v>387</v>
      </c>
      <c r="F48" s="22"/>
      <c r="H48" s="40"/>
      <c r="J48" s="5"/>
      <c r="K48" s="5"/>
    </row>
    <row r="49" spans="1:11" ht="12.75">
      <c r="A49" t="s">
        <v>291</v>
      </c>
      <c r="D49" s="426">
        <v>0</v>
      </c>
      <c r="E49" s="387">
        <f>D49</f>
        <v>0</v>
      </c>
      <c r="F49" s="22"/>
      <c r="H49" s="40"/>
      <c r="J49" s="5"/>
      <c r="K49" s="5"/>
    </row>
    <row r="50" spans="1:11" ht="12.75">
      <c r="A50" t="s">
        <v>292</v>
      </c>
      <c r="D50" s="427">
        <v>0</v>
      </c>
      <c r="E50" s="387">
        <f>D50</f>
        <v>0</v>
      </c>
      <c r="H50" s="40"/>
      <c r="J50" s="5"/>
      <c r="K50" s="5"/>
    </row>
    <row r="51" spans="1:11" ht="12.75">
      <c r="A51" t="s">
        <v>439</v>
      </c>
      <c r="C51" s="491"/>
      <c r="D51" s="427">
        <v>1606665</v>
      </c>
      <c r="E51" s="387">
        <f>+D51</f>
        <v>1606665</v>
      </c>
      <c r="G51" s="3"/>
      <c r="H51" s="40"/>
      <c r="J51" s="5"/>
      <c r="K51" s="5"/>
    </row>
    <row r="52" spans="1:11" ht="12.75">
      <c r="A52" t="s">
        <v>462</v>
      </c>
      <c r="D52" s="425">
        <v>219098</v>
      </c>
      <c r="E52" s="387">
        <f>+D52</f>
        <v>219098</v>
      </c>
      <c r="G52" s="489"/>
      <c r="H52" s="40"/>
      <c r="J52" s="5"/>
      <c r="K52" s="5"/>
    </row>
    <row r="53" spans="1:11" ht="12.75">
      <c r="A53" s="497" t="s">
        <v>508</v>
      </c>
      <c r="D53" s="428"/>
      <c r="E53" s="387">
        <v>-450665</v>
      </c>
      <c r="G53" s="3"/>
      <c r="H53" s="40"/>
      <c r="J53" s="5"/>
      <c r="K53" s="5"/>
    </row>
    <row r="54" spans="1:11" ht="12.75">
      <c r="A54" s="2" t="s">
        <v>293</v>
      </c>
      <c r="E54" s="254">
        <f>SUM(E43:E53)</f>
        <v>2244824</v>
      </c>
      <c r="G54" s="22"/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33210428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3281190.2864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33210428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2">
        <f>D60*D39</f>
        <v>2407756.03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3">
        <f>IF(D41&gt;0,(((D43+D47)/D41)*D62),0)</f>
        <v>367933.902510216</v>
      </c>
      <c r="F64" s="5"/>
      <c r="H64" s="32"/>
      <c r="J64" s="5"/>
      <c r="K64" s="5"/>
    </row>
    <row r="65" spans="1:11" ht="12.75">
      <c r="A65" s="33" t="s">
        <v>378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3">
        <f>IF(D41&gt;0,(((D43+D47+D48)/D41)*D62),0)</f>
        <v>368097.6941039112</v>
      </c>
      <c r="F66" s="5"/>
      <c r="H66" s="32"/>
      <c r="J66" s="5"/>
      <c r="K66" s="5"/>
    </row>
    <row r="67" spans="1:11" ht="12.75">
      <c r="A67" s="33" t="s">
        <v>379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3">
        <f>IF(D41&gt;0,(((D43+D47+D48)/D41)*D62),0)</f>
        <v>368097.6941039112</v>
      </c>
      <c r="F68" s="5"/>
      <c r="H68" s="32"/>
      <c r="J68" s="5"/>
    </row>
    <row r="69" spans="1:10" ht="12.75">
      <c r="A69" s="33" t="s">
        <v>380</v>
      </c>
      <c r="B69" s="5"/>
      <c r="C69" s="5"/>
      <c r="D69" s="5"/>
      <c r="F69" s="5"/>
      <c r="H69" s="32"/>
      <c r="J69" s="5"/>
    </row>
    <row r="70" spans="1:10" ht="12.75">
      <c r="A70" s="45" t="s">
        <v>448</v>
      </c>
      <c r="B70" s="5"/>
      <c r="C70" s="5"/>
      <c r="D70" s="253">
        <f>D62</f>
        <v>2407756.03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/>
  <pageMargins left="0.35433070866141736" right="0.03937007874015748" top="0.9055118110236221" bottom="0.35433070866141736" header="0.2755905511811024" footer="0"/>
  <pageSetup fitToHeight="1" fitToWidth="1" horizontalDpi="600" verticalDpi="600" orientation="portrait" paperSize="5" scale="96" r:id="rId1"/>
  <headerFooter alignWithMargins="0">
    <oddHeader>&amp;L&amp;"Arial,Bold"&amp;12APPENDIX G&amp;R&amp;9Thunder Bay Hydro Electricity Distribution Inc.
OEB Application: IRM3
Application: EB 2011-0197
LDC License #: EB-2002-0529</oddHeader>
    <oddFooter>&amp;L&amp;Z&amp;F&amp;R&amp;"Arial,Bold"&amp;9&amp;A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tabSelected="1" zoomScale="90" zoomScaleNormal="90" workbookViewId="0" topLeftCell="A1">
      <selection activeCell="A3" sqref="A3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EB-2008-0381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464</v>
      </c>
      <c r="H1" s="210"/>
    </row>
    <row r="2" spans="1:8" ht="12.75">
      <c r="A2" s="211" t="s">
        <v>463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465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Thunder Bay Hydro Electricity Distribution Inc.</v>
      </c>
      <c r="B6" s="115"/>
      <c r="D6" s="137"/>
      <c r="E6" s="115"/>
      <c r="G6" s="115"/>
      <c r="H6" s="463"/>
    </row>
    <row r="7" spans="1:8" ht="12.75">
      <c r="A7" s="211" t="str">
        <f>REGINFO!A4</f>
        <v>Reporting period:  2005</v>
      </c>
      <c r="B7" s="115"/>
      <c r="D7" s="137"/>
      <c r="E7" s="115"/>
      <c r="G7" s="115"/>
      <c r="H7" s="463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29">
        <f>REGINFO!B6</f>
        <v>365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256</v>
      </c>
      <c r="B10" s="429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341</v>
      </c>
      <c r="B16" s="125">
        <v>1</v>
      </c>
      <c r="C16" s="258">
        <f>REGINFO!E54</f>
        <v>2244824</v>
      </c>
      <c r="D16" s="17"/>
      <c r="E16" s="266">
        <f>G16-C16</f>
        <v>653506.6099999994</v>
      </c>
      <c r="F16" s="3"/>
      <c r="G16" s="266">
        <f>TAXREC!E50</f>
        <v>2898330.6099999994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0">
        <v>3781955</v>
      </c>
      <c r="D20" s="18"/>
      <c r="E20" s="266">
        <f>G20-C20</f>
        <v>686433</v>
      </c>
      <c r="F20" s="6"/>
      <c r="G20" s="266">
        <f>TAXREC!E61</f>
        <v>4468388</v>
      </c>
      <c r="H20" s="151"/>
    </row>
    <row r="21" spans="1:8" ht="12.75">
      <c r="A21" s="158" t="s">
        <v>56</v>
      </c>
      <c r="B21" s="127">
        <v>3</v>
      </c>
      <c r="C21" s="260"/>
      <c r="D21" s="18"/>
      <c r="E21" s="266">
        <f>G21-C21</f>
        <v>0</v>
      </c>
      <c r="F21" s="6"/>
      <c r="G21" s="266">
        <f>TAXREC!E62</f>
        <v>0</v>
      </c>
      <c r="H21" s="151"/>
    </row>
    <row r="22" spans="1:8" ht="12.75">
      <c r="A22" s="158" t="s">
        <v>264</v>
      </c>
      <c r="B22" s="127">
        <v>4</v>
      </c>
      <c r="C22" s="260"/>
      <c r="D22" s="18"/>
      <c r="E22" s="266">
        <f>G22-C22</f>
        <v>0</v>
      </c>
      <c r="F22" s="6"/>
      <c r="G22" s="266">
        <f>TAXREC!E63</f>
        <v>0</v>
      </c>
      <c r="H22" s="151"/>
    </row>
    <row r="23" spans="1:8" ht="12.75">
      <c r="A23" s="158" t="s">
        <v>263</v>
      </c>
      <c r="B23" s="127">
        <v>4</v>
      </c>
      <c r="C23" s="260"/>
      <c r="D23" s="18"/>
      <c r="E23" s="266">
        <f>G23-C23</f>
        <v>0</v>
      </c>
      <c r="F23" s="6"/>
      <c r="G23" s="266">
        <f>TAXREC!E64</f>
        <v>0</v>
      </c>
      <c r="H23" s="151"/>
    </row>
    <row r="24" spans="1:8" ht="12.75">
      <c r="A24" s="158" t="s">
        <v>265</v>
      </c>
      <c r="B24" s="127">
        <v>5</v>
      </c>
      <c r="C24" s="260"/>
      <c r="D24" s="18"/>
      <c r="E24" s="266">
        <f>G24-C24</f>
        <v>0</v>
      </c>
      <c r="F24" s="6"/>
      <c r="G24" s="266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0"/>
      <c r="D26" s="18"/>
      <c r="E26" s="266">
        <f>G26-C26</f>
        <v>28481</v>
      </c>
      <c r="F26" s="6"/>
      <c r="G26" s="266">
        <f>TAXREC!E92</f>
        <v>28481</v>
      </c>
      <c r="H26" s="151"/>
    </row>
    <row r="27" spans="1:8" ht="12.75">
      <c r="A27" s="158" t="s">
        <v>159</v>
      </c>
      <c r="B27" s="127">
        <v>6</v>
      </c>
      <c r="C27" s="260"/>
      <c r="D27" s="18"/>
      <c r="E27" s="266">
        <f>G27-C27</f>
        <v>0</v>
      </c>
      <c r="F27" s="6"/>
      <c r="G27" s="266">
        <f>TAXREC!E93</f>
        <v>0</v>
      </c>
      <c r="H27" s="151"/>
    </row>
    <row r="28" spans="1:8" ht="12.75">
      <c r="A28" s="158" t="s">
        <v>158</v>
      </c>
      <c r="B28" s="127">
        <v>6</v>
      </c>
      <c r="C28" s="260"/>
      <c r="D28" s="18"/>
      <c r="E28" s="266">
        <f>G28-C28</f>
        <v>175144</v>
      </c>
      <c r="F28" s="6"/>
      <c r="G28" s="266">
        <f>TAXREC!E67</f>
        <v>175144</v>
      </c>
      <c r="H28" s="151"/>
    </row>
    <row r="29" spans="1:8" ht="12.75">
      <c r="A29" s="158" t="s">
        <v>157</v>
      </c>
      <c r="B29" s="127">
        <v>6</v>
      </c>
      <c r="C29" s="260"/>
      <c r="D29" s="18"/>
      <c r="E29" s="266">
        <f>G29-C29</f>
        <v>0</v>
      </c>
      <c r="F29" s="6"/>
      <c r="G29" s="266">
        <f>TAXREC!E68</f>
        <v>0</v>
      </c>
      <c r="H29" s="151"/>
    </row>
    <row r="30" spans="1:8" ht="15.75">
      <c r="A30" s="479" t="s">
        <v>395</v>
      </c>
      <c r="B30" s="127"/>
      <c r="C30" s="258"/>
      <c r="D30" s="18"/>
      <c r="E30" s="266">
        <f>G30-C30</f>
        <v>614133</v>
      </c>
      <c r="F30" s="6"/>
      <c r="G30" s="266">
        <f>TAXREC!E66</f>
        <v>614133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342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0">
        <v>2546107</v>
      </c>
      <c r="D33" s="132"/>
      <c r="E33" s="266">
        <f aca="true" t="shared" si="0" ref="E33:E42">G33-C33</f>
        <v>1079586</v>
      </c>
      <c r="F33" s="6"/>
      <c r="G33" s="266">
        <f>TAXREC!E97+TAXREC!E98</f>
        <v>3625693</v>
      </c>
      <c r="H33" s="151"/>
    </row>
    <row r="34" spans="1:8" ht="12.75">
      <c r="A34" s="158" t="s">
        <v>57</v>
      </c>
      <c r="B34" s="127">
        <v>8</v>
      </c>
      <c r="C34" s="260"/>
      <c r="D34" s="132"/>
      <c r="E34" s="266">
        <f t="shared" si="0"/>
        <v>61271</v>
      </c>
      <c r="F34" s="6"/>
      <c r="G34" s="266">
        <f>TAXREC!E99</f>
        <v>61271</v>
      </c>
      <c r="H34" s="151"/>
    </row>
    <row r="35" spans="1:8" ht="12.75">
      <c r="A35" s="158" t="s">
        <v>45</v>
      </c>
      <c r="B35" s="127">
        <v>9</v>
      </c>
      <c r="C35" s="260"/>
      <c r="D35" s="132"/>
      <c r="E35" s="266">
        <f t="shared" si="0"/>
        <v>0</v>
      </c>
      <c r="F35" s="6"/>
      <c r="G35" s="266">
        <f>TAXREC!E100</f>
        <v>0</v>
      </c>
      <c r="H35" s="151"/>
    </row>
    <row r="36" spans="1:8" ht="12.75">
      <c r="A36" s="158" t="s">
        <v>266</v>
      </c>
      <c r="B36" s="127">
        <v>10</v>
      </c>
      <c r="C36" s="260"/>
      <c r="D36" s="132"/>
      <c r="E36" s="266">
        <f t="shared" si="0"/>
        <v>0</v>
      </c>
      <c r="F36" s="6"/>
      <c r="G36" s="266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59">
        <v>1047766</v>
      </c>
      <c r="D37" s="132"/>
      <c r="E37" s="266">
        <f t="shared" si="0"/>
        <v>-1045812</v>
      </c>
      <c r="F37" s="6"/>
      <c r="G37" s="522">
        <f>TAXREC!E51</f>
        <v>1954</v>
      </c>
      <c r="H37" s="151"/>
    </row>
    <row r="38" spans="1:8" ht="12.75">
      <c r="A38" s="155" t="s">
        <v>262</v>
      </c>
      <c r="B38" s="125">
        <v>4</v>
      </c>
      <c r="C38" s="260"/>
      <c r="D38" s="132"/>
      <c r="E38" s="266">
        <f t="shared" si="0"/>
        <v>0</v>
      </c>
      <c r="F38" s="6"/>
      <c r="G38" s="266">
        <f>TAXREC!E104</f>
        <v>0</v>
      </c>
      <c r="H38" s="151"/>
    </row>
    <row r="39" spans="1:8" ht="12.75">
      <c r="A39" s="155" t="s">
        <v>261</v>
      </c>
      <c r="B39" s="125">
        <v>4</v>
      </c>
      <c r="C39" s="260"/>
      <c r="D39" s="132"/>
      <c r="E39" s="266">
        <f t="shared" si="0"/>
        <v>0</v>
      </c>
      <c r="F39" s="6"/>
      <c r="G39" s="266">
        <f>TAXREC!E105</f>
        <v>0</v>
      </c>
      <c r="H39" s="151"/>
    </row>
    <row r="40" spans="1:8" ht="12.75">
      <c r="A40" s="155" t="s">
        <v>12</v>
      </c>
      <c r="B40" s="125">
        <v>3</v>
      </c>
      <c r="C40" s="260"/>
      <c r="D40" s="132"/>
      <c r="E40" s="266">
        <f t="shared" si="0"/>
        <v>0</v>
      </c>
      <c r="F40" s="6"/>
      <c r="G40" s="266">
        <f>TAXREC!E106</f>
        <v>0</v>
      </c>
      <c r="H40" s="151"/>
    </row>
    <row r="41" spans="1:8" ht="12.75">
      <c r="A41" s="155" t="s">
        <v>13</v>
      </c>
      <c r="B41" s="125">
        <v>3</v>
      </c>
      <c r="C41" s="260"/>
      <c r="D41" s="132"/>
      <c r="E41" s="266">
        <f t="shared" si="0"/>
        <v>0</v>
      </c>
      <c r="F41" s="6"/>
      <c r="G41" s="266">
        <f>TAXREC!E107</f>
        <v>0</v>
      </c>
      <c r="H41" s="151"/>
    </row>
    <row r="42" spans="1:8" ht="12.75">
      <c r="A42" s="155" t="s">
        <v>184</v>
      </c>
      <c r="B42" s="125">
        <v>11</v>
      </c>
      <c r="C42" s="260"/>
      <c r="D42" s="132"/>
      <c r="E42" s="266">
        <f t="shared" si="0"/>
        <v>0</v>
      </c>
      <c r="F42" s="6"/>
      <c r="G42" s="266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0"/>
      <c r="D44" s="132"/>
      <c r="E44" s="266">
        <f>G44-C44</f>
        <v>4700</v>
      </c>
      <c r="F44" s="6"/>
      <c r="G44" s="251">
        <f>TAXREC!E130</f>
        <v>4700</v>
      </c>
      <c r="H44" s="151"/>
    </row>
    <row r="45" spans="1:8" ht="12.75">
      <c r="A45" s="158" t="s">
        <v>153</v>
      </c>
      <c r="B45" s="127">
        <v>12</v>
      </c>
      <c r="C45" s="260"/>
      <c r="D45" s="132"/>
      <c r="E45" s="266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0"/>
      <c r="D46" s="132"/>
      <c r="E46" s="266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154</v>
      </c>
      <c r="B47" s="127">
        <v>12</v>
      </c>
      <c r="C47" s="260"/>
      <c r="D47" s="132"/>
      <c r="E47" s="266">
        <f>G47-C47</f>
        <v>0</v>
      </c>
      <c r="F47" s="6"/>
      <c r="G47" s="251">
        <f>TAXREC!E111</f>
        <v>0</v>
      </c>
      <c r="H47" s="151"/>
    </row>
    <row r="48" spans="1:8" ht="15.75">
      <c r="A48" s="479" t="s">
        <v>395</v>
      </c>
      <c r="B48" s="127"/>
      <c r="C48" s="258"/>
      <c r="D48" s="132"/>
      <c r="E48" s="266">
        <f>G48-C48</f>
        <v>1046461</v>
      </c>
      <c r="F48" s="6"/>
      <c r="G48" s="251">
        <f>TAXREC!E108</f>
        <v>1046461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328</v>
      </c>
      <c r="B50" s="125"/>
      <c r="C50" s="262">
        <f>C16+SUM(C20:C30)-SUM(C33:C48)</f>
        <v>2432906</v>
      </c>
      <c r="D50" s="102"/>
      <c r="E50" s="262">
        <f>E16+SUM(E20:E30)-SUM(E33:E48)</f>
        <v>1011491.6099999994</v>
      </c>
      <c r="F50" s="431" t="s">
        <v>367</v>
      </c>
      <c r="G50" s="262">
        <f>G16+SUM(G20:G30)-SUM(G33:G48)</f>
        <v>3444397.6099999994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336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340</v>
      </c>
      <c r="B53" s="127">
        <v>13</v>
      </c>
      <c r="C53" s="261">
        <f>IF($C$50&gt;'Tax Rates'!$E$11,'Tax Rates'!$F$16,IF($C$50&gt;'Tax Rates'!$C$11,'Tax Rates'!$E$16,'Tax Rates'!$C$16))</f>
        <v>0.3612</v>
      </c>
      <c r="D53" s="102"/>
      <c r="E53" s="267">
        <f>+G53-C53</f>
        <v>0</v>
      </c>
      <c r="F53" s="114"/>
      <c r="G53" s="471">
        <f>+'Tax Rates'!F52</f>
        <v>0.3612</v>
      </c>
      <c r="H53" s="151"/>
      <c r="I53" s="468" t="s">
        <v>471</v>
      </c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3">
        <f>IF(C50&gt;0,C50*C53,0)</f>
        <v>878765.6472</v>
      </c>
      <c r="D55" s="102"/>
      <c r="E55" s="266">
        <f>G55-C55</f>
        <v>365349.825132</v>
      </c>
      <c r="F55" s="431" t="s">
        <v>368</v>
      </c>
      <c r="G55" s="263">
        <f>TAXREC!E144</f>
        <v>1244115.472332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4"/>
      <c r="D58" s="132"/>
      <c r="E58" s="266">
        <f>+G58-C58</f>
        <v>14309</v>
      </c>
      <c r="F58" s="431" t="s">
        <v>368</v>
      </c>
      <c r="G58" s="269">
        <f>TAXREC!E145</f>
        <v>14309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5">
        <f>+C55-C58</f>
        <v>878765.6472</v>
      </c>
      <c r="D60" s="133"/>
      <c r="E60" s="268">
        <f>+E55-E58</f>
        <v>351040.825132</v>
      </c>
      <c r="F60" s="431" t="s">
        <v>368</v>
      </c>
      <c r="G60" s="268">
        <f>+G55-G58</f>
        <v>1229806.472332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3">
        <f>Ratebase</f>
        <v>66420856</v>
      </c>
      <c r="D66" s="102"/>
      <c r="E66" s="266">
        <f>G66-C66</f>
        <v>19283112</v>
      </c>
      <c r="F66" s="6"/>
      <c r="G66" s="473">
        <v>85703968</v>
      </c>
      <c r="H66" s="151"/>
      <c r="I66" s="474" t="s">
        <v>472</v>
      </c>
    </row>
    <row r="67" spans="1:10" ht="12.75">
      <c r="A67" s="152" t="s">
        <v>360</v>
      </c>
      <c r="B67" s="125">
        <v>16</v>
      </c>
      <c r="C67" s="259">
        <f>IF(C66&gt;0,'Tax Rates'!C21,0)</f>
        <v>7347000</v>
      </c>
      <c r="D67" s="102"/>
      <c r="E67" s="266">
        <f>G67-C67</f>
        <v>-8418</v>
      </c>
      <c r="F67" s="6"/>
      <c r="G67" s="266">
        <f>'Tax Rates'!C57</f>
        <v>7338582</v>
      </c>
      <c r="H67" s="151"/>
      <c r="I67" s="474" t="s">
        <v>472</v>
      </c>
      <c r="J67" s="475" t="s">
        <v>473</v>
      </c>
    </row>
    <row r="68" spans="1:8" ht="12.75">
      <c r="A68" s="152" t="s">
        <v>42</v>
      </c>
      <c r="B68" s="125"/>
      <c r="C68" s="263">
        <f>IF((C66-C67)&gt;0,C66-C67,0)</f>
        <v>59073856</v>
      </c>
      <c r="D68" s="102"/>
      <c r="E68" s="266">
        <f>SUM(E66:E67)</f>
        <v>19274694</v>
      </c>
      <c r="F68" s="114"/>
      <c r="G68" s="263">
        <f>G66-G67</f>
        <v>78365386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361</v>
      </c>
      <c r="B70" s="125">
        <v>17</v>
      </c>
      <c r="C70" s="300">
        <f>'Tax Rates'!C18</f>
        <v>0.003</v>
      </c>
      <c r="D70" s="102"/>
      <c r="E70" s="267">
        <f>+G70-C70</f>
        <v>0</v>
      </c>
      <c r="F70" s="6"/>
      <c r="G70" s="300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317</v>
      </c>
      <c r="B72" s="125"/>
      <c r="C72" s="263">
        <f>IF(C68&gt;0,C68*C70,0)*REGINFO!$B$6/REGINFO!$B$7</f>
        <v>177221.568</v>
      </c>
      <c r="D72" s="101"/>
      <c r="E72" s="266">
        <f>+G72-C72</f>
        <v>57874.59</v>
      </c>
      <c r="F72" s="476"/>
      <c r="G72" s="263">
        <f>IF(G68&gt;0,G68*G70,0)*REGINFO!$B$6/REGINFO!$B$7</f>
        <v>235096.158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3">
        <f>Ratebase</f>
        <v>66420856</v>
      </c>
      <c r="D75" s="102"/>
      <c r="E75" s="266">
        <f>+G75-C75</f>
        <v>16694769</v>
      </c>
      <c r="F75" s="6"/>
      <c r="G75" s="473">
        <v>83115625</v>
      </c>
      <c r="H75" s="151"/>
      <c r="I75" s="474" t="s">
        <v>472</v>
      </c>
    </row>
    <row r="76" spans="1:9" ht="12.75">
      <c r="A76" s="152" t="s">
        <v>360</v>
      </c>
      <c r="B76" s="125">
        <v>19</v>
      </c>
      <c r="C76" s="259">
        <f>IF(C75&gt;0,'Tax Rates'!C22,0)</f>
        <v>48980000</v>
      </c>
      <c r="D76" s="18"/>
      <c r="E76" s="266">
        <f>+G76-C76</f>
        <v>1020000</v>
      </c>
      <c r="F76" s="6"/>
      <c r="G76" s="266">
        <f>'Tax Rates'!C58</f>
        <v>50000000</v>
      </c>
      <c r="H76" s="151"/>
      <c r="I76" s="474" t="s">
        <v>472</v>
      </c>
    </row>
    <row r="77" spans="1:8" ht="12.75">
      <c r="A77" s="152" t="s">
        <v>42</v>
      </c>
      <c r="B77" s="125"/>
      <c r="C77" s="263">
        <f>IF((C75-C76)&gt;0,C75-C76,0)</f>
        <v>17440856</v>
      </c>
      <c r="D77" s="19"/>
      <c r="E77" s="266">
        <f>SUM(E75:E76)</f>
        <v>17714769</v>
      </c>
      <c r="F77" s="114"/>
      <c r="G77" s="263">
        <f>IF(G76&gt;G75,0,G75-G76)</f>
        <v>33115625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361</v>
      </c>
      <c r="B79" s="125">
        <v>20</v>
      </c>
      <c r="C79" s="300">
        <f>'Tax Rates'!C19</f>
        <v>0.00175</v>
      </c>
      <c r="D79" s="102"/>
      <c r="E79" s="267">
        <f>G79-C79</f>
        <v>0</v>
      </c>
      <c r="F79" s="6"/>
      <c r="G79" s="267">
        <f>'Tax Rates'!C55</f>
        <v>0.00175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318</v>
      </c>
      <c r="B81" s="125"/>
      <c r="C81" s="263">
        <f>IF(C77&gt;0,C77*C79,0)*REGINFO!$B$6/REGINFO!$B$7</f>
        <v>30521.498</v>
      </c>
      <c r="D81" s="102"/>
      <c r="E81" s="266">
        <f>+G81-C81</f>
        <v>27430.84575</v>
      </c>
      <c r="F81" s="6"/>
      <c r="G81" s="263">
        <f>G77*G79*B9/B10</f>
        <v>57952.34375</v>
      </c>
      <c r="H81" s="151"/>
    </row>
    <row r="82" spans="1:8" ht="12.75">
      <c r="A82" s="152" t="s">
        <v>319</v>
      </c>
      <c r="B82" s="125">
        <v>21</v>
      </c>
      <c r="C82" s="299">
        <f>IF(C77&gt;0,IF(C60&gt;0,C50*'Tax Rates'!C20,0),0)</f>
        <v>27248.5472</v>
      </c>
      <c r="D82" s="102"/>
      <c r="E82" s="266">
        <f>+G82-C82</f>
        <v>-27248.5472</v>
      </c>
      <c r="F82" s="6"/>
      <c r="G82" s="299">
        <f>IF(G77&gt;0,IF(G60&gt;0,G50*'Tax Rates'!G20,0),0)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3">
        <f>C81-C82</f>
        <v>3272.9507999999987</v>
      </c>
      <c r="D84" s="16"/>
      <c r="E84" s="266">
        <f>E81-E82</f>
        <v>54679.39295</v>
      </c>
      <c r="F84" s="103"/>
      <c r="G84" s="263">
        <f>G81-G82</f>
        <v>57952.34375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1">
        <f>IF($C$50&gt;'Tax Rates'!$E$11,'Tax Rates'!$F$16,IF(AND($C$50&gt;='Tax Rates'!$C$11,$C$50&lt;='Tax Rates'!E11),'Tax Rates'!$E$16,'Tax Rates'!$C$16))</f>
        <v>0.3612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369</v>
      </c>
      <c r="B90" s="127">
        <v>22</v>
      </c>
      <c r="C90" s="263">
        <f>C60/(1-C88)</f>
        <v>1375650.6687539136</v>
      </c>
      <c r="D90" s="20"/>
      <c r="E90" s="139"/>
      <c r="F90" s="430" t="s">
        <v>494</v>
      </c>
      <c r="G90" s="269">
        <f>TAXREC!E156</f>
        <v>1229806.472332</v>
      </c>
      <c r="H90" s="151"/>
    </row>
    <row r="91" spans="1:8" ht="12.75">
      <c r="A91" s="158" t="s">
        <v>370</v>
      </c>
      <c r="B91" s="127">
        <v>23</v>
      </c>
      <c r="C91" s="263">
        <f>C84/(1-C88)</f>
        <v>5123.592360676265</v>
      </c>
      <c r="D91" s="20"/>
      <c r="E91" s="139"/>
      <c r="F91" s="430" t="s">
        <v>494</v>
      </c>
      <c r="G91" s="269">
        <f>TAXREC!E158</f>
        <v>16852</v>
      </c>
      <c r="H91" s="151"/>
    </row>
    <row r="92" spans="1:8" ht="12.75">
      <c r="A92" s="158" t="s">
        <v>348</v>
      </c>
      <c r="B92" s="127">
        <v>24</v>
      </c>
      <c r="C92" s="263">
        <f>C72</f>
        <v>177221.568</v>
      </c>
      <c r="D92" s="20"/>
      <c r="E92" s="139"/>
      <c r="F92" s="430" t="s">
        <v>494</v>
      </c>
      <c r="G92" s="269">
        <f>TAXREC!E157</f>
        <v>236667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9" ht="13.5" thickBot="1">
      <c r="A95" s="156" t="s">
        <v>495</v>
      </c>
      <c r="B95" s="125">
        <v>25</v>
      </c>
      <c r="C95" s="268">
        <f>SUM(C90:C93)</f>
        <v>1557995.8291145898</v>
      </c>
      <c r="D95" s="6"/>
      <c r="E95" s="139"/>
      <c r="F95" s="430" t="s">
        <v>494</v>
      </c>
      <c r="G95" s="413">
        <f>SUM(G90:G94)</f>
        <v>1483325.472332</v>
      </c>
      <c r="H95" s="164"/>
      <c r="I95" s="22">
        <f>+C95-1557996</f>
        <v>-0.17088541015982628</v>
      </c>
    </row>
    <row r="96" spans="1:8" ht="12.75">
      <c r="A96" s="403" t="s">
        <v>308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305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</row>
    <row r="101" spans="1:8" ht="12.75">
      <c r="A101" s="156" t="s">
        <v>346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363</v>
      </c>
      <c r="B106" s="127">
        <v>6</v>
      </c>
      <c r="C106" s="112"/>
      <c r="D106" s="3"/>
      <c r="E106" s="251">
        <f>E26</f>
        <v>28481</v>
      </c>
      <c r="F106" s="37"/>
      <c r="G106" s="201"/>
      <c r="H106" s="164"/>
    </row>
    <row r="107" spans="1:8" ht="12.75">
      <c r="A107" s="158" t="s">
        <v>364</v>
      </c>
      <c r="B107" s="127">
        <v>6</v>
      </c>
      <c r="C107" s="112"/>
      <c r="D107" s="3"/>
      <c r="E107" s="251">
        <f>E28</f>
        <v>175144</v>
      </c>
      <c r="F107" s="37"/>
      <c r="G107" s="201"/>
      <c r="H107" s="164"/>
    </row>
    <row r="108" spans="1:8" ht="12.75">
      <c r="A108" s="156" t="s">
        <v>362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61271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5" t="s">
        <v>479</v>
      </c>
      <c r="B112" s="127">
        <v>11</v>
      </c>
      <c r="C112" s="112"/>
      <c r="D112" s="3"/>
      <c r="E112" s="470">
        <f>E206</f>
        <v>0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365</v>
      </c>
      <c r="B117" s="127">
        <v>12</v>
      </c>
      <c r="C117" s="112"/>
      <c r="D117" s="3"/>
      <c r="E117" s="251">
        <f>E44</f>
        <v>4700</v>
      </c>
      <c r="F117" s="37"/>
      <c r="G117" s="201"/>
      <c r="H117" s="164"/>
    </row>
    <row r="118" spans="1:8" ht="12.75">
      <c r="A118" s="158" t="s">
        <v>366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3">
        <f>SUM(E102:E107)-SUM(E109:E118)</f>
        <v>137654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497</v>
      </c>
      <c r="B122" s="127"/>
      <c r="C122" s="112"/>
      <c r="D122" s="3" t="s">
        <v>231</v>
      </c>
      <c r="E122" s="467">
        <f>+'Tax Rates'!F52</f>
        <v>0.3612</v>
      </c>
      <c r="F122" s="468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3">
        <f>E120*E122</f>
        <v>49720.624800000005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3">
        <f>E58</f>
        <v>14309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3">
        <f>E124-E126</f>
        <v>35411.624800000005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311">
        <f>IF((E120+C50)&gt;'Tax Rates'!$E$47,'Tax Rates'!$F$52-1.12%,IF((E120+C50)&gt;'Tax Rates'!$D$47,'Tax Rates'!$E$52-1.12%,IF((E120+C50)&gt;'Tax Rates'!$C$47,'Tax Rates'!$D$52-1.12%,'Tax Rates'!$C$52-1.12%)))</f>
        <v>0.35000000000000003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352</v>
      </c>
      <c r="B132" s="130"/>
      <c r="C132" s="112"/>
      <c r="D132" s="3"/>
      <c r="E132" s="483">
        <f>E128/(1-E130)</f>
        <v>54479.42276923078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355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1">
        <f>C50</f>
        <v>2432906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311">
        <f>IF((E120+E136)&gt;'Tax Rates'!E47,'Tax Rates'!F52,IF((E120+E136)&gt;'Tax Rates'!D47,'Tax Rates'!E52,IF((E120+E136)&gt;'Tax Rates'!C47,'Tax Rates'!D52,'Tax Rates'!C52)))</f>
        <v>0.3612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2">
        <f>IF(E136&gt;0,E136*E138,0)</f>
        <v>878765.6472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3">
        <f>TAXREC!E145</f>
        <v>14309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1">
        <f>E140-E142</f>
        <v>864456.6472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1">
        <f>C60</f>
        <v>878765.6472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1">
        <f>E144-E146</f>
        <v>-14309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6" t="s">
        <v>20</v>
      </c>
      <c r="B150" s="130"/>
      <c r="C150" s="112"/>
      <c r="D150" s="119"/>
      <c r="E150" s="478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1">
        <f>C66</f>
        <v>66420856</v>
      </c>
      <c r="F151" s="37"/>
      <c r="G151" s="201"/>
      <c r="H151" s="164"/>
    </row>
    <row r="152" spans="1:8" ht="12.75">
      <c r="A152" s="171" t="s">
        <v>358</v>
      </c>
      <c r="B152" s="130"/>
      <c r="C152" s="112"/>
      <c r="D152" s="118" t="s">
        <v>188</v>
      </c>
      <c r="E152" s="304">
        <f>IF(E151&gt;0,'Tax Rates'!C39,0)</f>
        <v>7500000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1">
        <f>E151-E152</f>
        <v>58920856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359</v>
      </c>
      <c r="B155" s="130"/>
      <c r="C155" s="112"/>
      <c r="D155" s="119" t="s">
        <v>231</v>
      </c>
      <c r="E155" s="305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1">
        <f>IF(E153&gt;0,E153*E155*B9/B10,0)</f>
        <v>176762.568</v>
      </c>
      <c r="F157" s="37"/>
      <c r="G157" s="201"/>
      <c r="H157" s="164"/>
    </row>
    <row r="158" spans="1:8" ht="25.5">
      <c r="A158" s="171" t="s">
        <v>309</v>
      </c>
      <c r="B158" s="130"/>
      <c r="C158" s="112"/>
      <c r="D158" s="118" t="s">
        <v>188</v>
      </c>
      <c r="E158" s="304">
        <f>C72</f>
        <v>177221.568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72">
        <f>E157-E158</f>
        <v>-459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6" t="s">
        <v>236</v>
      </c>
      <c r="B161" s="130"/>
      <c r="C161" s="112"/>
      <c r="D161" s="119"/>
      <c r="E161" s="303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1">
        <f>C75</f>
        <v>66420856</v>
      </c>
      <c r="F162" s="37"/>
      <c r="G162" s="201"/>
      <c r="H162" s="164"/>
    </row>
    <row r="163" spans="1:8" ht="12.75">
      <c r="A163" s="171" t="s">
        <v>357</v>
      </c>
      <c r="B163" s="130"/>
      <c r="C163" s="112"/>
      <c r="D163" s="118" t="s">
        <v>188</v>
      </c>
      <c r="E163" s="304">
        <f>IF(E162&gt;0,'Tax Rates'!C40,0)</f>
        <v>50000000</v>
      </c>
      <c r="F163" s="37"/>
      <c r="G163" s="201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1">
        <f>E162-E163</f>
        <v>16420856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310</v>
      </c>
      <c r="B166" s="130"/>
      <c r="C166" s="112"/>
      <c r="D166" s="119"/>
      <c r="E166" s="305">
        <f>'Tax Rates'!C55</f>
        <v>0.00175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241</v>
      </c>
      <c r="B168" s="130"/>
      <c r="C168" s="112"/>
      <c r="D168" s="119"/>
      <c r="E168" s="301">
        <f>IF(E164&gt;0,E164*E166*B9/B10,0)</f>
        <v>28736.498</v>
      </c>
      <c r="F168" s="37"/>
      <c r="G168" s="201"/>
      <c r="H168" s="164"/>
    </row>
    <row r="169" spans="1:8" ht="12.75">
      <c r="A169" s="171" t="s">
        <v>320</v>
      </c>
      <c r="B169" s="130"/>
      <c r="C169" s="112"/>
      <c r="D169" s="118" t="s">
        <v>188</v>
      </c>
      <c r="E169" s="306">
        <f>IF(E164&gt;0,IF(E144&gt;0,E136*'Tax Rates'!C56,0),0)</f>
        <v>27248.5472</v>
      </c>
      <c r="F169" s="37"/>
      <c r="G169" s="201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1">
        <f>E168-E169</f>
        <v>1487.9507999999987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4" t="s">
        <v>347</v>
      </c>
      <c r="B172" s="130"/>
      <c r="C172" s="112"/>
      <c r="D172" s="118" t="s">
        <v>188</v>
      </c>
      <c r="E172" s="304">
        <f>C84</f>
        <v>3272.9507999999987</v>
      </c>
      <c r="F172" s="37"/>
      <c r="G172" s="201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72">
        <f>E170-E172</f>
        <v>-1785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345</v>
      </c>
      <c r="B175" s="130"/>
      <c r="C175" s="112"/>
      <c r="D175" s="119"/>
      <c r="E175" s="467">
        <f>IF((E120+G50)&gt;'Tax Rates'!E47,'Tax Rates'!F52-1.12%,IF((E120+G50)&gt;'Tax Rates'!D47,'Tax Rates'!E52-1.12%,IF((E120+G50)&gt;'Tax Rates'!C47,'Tax Rates'!D52,'Tax Rates'!C52-1.12%)))</f>
        <v>0.35000000000000003</v>
      </c>
      <c r="F175" s="468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1">
        <f>E148/(1-E175)</f>
        <v>-22013.846153846156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1">
        <f>IF(E164&gt;0,E173/(1-E175),-C91)</f>
        <v>-2746.1538461538466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1">
        <f>E159</f>
        <v>-459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353</v>
      </c>
      <c r="B181" s="130"/>
      <c r="C181" s="112"/>
      <c r="D181" s="119" t="s">
        <v>189</v>
      </c>
      <c r="E181" s="482">
        <f>SUM(E177:E179)</f>
        <v>-25219.000000000004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478</v>
      </c>
      <c r="B183" s="130"/>
      <c r="C183" s="112"/>
      <c r="D183" s="119" t="s">
        <v>187</v>
      </c>
      <c r="E183" s="482">
        <f>E132</f>
        <v>54479.42276923078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354</v>
      </c>
      <c r="B185" s="130"/>
      <c r="C185" s="112"/>
      <c r="D185" s="119" t="s">
        <v>189</v>
      </c>
      <c r="E185" s="482">
        <f>E181+E183</f>
        <v>29260.42276923078</v>
      </c>
      <c r="F185" s="37"/>
      <c r="G185" s="201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7">
        <f>REGINFO!D62</f>
        <v>2407756.03</v>
      </c>
      <c r="F193" s="3"/>
      <c r="G193" s="123"/>
      <c r="H193" s="164"/>
    </row>
    <row r="194" spans="1:8" ht="12.75">
      <c r="A194" s="155" t="s">
        <v>251</v>
      </c>
      <c r="B194" s="127"/>
      <c r="C194" s="112"/>
      <c r="D194" s="120"/>
      <c r="E194" s="307">
        <f>REGINFO!D66</f>
        <v>368097.6941039112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343</v>
      </c>
      <c r="B196" s="127"/>
      <c r="C196" s="112"/>
      <c r="D196" s="120"/>
      <c r="E196" s="307">
        <f>E193-E194</f>
        <v>2039658.3358960885</v>
      </c>
      <c r="F196" s="3"/>
      <c r="G196" s="123"/>
      <c r="H196" s="164"/>
    </row>
    <row r="197" spans="1:8" ht="12.75">
      <c r="A197" s="155" t="s">
        <v>344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257</v>
      </c>
      <c r="B199" s="127"/>
      <c r="C199" s="112"/>
      <c r="D199" s="120"/>
      <c r="E199" s="147"/>
      <c r="F199" s="3"/>
      <c r="G199" s="488"/>
      <c r="H199" s="164"/>
    </row>
    <row r="200" spans="1:8" ht="12.75">
      <c r="A200" s="176" t="s">
        <v>85</v>
      </c>
      <c r="B200" s="127"/>
      <c r="C200" s="112"/>
      <c r="D200" s="120"/>
      <c r="E200" s="147"/>
      <c r="F200" s="3"/>
      <c r="G200" s="488"/>
      <c r="H200" s="164"/>
    </row>
    <row r="201" spans="1:8" ht="12.75">
      <c r="A201" s="155" t="s">
        <v>252</v>
      </c>
      <c r="B201" s="127"/>
      <c r="C201" s="112"/>
      <c r="D201" s="120"/>
      <c r="E201" s="307">
        <f>G37+G42</f>
        <v>1954</v>
      </c>
      <c r="F201" s="3"/>
      <c r="G201" s="488"/>
      <c r="H201" s="164"/>
    </row>
    <row r="202" spans="1:8" ht="12.75">
      <c r="A202" s="155" t="s">
        <v>499</v>
      </c>
      <c r="B202" s="127"/>
      <c r="C202" s="112"/>
      <c r="D202" s="120"/>
      <c r="E202" s="521">
        <v>2407756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2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480</v>
      </c>
      <c r="B206" s="127"/>
      <c r="C206" s="112"/>
      <c r="D206" s="120"/>
      <c r="E206" s="469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08">
        <f>+E196-E204</f>
        <v>2039658.3358960885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/>
  <pageMargins left="0.35433070866141736" right="0.03937007874015748" top="0.9055118110236221" bottom="0.35433070866141736" header="0.2755905511811024" footer="0"/>
  <pageSetup fitToHeight="3" horizontalDpi="600" verticalDpi="600" orientation="portrait" paperSize="5" scale="51" r:id="rId3"/>
  <headerFooter alignWithMargins="0">
    <oddHeader>&amp;L&amp;"Arial,Bold"&amp;12APPENDIX G&amp;R&amp;9Thunder Bay Hydro Electricity Distribution Inc.
OEB Application: IRM3
Application: EB 2011-0197
LDC License #: EB-2002-0529</oddHeader>
    <oddFooter>&amp;L&amp;Z&amp;F&amp;C&amp;N&amp;R&amp;"Arial,Bold"&amp;9&amp;A</oddFooter>
  </headerFooter>
  <rowBreaks count="1" manualBreakCount="1">
    <brk id="97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33.28125" style="0" customWidth="1"/>
    <col min="8" max="8" width="4.28125" style="0" customWidth="1"/>
    <col min="9" max="9" width="11.8515625" style="0" customWidth="1"/>
    <col min="10" max="10" width="14.421875" style="0" bestFit="1" customWidth="1"/>
    <col min="11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EB-2008-0381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Thunder Bay Hydro Electricity Distribution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2005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495">
        <v>38353</v>
      </c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495">
        <v>38717</v>
      </c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5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485">
        <v>0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496" t="s">
        <v>501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496" t="s">
        <v>502</v>
      </c>
      <c r="D15" s="25"/>
      <c r="E15" s="25"/>
      <c r="F15" s="20"/>
      <c r="G15" s="3"/>
      <c r="H15" s="3"/>
      <c r="I15" s="3"/>
    </row>
    <row r="16" spans="1:9" ht="12.75">
      <c r="A16" s="298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496" t="s">
        <v>501</v>
      </c>
      <c r="E17" s="26"/>
      <c r="F17" s="8"/>
    </row>
    <row r="18" spans="1:6" ht="12.75">
      <c r="A18" s="55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9" t="s">
        <v>326</v>
      </c>
      <c r="B23" s="400"/>
      <c r="C23" s="401"/>
      <c r="D23" s="402"/>
      <c r="E23" s="28"/>
      <c r="F23" s="11"/>
      <c r="G23" s="11"/>
      <c r="H23" s="6"/>
      <c r="I23" s="6"/>
    </row>
    <row r="24" spans="1:9" ht="12.75">
      <c r="A24" s="399" t="s">
        <v>259</v>
      </c>
      <c r="B24" s="400"/>
      <c r="C24" s="401"/>
      <c r="D24" s="402"/>
      <c r="E24" s="28"/>
      <c r="F24" s="11"/>
      <c r="G24" s="11"/>
      <c r="H24" s="6"/>
      <c r="I24" s="6"/>
    </row>
    <row r="25" spans="1:9" ht="12.75">
      <c r="A25" s="399" t="s">
        <v>223</v>
      </c>
      <c r="B25" s="400"/>
      <c r="C25" s="401"/>
      <c r="D25" s="402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9" t="s">
        <v>324</v>
      </c>
      <c r="B27" s="400"/>
      <c r="C27" s="401"/>
      <c r="D27" s="402"/>
      <c r="E27" s="28"/>
      <c r="F27" s="11"/>
      <c r="G27" s="11"/>
      <c r="H27" s="6"/>
      <c r="I27" s="6"/>
    </row>
    <row r="28" spans="1:9" ht="12.75">
      <c r="A28" s="399" t="s">
        <v>325</v>
      </c>
      <c r="B28" s="400"/>
      <c r="C28" s="401"/>
      <c r="D28" s="402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274</v>
      </c>
      <c r="B31" s="23" t="s">
        <v>187</v>
      </c>
      <c r="C31" s="284">
        <v>74155766</v>
      </c>
      <c r="D31" s="285"/>
      <c r="E31" s="283">
        <f>C31-D31</f>
        <v>74155766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4">
        <v>15663874</v>
      </c>
      <c r="D32" s="285"/>
      <c r="E32" s="283">
        <f>C32-D32</f>
        <v>15663874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4">
        <v>2666267</v>
      </c>
      <c r="D33" s="285">
        <v>634238</v>
      </c>
      <c r="E33" s="283">
        <f>C33-D33</f>
        <v>2032029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4">
        <v>0</v>
      </c>
      <c r="D34" s="285"/>
      <c r="E34" s="283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4">
        <v>212295</v>
      </c>
      <c r="D35" s="285"/>
      <c r="E35" s="283">
        <f>C35-D35</f>
        <v>212295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4">
        <v>74155766</v>
      </c>
      <c r="D39" s="285"/>
      <c r="E39" s="283">
        <f>C39-D39</f>
        <v>74155766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4">
        <v>1650865</v>
      </c>
      <c r="D40" s="285"/>
      <c r="E40" s="283">
        <f aca="true" t="shared" si="0" ref="E40:E48">C40-D40</f>
        <v>1650865</v>
      </c>
      <c r="F40" s="11"/>
      <c r="G40" s="484"/>
      <c r="H40" s="6"/>
      <c r="I40" s="6"/>
    </row>
    <row r="41" spans="1:9" ht="12.75">
      <c r="A41" s="4" t="s">
        <v>275</v>
      </c>
      <c r="B41" s="23" t="s">
        <v>188</v>
      </c>
      <c r="C41" s="284">
        <v>2977222</v>
      </c>
      <c r="D41" s="285">
        <v>133195.35</v>
      </c>
      <c r="E41" s="283">
        <f t="shared" si="0"/>
        <v>2844026.65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4">
        <v>5858159</v>
      </c>
      <c r="D42" s="285">
        <v>29774.26</v>
      </c>
      <c r="E42" s="283">
        <f t="shared" si="0"/>
        <v>5828384.74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4">
        <v>4468388</v>
      </c>
      <c r="D43" s="285"/>
      <c r="E43" s="283">
        <f t="shared" si="0"/>
        <v>4468388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4">
        <v>139116</v>
      </c>
      <c r="D44" s="285"/>
      <c r="E44" s="283">
        <f t="shared" si="0"/>
        <v>139116</v>
      </c>
      <c r="F44" s="11"/>
      <c r="G44" s="11"/>
      <c r="H44" s="6"/>
      <c r="I44" s="6"/>
    </row>
    <row r="45" spans="1:11" ht="12.75">
      <c r="A45" s="4" t="s">
        <v>485</v>
      </c>
      <c r="B45" s="23" t="s">
        <v>188</v>
      </c>
      <c r="C45" s="284">
        <v>346516</v>
      </c>
      <c r="D45" s="285"/>
      <c r="E45" s="283">
        <f t="shared" si="0"/>
        <v>346516</v>
      </c>
      <c r="F45" s="11"/>
      <c r="G45" s="11"/>
      <c r="H45" s="33"/>
      <c r="I45" s="33"/>
      <c r="J45" s="32"/>
      <c r="K45" s="32"/>
    </row>
    <row r="46" spans="1:11" ht="12.75">
      <c r="A46" s="4" t="s">
        <v>496</v>
      </c>
      <c r="B46" s="23" t="s">
        <v>188</v>
      </c>
      <c r="C46" s="284">
        <v>341489</v>
      </c>
      <c r="D46" s="285">
        <v>245979</v>
      </c>
      <c r="E46" s="283">
        <f t="shared" si="0"/>
        <v>95510</v>
      </c>
      <c r="F46" s="11"/>
      <c r="G46" s="84"/>
      <c r="H46" s="33"/>
      <c r="I46" s="33"/>
      <c r="J46" s="32"/>
      <c r="K46" s="32"/>
    </row>
    <row r="47" spans="1:11" ht="12.75">
      <c r="A47" s="48" t="s">
        <v>504</v>
      </c>
      <c r="B47" s="23" t="s">
        <v>188</v>
      </c>
      <c r="C47" s="284">
        <f>-559651+196712</f>
        <v>-362939</v>
      </c>
      <c r="D47" s="285"/>
      <c r="E47" s="283">
        <f t="shared" si="0"/>
        <v>-362939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4"/>
      <c r="D48" s="285"/>
      <c r="E48" s="283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0">
        <f>SUM(C31:C36)-SUM(C39:C49)</f>
        <v>3123620</v>
      </c>
      <c r="D50" s="280">
        <f>SUM(D31:D36)-SUM(D39:D49)</f>
        <v>225289.39</v>
      </c>
      <c r="E50" s="280">
        <f>SUM(E31:E35)-SUM(E39:E48)</f>
        <v>2898330.6099999994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4">
        <v>1954</v>
      </c>
      <c r="D51" s="284"/>
      <c r="E51" s="281">
        <f>+C51-D51</f>
        <v>1954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284">
        <v>1365000</v>
      </c>
      <c r="D52" s="284"/>
      <c r="E52" s="282">
        <f>+C52-D52</f>
        <v>1365000</v>
      </c>
      <c r="F52" s="8"/>
      <c r="G52" s="415" t="s">
        <v>477</v>
      </c>
    </row>
    <row r="53" spans="1:6" ht="12.75">
      <c r="A53" s="2" t="s">
        <v>131</v>
      </c>
      <c r="B53" s="8" t="s">
        <v>189</v>
      </c>
      <c r="C53" s="280">
        <f>C50-C51-C52</f>
        <v>1756666</v>
      </c>
      <c r="D53" s="280">
        <f>D50-D51-D52</f>
        <v>225289.39</v>
      </c>
      <c r="E53" s="280">
        <f>E50-E51-E52</f>
        <v>1531376.6099999994</v>
      </c>
      <c r="F53" s="8"/>
    </row>
    <row r="54" spans="1:6" ht="36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6">
        <f>C52</f>
        <v>1365000</v>
      </c>
      <c r="D59" s="286">
        <f>D52</f>
        <v>0</v>
      </c>
      <c r="E59" s="271">
        <f>+C59-D59</f>
        <v>1365000</v>
      </c>
      <c r="F59" s="8"/>
      <c r="G59" s="415" t="s">
        <v>477</v>
      </c>
    </row>
    <row r="60" spans="1:6" ht="12.75">
      <c r="A60" s="4" t="s">
        <v>327</v>
      </c>
      <c r="B60" s="8" t="s">
        <v>187</v>
      </c>
      <c r="C60" s="317"/>
      <c r="D60" s="317"/>
      <c r="E60" s="271">
        <f>+C60-D60</f>
        <v>0</v>
      </c>
      <c r="F60" s="8"/>
    </row>
    <row r="61" spans="1:7" ht="12.75">
      <c r="A61" t="s">
        <v>4</v>
      </c>
      <c r="B61" s="8" t="s">
        <v>187</v>
      </c>
      <c r="C61" s="286">
        <f>C43</f>
        <v>4468388</v>
      </c>
      <c r="D61" s="286">
        <f>D43</f>
        <v>0</v>
      </c>
      <c r="E61" s="271">
        <f>+C61-D61</f>
        <v>4468388</v>
      </c>
      <c r="F61" s="8"/>
      <c r="G61" s="415"/>
    </row>
    <row r="62" spans="1:6" ht="12.75">
      <c r="A62" t="s">
        <v>6</v>
      </c>
      <c r="B62" s="8" t="s">
        <v>187</v>
      </c>
      <c r="C62" s="317"/>
      <c r="D62" s="286">
        <v>0</v>
      </c>
      <c r="E62" s="271">
        <f>+C62-D62</f>
        <v>0</v>
      </c>
      <c r="F62" s="8"/>
    </row>
    <row r="63" spans="1:6" ht="12.75">
      <c r="A63" s="31" t="s">
        <v>279</v>
      </c>
      <c r="B63" s="8" t="s">
        <v>187</v>
      </c>
      <c r="C63" s="315">
        <f>'Tax Reserves'!C22</f>
        <v>0</v>
      </c>
      <c r="D63" s="316">
        <f>'Tax Reserves'!D22</f>
        <v>0</v>
      </c>
      <c r="E63" s="271">
        <f>C63-D63</f>
        <v>0</v>
      </c>
      <c r="F63" s="8"/>
    </row>
    <row r="64" spans="1:6" ht="12.75">
      <c r="A64" s="4" t="s">
        <v>52</v>
      </c>
      <c r="B64" s="8" t="s">
        <v>187</v>
      </c>
      <c r="C64" s="315">
        <f>'Tax Reserves'!C63</f>
        <v>0</v>
      </c>
      <c r="D64" s="316">
        <f>'Tax Reserves'!D63</f>
        <v>0</v>
      </c>
      <c r="E64" s="271">
        <f>+C64-D64</f>
        <v>0</v>
      </c>
      <c r="F64" s="8"/>
    </row>
    <row r="65" spans="1:6" ht="12.75">
      <c r="A65" t="s">
        <v>444</v>
      </c>
      <c r="B65" s="8" t="s">
        <v>187</v>
      </c>
      <c r="C65" s="285"/>
      <c r="D65" s="285"/>
      <c r="E65" s="271">
        <f>+C65-D65</f>
        <v>0</v>
      </c>
      <c r="F65" s="8"/>
    </row>
    <row r="66" spans="1:6" ht="15">
      <c r="A66" s="465" t="s">
        <v>395</v>
      </c>
      <c r="B66" s="8"/>
      <c r="C66" s="446">
        <f>'TAXREC 3 No True-up'!C47</f>
        <v>614133</v>
      </c>
      <c r="D66" s="446">
        <f>'TAXREC 3 No True-up'!D47</f>
        <v>0</v>
      </c>
      <c r="E66" s="271">
        <f>+C66-D66</f>
        <v>614133</v>
      </c>
      <c r="F66" s="8"/>
    </row>
    <row r="67" spans="1:6" ht="12.75">
      <c r="A67" t="s">
        <v>160</v>
      </c>
      <c r="B67" s="8" t="s">
        <v>187</v>
      </c>
      <c r="C67" s="251">
        <f>'TAXREC 2'!C77</f>
        <v>175144</v>
      </c>
      <c r="D67" s="251">
        <f>'TAXREC 2'!D77</f>
        <v>0</v>
      </c>
      <c r="E67" s="271">
        <f>+C67-D67</f>
        <v>175144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1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6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1">
        <f>SUM(C59:C68)</f>
        <v>6622665</v>
      </c>
      <c r="D70" s="271">
        <f>SUM(D59:D68)</f>
        <v>0</v>
      </c>
      <c r="E70" s="271">
        <f>SUM(E59:E68)</f>
        <v>6622665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3"/>
      <c r="D73" s="293"/>
      <c r="E73" s="271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3">
        <v>14172</v>
      </c>
      <c r="D74" s="293"/>
      <c r="E74" s="271">
        <f t="shared" si="1"/>
        <v>14172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3"/>
      <c r="D75" s="293"/>
      <c r="E75" s="271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 t="s">
        <v>507</v>
      </c>
      <c r="B76" s="8" t="s">
        <v>187</v>
      </c>
      <c r="C76" s="480">
        <v>14309</v>
      </c>
      <c r="D76" s="293"/>
      <c r="E76" s="477">
        <f t="shared" si="1"/>
        <v>14309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3"/>
      <c r="D77" s="293"/>
      <c r="E77" s="271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3"/>
      <c r="D78" s="293"/>
      <c r="E78" s="271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3"/>
      <c r="D79" s="293"/>
      <c r="E79" s="271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28481</v>
      </c>
      <c r="D80" s="251">
        <f>SUM(D73:D79)</f>
        <v>0</v>
      </c>
      <c r="E80" s="251">
        <f>SUM(E73:E79)</f>
        <v>28481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6651146</v>
      </c>
      <c r="D82" s="251">
        <f>D70+D80</f>
        <v>0</v>
      </c>
      <c r="E82" s="251">
        <f>E70+E80</f>
        <v>6651146</v>
      </c>
      <c r="F82" s="8"/>
      <c r="G82" s="30">
        <f>+C82-6651146</f>
        <v>0</v>
      </c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79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7" t="str">
        <f aca="true" t="shared" si="2" ref="A85:A91">IF($E73&gt;$C$13,A73," ")</f>
        <v> </v>
      </c>
      <c r="B85" s="272"/>
      <c r="C85" s="289">
        <f aca="true" t="shared" si="3" ref="C85:E89">IF($E73&gt;$C$13,C73,)</f>
        <v>0</v>
      </c>
      <c r="D85" s="289">
        <f t="shared" si="3"/>
        <v>0</v>
      </c>
      <c r="E85" s="289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7" t="str">
        <f t="shared" si="2"/>
        <v>Non-deductible meals and entertainment expense</v>
      </c>
      <c r="B86" s="272"/>
      <c r="C86" s="289">
        <f t="shared" si="3"/>
        <v>14172</v>
      </c>
      <c r="D86" s="289">
        <f t="shared" si="3"/>
        <v>0</v>
      </c>
      <c r="E86" s="289">
        <f t="shared" si="3"/>
        <v>14172</v>
      </c>
      <c r="F86" s="8"/>
      <c r="G86" s="45"/>
      <c r="H86" s="45"/>
      <c r="I86" s="45"/>
      <c r="J86" s="45"/>
      <c r="K86" s="45"/>
    </row>
    <row r="87" spans="1:11" ht="12.75">
      <c r="A87" s="287" t="str">
        <f t="shared" si="2"/>
        <v> </v>
      </c>
      <c r="B87" s="272"/>
      <c r="C87" s="289">
        <f t="shared" si="3"/>
        <v>0</v>
      </c>
      <c r="D87" s="289">
        <f t="shared" si="3"/>
        <v>0</v>
      </c>
      <c r="E87" s="289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7" t="str">
        <f t="shared" si="2"/>
        <v>Appenticeship Credit</v>
      </c>
      <c r="B88" s="272"/>
      <c r="C88" s="289">
        <f t="shared" si="3"/>
        <v>14309</v>
      </c>
      <c r="D88" s="289">
        <f t="shared" si="3"/>
        <v>0</v>
      </c>
      <c r="E88" s="289">
        <f t="shared" si="3"/>
        <v>14309</v>
      </c>
      <c r="F88" s="8"/>
      <c r="G88" s="45"/>
      <c r="H88" s="45"/>
      <c r="I88" s="45"/>
      <c r="J88" s="45"/>
      <c r="K88" s="45"/>
    </row>
    <row r="89" spans="1:11" ht="12.75">
      <c r="A89" s="287" t="str">
        <f t="shared" si="2"/>
        <v> </v>
      </c>
      <c r="B89" s="272"/>
      <c r="C89" s="289">
        <f t="shared" si="3"/>
        <v>0</v>
      </c>
      <c r="D89" s="289">
        <f t="shared" si="3"/>
        <v>0</v>
      </c>
      <c r="E89" s="289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7" t="str">
        <f t="shared" si="2"/>
        <v> </v>
      </c>
      <c r="B90" s="272"/>
      <c r="C90" s="289">
        <f aca="true" t="shared" si="4" ref="C90:E91">IF($E78&gt;$C$13,C78,)</f>
        <v>0</v>
      </c>
      <c r="D90" s="289">
        <f t="shared" si="4"/>
        <v>0</v>
      </c>
      <c r="E90" s="289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7" t="str">
        <f t="shared" si="2"/>
        <v> </v>
      </c>
      <c r="B91" s="272"/>
      <c r="C91" s="289">
        <f t="shared" si="4"/>
        <v>0</v>
      </c>
      <c r="D91" s="289">
        <f t="shared" si="4"/>
        <v>0</v>
      </c>
      <c r="E91" s="289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8" t="s">
        <v>151</v>
      </c>
      <c r="B92" s="272"/>
      <c r="C92" s="278">
        <f>SUM(C85:C91)</f>
        <v>28481</v>
      </c>
      <c r="D92" s="278">
        <f>SUM(D85:D91)</f>
        <v>0</v>
      </c>
      <c r="E92" s="278">
        <f>SUM(E85:E91)</f>
        <v>28481</v>
      </c>
      <c r="F92" s="8"/>
      <c r="G92" s="45"/>
      <c r="H92" s="45"/>
      <c r="I92" s="45"/>
      <c r="J92" s="45"/>
      <c r="K92" s="45"/>
    </row>
    <row r="93" spans="1:11" ht="12.75">
      <c r="A93" s="272" t="s">
        <v>432</v>
      </c>
      <c r="B93" s="272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2" t="s">
        <v>197</v>
      </c>
      <c r="B94" s="272"/>
      <c r="C94" s="251">
        <f>C92+C93</f>
        <v>28481</v>
      </c>
      <c r="D94" s="251">
        <f>D92+D93</f>
        <v>0</v>
      </c>
      <c r="E94" s="251">
        <f>E92+E93</f>
        <v>28481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3">
        <v>3618641</v>
      </c>
      <c r="D97" s="293"/>
      <c r="E97" s="271">
        <f>+C97-D97</f>
        <v>3618641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3">
        <v>7052</v>
      </c>
      <c r="D98" s="293"/>
      <c r="E98" s="271">
        <f>+C98-D98</f>
        <v>7052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3">
        <v>61271</v>
      </c>
      <c r="D99" s="293"/>
      <c r="E99" s="271">
        <f>+C99-D99</f>
        <v>61271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3"/>
      <c r="D100" s="293"/>
      <c r="E100" s="271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3"/>
      <c r="D101" s="293"/>
      <c r="E101" s="286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3"/>
      <c r="D102" s="293"/>
      <c r="E102" s="271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3"/>
      <c r="D103" s="293"/>
      <c r="E103" s="282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18">
        <f>'Tax Reserves'!C35</f>
        <v>0</v>
      </c>
      <c r="D104" s="318">
        <f>'Tax Reserves'!D35</f>
        <v>0</v>
      </c>
      <c r="E104" s="271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18">
        <f>'Tax Reserves'!C50</f>
        <v>0</v>
      </c>
      <c r="D105" s="318">
        <f>'Tax Reserves'!D50</f>
        <v>0</v>
      </c>
      <c r="E105" s="281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3"/>
      <c r="D106" s="293"/>
      <c r="E106" s="271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3"/>
      <c r="D107" s="293"/>
      <c r="E107" s="271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5" t="s">
        <v>395</v>
      </c>
      <c r="B108" s="8"/>
      <c r="C108" s="254">
        <f>'TAXREC 3 No True-up'!C73</f>
        <v>1046461</v>
      </c>
      <c r="D108" s="254">
        <f>'TAXREC 3 No True-up'!D73</f>
        <v>0</v>
      </c>
      <c r="E108" s="271">
        <f t="shared" si="5"/>
        <v>1046461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3"/>
      <c r="D109" s="293"/>
      <c r="E109" s="282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5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4733425</v>
      </c>
      <c r="D113" s="251">
        <f>SUM(D97:D111)</f>
        <v>0</v>
      </c>
      <c r="E113" s="251">
        <f>SUM(E97:E111)</f>
        <v>4733425</v>
      </c>
      <c r="F113" s="8"/>
      <c r="G113" s="30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3"/>
      <c r="D115" s="293"/>
      <c r="E115" s="271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3">
        <v>4700</v>
      </c>
      <c r="D116" s="293"/>
      <c r="E116" s="271">
        <f>+C116-D116</f>
        <v>4700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3"/>
      <c r="D117" s="293"/>
      <c r="E117" s="271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3"/>
      <c r="D118" s="293"/>
      <c r="E118" s="271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3"/>
      <c r="D119" s="293"/>
      <c r="E119" s="271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4700</v>
      </c>
      <c r="D120" s="251">
        <f>SUM(D114:D119)</f>
        <v>0</v>
      </c>
      <c r="E120" s="251">
        <f>SUM(E114:E119)</f>
        <v>4700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4738125</v>
      </c>
      <c r="D122" s="251">
        <f>D113+D120</f>
        <v>0</v>
      </c>
      <c r="E122" s="251">
        <f>+E113+E120</f>
        <v>4738125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0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7" t="str">
        <f>IF($E115&gt;$C$13,A115," ")</f>
        <v> </v>
      </c>
      <c r="B125" s="272"/>
      <c r="C125" s="289">
        <f aca="true" t="shared" si="6" ref="C125:E129">IF($E115&gt;$C$13,C115,)</f>
        <v>0</v>
      </c>
      <c r="D125" s="289">
        <f>IF($E115&gt;$C$13,D115,)</f>
        <v>0</v>
      </c>
      <c r="E125" s="289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7" t="str">
        <f>IF($E116&gt;$C$13,A116," ")</f>
        <v>Gain on disposal of assets</v>
      </c>
      <c r="B126" s="272"/>
      <c r="C126" s="289">
        <f t="shared" si="6"/>
        <v>4700</v>
      </c>
      <c r="D126" s="289">
        <f>IF($E116&gt;$C$13,D116,)</f>
        <v>0</v>
      </c>
      <c r="E126" s="289">
        <f>IF($E116&gt;$C$13,E116,)</f>
        <v>4700</v>
      </c>
      <c r="F126" s="8"/>
      <c r="G126" s="45"/>
      <c r="H126" s="45"/>
      <c r="I126" s="45"/>
      <c r="J126" s="45"/>
      <c r="K126" s="45"/>
    </row>
    <row r="127" spans="1:11" ht="12.75">
      <c r="A127" s="287" t="str">
        <f>IF($E117&gt;$C$13,A117," ")</f>
        <v> </v>
      </c>
      <c r="B127" s="272"/>
      <c r="C127" s="289">
        <f t="shared" si="6"/>
        <v>0</v>
      </c>
      <c r="D127" s="289">
        <f t="shared" si="6"/>
        <v>0</v>
      </c>
      <c r="E127" s="289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7"/>
      <c r="B128" s="272"/>
      <c r="C128" s="289">
        <f t="shared" si="6"/>
        <v>0</v>
      </c>
      <c r="D128" s="289">
        <f t="shared" si="6"/>
        <v>0</v>
      </c>
      <c r="E128" s="289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7" t="str">
        <f>IF($E119&gt;$C$13,A119," ")</f>
        <v> </v>
      </c>
      <c r="B129" s="272"/>
      <c r="C129" s="289">
        <f t="shared" si="6"/>
        <v>0</v>
      </c>
      <c r="D129" s="289">
        <f t="shared" si="6"/>
        <v>0</v>
      </c>
      <c r="E129" s="289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8" t="s">
        <v>199</v>
      </c>
      <c r="B130" s="272"/>
      <c r="C130" s="251">
        <f>SUM(C125:C129)</f>
        <v>4700</v>
      </c>
      <c r="D130" s="251">
        <f>SUM(D125:D129)</f>
        <v>0</v>
      </c>
      <c r="E130" s="251">
        <f>SUM(E125:E129)</f>
        <v>4700</v>
      </c>
      <c r="F130" s="8"/>
      <c r="G130" s="45"/>
      <c r="H130" s="45"/>
      <c r="I130" s="45"/>
      <c r="J130" s="45"/>
      <c r="K130" s="45"/>
    </row>
    <row r="131" spans="1:11" ht="12.75">
      <c r="A131" s="272" t="s">
        <v>200</v>
      </c>
      <c r="B131" s="272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2" t="s">
        <v>198</v>
      </c>
      <c r="B132" s="272"/>
      <c r="C132" s="251">
        <f>C130+C131</f>
        <v>4700</v>
      </c>
      <c r="D132" s="251">
        <f>D130+D131</f>
        <v>0</v>
      </c>
      <c r="E132" s="251">
        <f>E130+E131</f>
        <v>4700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3669687</v>
      </c>
      <c r="D134" s="251">
        <f>D53+D82-D122</f>
        <v>225289.39</v>
      </c>
      <c r="E134" s="251">
        <f>E53+E82-E122</f>
        <v>3444397.6099999994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375</v>
      </c>
      <c r="B136" s="8" t="s">
        <v>188</v>
      </c>
      <c r="C136" s="293">
        <v>0</v>
      </c>
      <c r="D136" s="293"/>
      <c r="E136" s="263">
        <f>C136-D136</f>
        <v>0</v>
      </c>
      <c r="F136" s="8"/>
      <c r="G136" s="45"/>
      <c r="H136" s="45"/>
      <c r="I136" s="33">
        <f>C139</f>
        <v>3669687</v>
      </c>
      <c r="J136" s="45"/>
      <c r="K136" s="45"/>
    </row>
    <row r="137" spans="1:11" ht="12.75">
      <c r="A137" s="46" t="s">
        <v>376</v>
      </c>
      <c r="B137" s="8" t="s">
        <v>188</v>
      </c>
      <c r="C137" s="309"/>
      <c r="D137" s="309"/>
      <c r="E137" s="393">
        <f>C137-D137</f>
        <v>0</v>
      </c>
      <c r="F137" s="8"/>
      <c r="G137" s="45"/>
      <c r="H137" s="45"/>
      <c r="I137" s="45">
        <v>3669687</v>
      </c>
      <c r="J137" s="45"/>
      <c r="K137" s="45"/>
    </row>
    <row r="138" spans="1:11" ht="12.75">
      <c r="A138" s="46"/>
      <c r="B138" s="8"/>
      <c r="C138" s="309"/>
      <c r="D138" s="309"/>
      <c r="E138" s="393">
        <f>C138-D138</f>
        <v>0</v>
      </c>
      <c r="F138" s="8"/>
      <c r="G138" s="45"/>
      <c r="H138" s="45"/>
      <c r="I138" s="518">
        <f>I136-I137</f>
        <v>0</v>
      </c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3669687</v>
      </c>
      <c r="D139" s="252">
        <f>D134-D136-D137-D138</f>
        <v>225289.39</v>
      </c>
      <c r="E139" s="252">
        <f>E134-E136-E137-E138</f>
        <v>3444397.6099999994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19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323</v>
      </c>
      <c r="B142" s="8" t="s">
        <v>187</v>
      </c>
      <c r="C142" s="516">
        <v>811734</v>
      </c>
      <c r="D142" s="297">
        <f>D139*C149</f>
        <v>49834.01306800001</v>
      </c>
      <c r="E142" s="252">
        <f>C142-D142</f>
        <v>761899.986932</v>
      </c>
      <c r="F142" s="8"/>
      <c r="G142" s="45"/>
      <c r="H142" s="45"/>
      <c r="I142" s="45"/>
      <c r="J142" s="45"/>
      <c r="K142" s="45"/>
    </row>
    <row r="143" spans="1:11" ht="12.75">
      <c r="A143" s="46" t="s">
        <v>322</v>
      </c>
      <c r="B143" s="8" t="s">
        <v>187</v>
      </c>
      <c r="C143" s="516">
        <f>499447+C145</f>
        <v>513756</v>
      </c>
      <c r="D143" s="297">
        <f>D139*C150</f>
        <v>31540.514600000006</v>
      </c>
      <c r="E143" s="291">
        <f>C143-D143</f>
        <v>482215.4854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1325490</v>
      </c>
      <c r="D144" s="252">
        <f>D142+D143</f>
        <v>81374.52766800001</v>
      </c>
      <c r="E144" s="252">
        <f>E142+E143</f>
        <v>1244115.472332</v>
      </c>
      <c r="F144" s="8"/>
      <c r="G144" s="45"/>
      <c r="H144" s="45"/>
      <c r="I144" s="45"/>
      <c r="J144" s="45"/>
      <c r="K144" s="45"/>
    </row>
    <row r="145" spans="1:11" ht="12.75">
      <c r="A145" s="46" t="s">
        <v>334</v>
      </c>
      <c r="B145" s="8" t="s">
        <v>188</v>
      </c>
      <c r="C145" s="297">
        <v>14309</v>
      </c>
      <c r="D145" s="297"/>
      <c r="E145" s="292">
        <f>C145-D145</f>
        <v>14309</v>
      </c>
      <c r="F145" s="8"/>
      <c r="G145" s="45"/>
      <c r="H145" s="45"/>
      <c r="I145" s="45"/>
      <c r="J145" s="45"/>
      <c r="K145" s="45"/>
    </row>
    <row r="146" spans="1:11" ht="12.75">
      <c r="A146" s="319" t="s">
        <v>99</v>
      </c>
      <c r="B146" s="8" t="s">
        <v>189</v>
      </c>
      <c r="C146" s="252">
        <f>C144-C145</f>
        <v>1311181</v>
      </c>
      <c r="D146" s="252">
        <f>D144-D145</f>
        <v>81374.52766800001</v>
      </c>
      <c r="E146" s="252">
        <f>E144-E145</f>
        <v>1229806.472332</v>
      </c>
      <c r="F146" s="8"/>
      <c r="G146" s="45"/>
      <c r="H146" s="45"/>
      <c r="I146" s="45"/>
      <c r="J146" s="515" t="s">
        <v>505</v>
      </c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515" t="s">
        <v>506</v>
      </c>
      <c r="K147" s="45"/>
    </row>
    <row r="148" spans="1:11" ht="12.75">
      <c r="A148" s="319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329</v>
      </c>
      <c r="B149" s="8"/>
      <c r="C149" s="404">
        <f>(28-7+1.12)/100</f>
        <v>0.2212</v>
      </c>
      <c r="D149" s="5"/>
      <c r="E149" s="405">
        <f>C149</f>
        <v>0.2212</v>
      </c>
      <c r="F149" s="8"/>
      <c r="G149" s="481" t="s">
        <v>468</v>
      </c>
      <c r="H149" s="45"/>
      <c r="I149" s="45"/>
      <c r="J149" s="404">
        <f>C142/C139</f>
        <v>0.22119979169885606</v>
      </c>
      <c r="K149" s="45"/>
    </row>
    <row r="150" spans="1:11" ht="12.75">
      <c r="A150" s="46" t="s">
        <v>330</v>
      </c>
      <c r="B150" s="8"/>
      <c r="C150" s="404">
        <v>0.14</v>
      </c>
      <c r="D150" s="5"/>
      <c r="E150" s="405">
        <f>C150</f>
        <v>0.14</v>
      </c>
      <c r="F150" s="8"/>
      <c r="G150" s="481" t="s">
        <v>469</v>
      </c>
      <c r="H150" s="45"/>
      <c r="I150" s="45"/>
      <c r="J150" s="404">
        <f>C143/C139</f>
        <v>0.13999995094949516</v>
      </c>
      <c r="K150" s="45"/>
    </row>
    <row r="151" spans="1:11" ht="12.75">
      <c r="A151" t="s">
        <v>331</v>
      </c>
      <c r="B151" s="8"/>
      <c r="C151" s="405">
        <f>SUM(C149:C150)</f>
        <v>0.3612</v>
      </c>
      <c r="D151" s="5"/>
      <c r="E151" s="405">
        <f>SUM(E149:E150)</f>
        <v>0.3612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356</v>
      </c>
      <c r="B153" s="8"/>
    </row>
    <row r="154" spans="1:2" ht="12.75">
      <c r="A154" s="14"/>
      <c r="B154" s="8"/>
    </row>
    <row r="155" spans="1:2" ht="12.75">
      <c r="A155" s="2" t="s">
        <v>476</v>
      </c>
      <c r="B155" s="8"/>
    </row>
    <row r="156" spans="1:5" ht="12.75">
      <c r="A156" t="s">
        <v>219</v>
      </c>
      <c r="B156" s="86" t="s">
        <v>187</v>
      </c>
      <c r="C156" s="251">
        <f>C146</f>
        <v>1311181</v>
      </c>
      <c r="D156" s="251">
        <f>D146</f>
        <v>81374.52766800001</v>
      </c>
      <c r="E156" s="251">
        <f>E146</f>
        <v>1229806.472332</v>
      </c>
    </row>
    <row r="157" spans="1:5" ht="12.75">
      <c r="A157" t="s">
        <v>20</v>
      </c>
      <c r="B157" s="86" t="s">
        <v>187</v>
      </c>
      <c r="C157" s="517">
        <v>236667</v>
      </c>
      <c r="D157" s="251"/>
      <c r="E157" s="251">
        <f>C157+D157</f>
        <v>236667</v>
      </c>
    </row>
    <row r="158" spans="1:5" ht="12.75">
      <c r="A158" t="s">
        <v>218</v>
      </c>
      <c r="B158" s="86" t="s">
        <v>187</v>
      </c>
      <c r="C158" s="517">
        <v>16852</v>
      </c>
      <c r="D158" s="251"/>
      <c r="E158" s="251">
        <f>C158+D158</f>
        <v>16852</v>
      </c>
    </row>
    <row r="159" ht="12.75">
      <c r="B159" s="8"/>
    </row>
    <row r="160" spans="1:5" ht="12.75">
      <c r="A160" s="2" t="s">
        <v>303</v>
      </c>
      <c r="B160" s="66" t="s">
        <v>189</v>
      </c>
      <c r="C160" s="251">
        <f>C156+C157+C158</f>
        <v>1564700</v>
      </c>
      <c r="D160" s="251">
        <f>D156+D157+D158</f>
        <v>81374.52766800001</v>
      </c>
      <c r="E160" s="251">
        <f>E156+E157+E158</f>
        <v>1483325.472332</v>
      </c>
    </row>
    <row r="161" ht="12.75" customHeight="1">
      <c r="C161" s="85"/>
    </row>
    <row r="162" ht="12.75" customHeight="1">
      <c r="C162" s="8"/>
    </row>
    <row r="163" ht="12.75" customHeight="1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/>
  <pageMargins left="0.35433070866141736" right="0.03937007874015748" top="0.9055118110236221" bottom="0.35433070866141736" header="0.2755905511811024" footer="0"/>
  <pageSetup fitToHeight="2" fitToWidth="1" horizontalDpi="600" verticalDpi="600" orientation="portrait" paperSize="5" scale="84" r:id="rId3"/>
  <headerFooter alignWithMargins="0">
    <oddHeader>&amp;L&amp;"Arial,Bold"&amp;12APPENDIX G&amp;R&amp;9Thunder Bay Hydro Electricity Distribution Inc.
OEB Application: IRM3
Application: EB 2011-0197
LDC License #: EB-2002-0529</oddHeader>
    <oddFooter>&amp;L&amp;9&amp;Z&amp;F&amp;R&amp;"Arial,Bold"&amp;9&amp;A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G63"/>
  <sheetViews>
    <sheetView tabSelected="1" workbookViewId="0" topLeftCell="A1">
      <selection activeCell="A3" sqref="A3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EB-2008-0381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Thunder Bay Hydro Electricity Distribution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2005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273</v>
      </c>
      <c r="B12" s="61"/>
      <c r="C12" s="310"/>
      <c r="D12" s="310"/>
      <c r="E12" s="61"/>
    </row>
    <row r="13" spans="1:5" ht="12.75">
      <c r="A13" s="61"/>
      <c r="B13" s="61"/>
      <c r="C13" s="293"/>
      <c r="D13" s="293"/>
      <c r="E13" s="251">
        <f>C13-D13</f>
        <v>0</v>
      </c>
    </row>
    <row r="14" spans="1:7" ht="12.75">
      <c r="A14" s="61" t="s">
        <v>281</v>
      </c>
      <c r="B14" s="61"/>
      <c r="C14" s="293"/>
      <c r="D14" s="293"/>
      <c r="E14" s="251">
        <f aca="true" t="shared" si="0" ref="E14:E21">C14-D14</f>
        <v>0</v>
      </c>
      <c r="G14">
        <v>70004</v>
      </c>
    </row>
    <row r="15" spans="1:5" ht="12.75">
      <c r="A15" s="61" t="s">
        <v>282</v>
      </c>
      <c r="B15" s="61"/>
      <c r="C15" s="293"/>
      <c r="D15" s="293"/>
      <c r="E15" s="251">
        <f t="shared" si="0"/>
        <v>0</v>
      </c>
    </row>
    <row r="16" spans="1:5" ht="12.75">
      <c r="A16" s="61" t="s">
        <v>283</v>
      </c>
      <c r="B16" s="61"/>
      <c r="C16" s="293"/>
      <c r="D16" s="293"/>
      <c r="E16" s="251">
        <f t="shared" si="0"/>
        <v>0</v>
      </c>
    </row>
    <row r="17" spans="1:5" ht="12.75">
      <c r="A17" s="61" t="s">
        <v>284</v>
      </c>
      <c r="B17" s="61"/>
      <c r="C17" s="293"/>
      <c r="D17" s="293"/>
      <c r="E17" s="251">
        <f t="shared" si="0"/>
        <v>0</v>
      </c>
    </row>
    <row r="18" spans="1:5" ht="12.75">
      <c r="A18" s="61" t="s">
        <v>449</v>
      </c>
      <c r="B18" s="61"/>
      <c r="C18" s="293"/>
      <c r="D18" s="293"/>
      <c r="E18" s="251">
        <f t="shared" si="0"/>
        <v>0</v>
      </c>
    </row>
    <row r="19" spans="1:5" ht="12.75">
      <c r="A19" s="61" t="s">
        <v>449</v>
      </c>
      <c r="B19" s="61"/>
      <c r="C19" s="293"/>
      <c r="D19" s="293"/>
      <c r="E19" s="251">
        <f t="shared" si="0"/>
        <v>0</v>
      </c>
    </row>
    <row r="20" spans="1:5" ht="12.75">
      <c r="A20" s="61"/>
      <c r="B20" s="61"/>
      <c r="C20" s="293"/>
      <c r="D20" s="293"/>
      <c r="E20" s="251">
        <f t="shared" si="0"/>
        <v>0</v>
      </c>
    </row>
    <row r="21" spans="1:5" ht="12.75">
      <c r="A21" s="61"/>
      <c r="B21" s="61"/>
      <c r="C21" s="309"/>
      <c r="D21" s="309"/>
      <c r="E21" s="278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272</v>
      </c>
      <c r="B24" s="61"/>
      <c r="C24" s="91"/>
      <c r="D24" s="91"/>
      <c r="E24" s="91"/>
    </row>
    <row r="25" spans="1:5" ht="12.75">
      <c r="A25" s="61"/>
      <c r="B25" s="61"/>
      <c r="C25" s="293"/>
      <c r="D25" s="293"/>
      <c r="E25" s="251">
        <f>C25-D25</f>
        <v>0</v>
      </c>
    </row>
    <row r="26" spans="1:7" ht="12.75">
      <c r="A26" s="61" t="s">
        <v>281</v>
      </c>
      <c r="B26" s="61"/>
      <c r="C26" s="293">
        <v>0</v>
      </c>
      <c r="D26" s="293"/>
      <c r="E26" s="251">
        <f aca="true" t="shared" si="1" ref="E26:E33">C26-D26</f>
        <v>0</v>
      </c>
      <c r="G26">
        <v>103537</v>
      </c>
    </row>
    <row r="27" spans="1:5" ht="12.75">
      <c r="A27" s="61" t="s">
        <v>282</v>
      </c>
      <c r="B27" s="61"/>
      <c r="C27" s="293"/>
      <c r="D27" s="293"/>
      <c r="E27" s="251">
        <f t="shared" si="1"/>
        <v>0</v>
      </c>
    </row>
    <row r="28" spans="1:5" ht="12.75">
      <c r="A28" s="61" t="s">
        <v>283</v>
      </c>
      <c r="B28" s="61"/>
      <c r="C28" s="293"/>
      <c r="D28" s="293"/>
      <c r="E28" s="251">
        <f t="shared" si="1"/>
        <v>0</v>
      </c>
    </row>
    <row r="29" spans="1:5" ht="12.75">
      <c r="A29" s="61" t="s">
        <v>284</v>
      </c>
      <c r="B29" s="61"/>
      <c r="C29" s="293"/>
      <c r="D29" s="293"/>
      <c r="E29" s="251">
        <f t="shared" si="1"/>
        <v>0</v>
      </c>
    </row>
    <row r="30" spans="1:5" ht="12.75">
      <c r="A30" s="61" t="s">
        <v>449</v>
      </c>
      <c r="B30" s="61"/>
      <c r="C30" s="293"/>
      <c r="D30" s="293"/>
      <c r="E30" s="251">
        <f t="shared" si="1"/>
        <v>0</v>
      </c>
    </row>
    <row r="31" spans="1:5" ht="12.75">
      <c r="A31" s="61" t="s">
        <v>449</v>
      </c>
      <c r="B31" s="61"/>
      <c r="C31" s="293"/>
      <c r="D31" s="293"/>
      <c r="E31" s="251">
        <f t="shared" si="1"/>
        <v>0</v>
      </c>
    </row>
    <row r="32" spans="1:5" ht="12.75">
      <c r="A32" s="61"/>
      <c r="B32" s="61"/>
      <c r="C32" s="293"/>
      <c r="D32" s="293"/>
      <c r="E32" s="251">
        <f t="shared" si="1"/>
        <v>0</v>
      </c>
    </row>
    <row r="33" spans="1:5" ht="13.5" thickBot="1">
      <c r="A33" s="62"/>
      <c r="B33" s="61"/>
      <c r="C33" s="293"/>
      <c r="D33" s="293"/>
      <c r="E33" s="251">
        <f t="shared" si="1"/>
        <v>0</v>
      </c>
    </row>
    <row r="34" spans="1:5" ht="12.75">
      <c r="A34" s="56" t="s">
        <v>132</v>
      </c>
      <c r="C34" s="22"/>
      <c r="D34" s="22"/>
      <c r="E34" s="278"/>
    </row>
    <row r="35" spans="1:7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  <c r="G35">
        <f>G14-G26</f>
        <v>-33533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273</v>
      </c>
      <c r="B40" s="61"/>
      <c r="C40" s="91"/>
      <c r="D40" s="91"/>
      <c r="E40" s="91"/>
    </row>
    <row r="41" spans="1:5" ht="12.75">
      <c r="A41" s="61"/>
      <c r="B41" s="61"/>
      <c r="C41" s="293"/>
      <c r="D41" s="293"/>
      <c r="E41" s="251">
        <f>C41-D41</f>
        <v>0</v>
      </c>
    </row>
    <row r="42" spans="1:5" ht="12.75">
      <c r="A42" s="61"/>
      <c r="B42" s="61"/>
      <c r="C42" s="293"/>
      <c r="D42" s="293"/>
      <c r="E42" s="251">
        <f aca="true" t="shared" si="2" ref="E42:E49">C42-D42</f>
        <v>0</v>
      </c>
    </row>
    <row r="43" spans="1:5" ht="12.75">
      <c r="A43" s="61" t="s">
        <v>267</v>
      </c>
      <c r="B43" s="61"/>
      <c r="C43" s="293"/>
      <c r="D43" s="293"/>
      <c r="E43" s="251">
        <f t="shared" si="2"/>
        <v>0</v>
      </c>
    </row>
    <row r="44" spans="1:5" ht="12.75">
      <c r="A44" s="61" t="s">
        <v>268</v>
      </c>
      <c r="B44" s="61"/>
      <c r="C44" s="293">
        <v>0</v>
      </c>
      <c r="D44" s="293"/>
      <c r="E44" s="251">
        <f t="shared" si="2"/>
        <v>0</v>
      </c>
    </row>
    <row r="45" spans="1:5" ht="12.75">
      <c r="A45" s="61" t="s">
        <v>269</v>
      </c>
      <c r="B45" s="61"/>
      <c r="C45" s="293"/>
      <c r="D45" s="293"/>
      <c r="E45" s="251">
        <f t="shared" si="2"/>
        <v>0</v>
      </c>
    </row>
    <row r="46" spans="1:5" ht="12.75">
      <c r="A46" s="61" t="s">
        <v>270</v>
      </c>
      <c r="B46" s="61"/>
      <c r="C46" s="293"/>
      <c r="D46" s="293"/>
      <c r="E46" s="251">
        <f t="shared" si="2"/>
        <v>0</v>
      </c>
    </row>
    <row r="47" spans="1:5" ht="12.75">
      <c r="A47" s="61" t="s">
        <v>449</v>
      </c>
      <c r="B47" s="61"/>
      <c r="C47" s="293"/>
      <c r="D47" s="293"/>
      <c r="E47" s="251">
        <f t="shared" si="2"/>
        <v>0</v>
      </c>
    </row>
    <row r="48" spans="1:5" ht="12.75">
      <c r="A48" s="61" t="s">
        <v>449</v>
      </c>
      <c r="B48" s="61"/>
      <c r="C48" s="293"/>
      <c r="D48" s="293"/>
      <c r="E48" s="251">
        <f t="shared" si="2"/>
        <v>0</v>
      </c>
    </row>
    <row r="49" spans="1:5" ht="12.75">
      <c r="A49" s="61"/>
      <c r="B49" s="61"/>
      <c r="C49" s="309"/>
      <c r="D49" s="309"/>
      <c r="E49" s="278">
        <f t="shared" si="2"/>
        <v>0</v>
      </c>
    </row>
    <row r="50" spans="1:5" ht="12.75">
      <c r="A50" s="2" t="s">
        <v>180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272</v>
      </c>
      <c r="B52" s="61"/>
      <c r="C52" s="91"/>
      <c r="D52" s="91"/>
      <c r="E52" s="91"/>
    </row>
    <row r="53" spans="1:5" ht="12.75">
      <c r="A53" s="61"/>
      <c r="B53" s="61"/>
      <c r="C53" s="293"/>
      <c r="D53" s="293"/>
      <c r="E53" s="251">
        <f>C53-D53</f>
        <v>0</v>
      </c>
    </row>
    <row r="54" spans="1:5" ht="12.75">
      <c r="A54" s="246"/>
      <c r="B54" s="61"/>
      <c r="C54" s="293"/>
      <c r="D54" s="293"/>
      <c r="E54" s="251">
        <f aca="true" t="shared" si="3" ref="E54:E61">C54-D54</f>
        <v>0</v>
      </c>
    </row>
    <row r="55" spans="1:5" ht="12.75">
      <c r="A55" s="246" t="s">
        <v>267</v>
      </c>
      <c r="B55" s="61"/>
      <c r="C55" s="293"/>
      <c r="D55" s="293"/>
      <c r="E55" s="251">
        <f t="shared" si="3"/>
        <v>0</v>
      </c>
    </row>
    <row r="56" spans="1:5" ht="12.75">
      <c r="A56" s="246" t="s">
        <v>268</v>
      </c>
      <c r="B56" s="61"/>
      <c r="C56" s="293">
        <v>0</v>
      </c>
      <c r="D56" s="293"/>
      <c r="E56" s="251">
        <f t="shared" si="3"/>
        <v>0</v>
      </c>
    </row>
    <row r="57" spans="1:5" ht="12.75">
      <c r="A57" s="246" t="s">
        <v>269</v>
      </c>
      <c r="B57" s="61"/>
      <c r="C57" s="293"/>
      <c r="D57" s="293"/>
      <c r="E57" s="251">
        <f t="shared" si="3"/>
        <v>0</v>
      </c>
    </row>
    <row r="58" spans="1:5" ht="12.75">
      <c r="A58" s="246" t="s">
        <v>270</v>
      </c>
      <c r="B58" s="61"/>
      <c r="C58" s="293"/>
      <c r="D58" s="293"/>
      <c r="E58" s="251">
        <f t="shared" si="3"/>
        <v>0</v>
      </c>
    </row>
    <row r="59" spans="1:5" ht="12.75">
      <c r="A59" s="61" t="s">
        <v>449</v>
      </c>
      <c r="B59" s="61"/>
      <c r="C59" s="293"/>
      <c r="D59" s="293"/>
      <c r="E59" s="251">
        <f t="shared" si="3"/>
        <v>0</v>
      </c>
    </row>
    <row r="60" spans="1:5" ht="12.75">
      <c r="A60" s="61" t="s">
        <v>449</v>
      </c>
      <c r="B60" s="61"/>
      <c r="C60" s="293"/>
      <c r="D60" s="293"/>
      <c r="E60" s="251">
        <f t="shared" si="3"/>
        <v>0</v>
      </c>
    </row>
    <row r="61" spans="1:5" ht="13.5" thickBot="1">
      <c r="A61" s="62"/>
      <c r="B61" s="61"/>
      <c r="C61" s="293"/>
      <c r="D61" s="293"/>
      <c r="E61" s="251">
        <f t="shared" si="3"/>
        <v>0</v>
      </c>
    </row>
    <row r="62" spans="1:5" ht="12.75">
      <c r="A62" s="56" t="s">
        <v>132</v>
      </c>
      <c r="C62" s="22"/>
      <c r="D62" s="22"/>
      <c r="E62" s="278"/>
    </row>
    <row r="63" spans="1:5" ht="12.75">
      <c r="A63" s="2" t="s">
        <v>180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/>
  <pageMargins left="0.35433070866141736" right="0.03937007874015748" top="0.9055118110236221" bottom="0.35433070866141736" header="0.2755905511811024" footer="0"/>
  <pageSetup fitToHeight="2" horizontalDpi="600" verticalDpi="600" orientation="portrait" paperSize="5" scale="95" r:id="rId1"/>
  <headerFooter alignWithMargins="0">
    <oddHeader>&amp;L&amp;"Arial,Bold"&amp;12APPENDIX G&amp;R&amp;9Thunder Bay Hydro Electricity Distribution Inc.
OEB Application: IRM3
Application: EB 2011-0197
LDC License #: EB-2002-0529</oddHeader>
    <oddFooter>&amp;L&amp;Z&amp;F&amp;R&amp;"Arial,Bold"&amp;9&amp;A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tabSelected="1" workbookViewId="0" topLeftCell="A3">
      <selection activeCell="A3" sqref="A3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EB-2008-0381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467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5" t="s">
        <v>466</v>
      </c>
      <c r="B5" s="8"/>
      <c r="C5" s="8" t="s">
        <v>2</v>
      </c>
      <c r="D5" s="8"/>
      <c r="E5" s="8"/>
      <c r="F5" s="8"/>
    </row>
    <row r="6" spans="1:6" ht="12.75">
      <c r="A6" s="415" t="s">
        <v>446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Thunder Bay Hydro Electricity Distribution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2005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0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486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4"/>
      <c r="D17" s="294"/>
      <c r="E17" s="312">
        <f>C17-D17</f>
        <v>0</v>
      </c>
    </row>
    <row r="18" spans="1:5" ht="12.75">
      <c r="A18" s="67" t="s">
        <v>253</v>
      </c>
      <c r="B18" t="s">
        <v>187</v>
      </c>
      <c r="C18" s="294"/>
      <c r="D18" s="294"/>
      <c r="E18" s="312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4"/>
      <c r="D19" s="294"/>
      <c r="E19" s="312">
        <f t="shared" si="0"/>
        <v>0</v>
      </c>
    </row>
    <row r="20" spans="1:5" ht="12.75">
      <c r="A20" s="67" t="s">
        <v>450</v>
      </c>
      <c r="B20" t="s">
        <v>187</v>
      </c>
      <c r="C20" s="294"/>
      <c r="D20" s="313"/>
      <c r="E20" s="312">
        <f t="shared" si="0"/>
        <v>0</v>
      </c>
    </row>
    <row r="21" spans="1:5" ht="12.75">
      <c r="A21" s="67" t="s">
        <v>8</v>
      </c>
      <c r="B21" t="s">
        <v>187</v>
      </c>
      <c r="C21" s="294"/>
      <c r="D21" s="294"/>
      <c r="E21" s="312">
        <f t="shared" si="0"/>
        <v>0</v>
      </c>
    </row>
    <row r="22" spans="1:5" ht="12.75">
      <c r="A22" s="67"/>
      <c r="B22" t="s">
        <v>187</v>
      </c>
      <c r="C22" s="294"/>
      <c r="D22" s="294"/>
      <c r="E22" s="312">
        <f t="shared" si="0"/>
        <v>0</v>
      </c>
    </row>
    <row r="23" spans="1:5" ht="12.75">
      <c r="A23" s="67" t="s">
        <v>137</v>
      </c>
      <c r="B23" t="s">
        <v>187</v>
      </c>
      <c r="C23" s="294"/>
      <c r="D23" s="294"/>
      <c r="E23" s="312">
        <f t="shared" si="0"/>
        <v>0</v>
      </c>
    </row>
    <row r="24" spans="1:5" ht="12.75">
      <c r="A24" s="67" t="s">
        <v>138</v>
      </c>
      <c r="B24" t="s">
        <v>187</v>
      </c>
      <c r="C24" s="294"/>
      <c r="D24" s="294"/>
      <c r="E24" s="312">
        <f t="shared" si="0"/>
        <v>0</v>
      </c>
    </row>
    <row r="25" spans="1:5" ht="12.75">
      <c r="A25" s="67" t="s">
        <v>9</v>
      </c>
      <c r="B25" t="s">
        <v>187</v>
      </c>
      <c r="C25" s="294"/>
      <c r="D25" s="294"/>
      <c r="E25" s="312">
        <f t="shared" si="0"/>
        <v>0</v>
      </c>
    </row>
    <row r="26" spans="1:5" ht="12.75">
      <c r="A26" s="67" t="s">
        <v>191</v>
      </c>
      <c r="B26" t="s">
        <v>187</v>
      </c>
      <c r="C26" s="294"/>
      <c r="D26" s="294"/>
      <c r="E26" s="312">
        <f t="shared" si="0"/>
        <v>0</v>
      </c>
    </row>
    <row r="27" spans="1:5" ht="12.75">
      <c r="A27" s="67" t="s">
        <v>7</v>
      </c>
      <c r="B27" t="s">
        <v>187</v>
      </c>
      <c r="C27" s="294"/>
      <c r="D27" s="294"/>
      <c r="E27" s="312">
        <f t="shared" si="0"/>
        <v>0</v>
      </c>
    </row>
    <row r="28" spans="1:5" ht="12.75">
      <c r="A28" s="67" t="s">
        <v>124</v>
      </c>
      <c r="B28" t="s">
        <v>187</v>
      </c>
      <c r="C28" s="294"/>
      <c r="D28" s="294"/>
      <c r="E28" s="312">
        <f t="shared" si="0"/>
        <v>0</v>
      </c>
    </row>
    <row r="29" spans="1:5" ht="12.75">
      <c r="A29" s="67" t="s">
        <v>139</v>
      </c>
      <c r="B29" t="s">
        <v>187</v>
      </c>
      <c r="C29" s="294"/>
      <c r="D29" s="294"/>
      <c r="E29" s="312">
        <f t="shared" si="0"/>
        <v>0</v>
      </c>
    </row>
    <row r="30" spans="1:5" ht="12.75">
      <c r="A30" s="67" t="s">
        <v>140</v>
      </c>
      <c r="B30" t="s">
        <v>187</v>
      </c>
      <c r="C30" s="294"/>
      <c r="D30" s="294"/>
      <c r="E30" s="312">
        <f t="shared" si="0"/>
        <v>0</v>
      </c>
    </row>
    <row r="31" spans="1:5" ht="12.75">
      <c r="A31" s="67" t="s">
        <v>254</v>
      </c>
      <c r="B31" t="s">
        <v>187</v>
      </c>
      <c r="C31" s="294"/>
      <c r="D31" s="294"/>
      <c r="E31" s="312">
        <f t="shared" si="0"/>
        <v>0</v>
      </c>
    </row>
    <row r="32" spans="1:5" ht="12.75">
      <c r="A32" s="67" t="s">
        <v>141</v>
      </c>
      <c r="B32" t="s">
        <v>187</v>
      </c>
      <c r="C32" s="294"/>
      <c r="D32" s="294"/>
      <c r="E32" s="312">
        <f t="shared" si="0"/>
        <v>0</v>
      </c>
    </row>
    <row r="33" spans="1:5" ht="12.75">
      <c r="A33" s="67" t="s">
        <v>142</v>
      </c>
      <c r="B33" t="s">
        <v>187</v>
      </c>
      <c r="C33" s="294"/>
      <c r="D33" s="294"/>
      <c r="E33" s="312">
        <f t="shared" si="0"/>
        <v>0</v>
      </c>
    </row>
    <row r="34" spans="1:5" ht="12.75">
      <c r="A34" s="67" t="s">
        <v>143</v>
      </c>
      <c r="B34" t="s">
        <v>187</v>
      </c>
      <c r="C34" s="294"/>
      <c r="D34" s="294"/>
      <c r="E34" s="312">
        <f t="shared" si="0"/>
        <v>0</v>
      </c>
    </row>
    <row r="35" spans="1:5" ht="12.75">
      <c r="A35" s="67" t="s">
        <v>193</v>
      </c>
      <c r="B35" t="s">
        <v>187</v>
      </c>
      <c r="C35" s="294"/>
      <c r="D35" s="294"/>
      <c r="E35" s="312">
        <f t="shared" si="0"/>
        <v>0</v>
      </c>
    </row>
    <row r="36" spans="1:5" ht="12.75">
      <c r="A36" s="67" t="s">
        <v>474</v>
      </c>
      <c r="B36" t="s">
        <v>187</v>
      </c>
      <c r="C36" s="294"/>
      <c r="D36" s="294"/>
      <c r="E36" s="312">
        <f t="shared" si="0"/>
        <v>0</v>
      </c>
    </row>
    <row r="37" spans="1:5" ht="12.75">
      <c r="A37" s="492"/>
      <c r="B37" t="s">
        <v>187</v>
      </c>
      <c r="C37" s="294"/>
      <c r="D37" s="294"/>
      <c r="E37" s="312">
        <f t="shared" si="0"/>
        <v>0</v>
      </c>
    </row>
    <row r="38" spans="2:5" ht="12.75">
      <c r="B38" t="s">
        <v>187</v>
      </c>
      <c r="C38" s="294"/>
      <c r="D38" s="294"/>
      <c r="E38" s="251">
        <f t="shared" si="0"/>
        <v>0</v>
      </c>
    </row>
    <row r="39" spans="2:5" ht="12.75">
      <c r="B39" t="s">
        <v>187</v>
      </c>
      <c r="C39" s="293"/>
      <c r="D39" s="294"/>
      <c r="E39" s="251">
        <f t="shared" si="0"/>
        <v>0</v>
      </c>
    </row>
    <row r="40" spans="1:5" ht="12.75">
      <c r="A40" s="68" t="s">
        <v>204</v>
      </c>
      <c r="B40" t="s">
        <v>187</v>
      </c>
      <c r="C40" s="293"/>
      <c r="D40" s="293"/>
      <c r="E40" s="251">
        <f t="shared" si="0"/>
        <v>0</v>
      </c>
    </row>
    <row r="41" spans="1:5" ht="12.75">
      <c r="A41" s="492" t="s">
        <v>509</v>
      </c>
      <c r="B41" t="s">
        <v>187</v>
      </c>
      <c r="C41" s="293">
        <v>175144</v>
      </c>
      <c r="D41" s="293"/>
      <c r="E41" s="251">
        <f t="shared" si="0"/>
        <v>175144</v>
      </c>
    </row>
    <row r="42" spans="1:5" ht="12.75">
      <c r="A42" s="67"/>
      <c r="B42" t="s">
        <v>187</v>
      </c>
      <c r="C42" s="293"/>
      <c r="D42" s="293"/>
      <c r="E42" s="251">
        <f t="shared" si="0"/>
        <v>0</v>
      </c>
    </row>
    <row r="43" spans="1:5" ht="12.75">
      <c r="A43" s="67"/>
      <c r="B43" t="s">
        <v>187</v>
      </c>
      <c r="C43" s="293"/>
      <c r="D43" s="293"/>
      <c r="E43" s="251">
        <f t="shared" si="0"/>
        <v>0</v>
      </c>
    </row>
    <row r="44" spans="1:5" ht="12.75">
      <c r="A44" s="67"/>
      <c r="B44" t="s">
        <v>187</v>
      </c>
      <c r="C44" s="293"/>
      <c r="D44" s="293"/>
      <c r="E44" s="251">
        <f t="shared" si="0"/>
        <v>0</v>
      </c>
    </row>
    <row r="45" spans="1:5" ht="12.75">
      <c r="A45" s="67"/>
      <c r="B45" t="s">
        <v>187</v>
      </c>
      <c r="C45" s="293"/>
      <c r="D45" s="293"/>
      <c r="E45" s="278"/>
    </row>
    <row r="46" spans="1:5" ht="12.75">
      <c r="A46" s="70" t="s">
        <v>170</v>
      </c>
      <c r="B46" t="s">
        <v>189</v>
      </c>
      <c r="C46" s="251">
        <f>SUM(C17:C45)</f>
        <v>175144</v>
      </c>
      <c r="D46" s="251">
        <f>SUM(D17:D45)</f>
        <v>0</v>
      </c>
      <c r="E46" s="251">
        <f>SUM(E17:E45)</f>
        <v>175144</v>
      </c>
    </row>
    <row r="47" ht="12.75">
      <c r="A47" s="67"/>
    </row>
    <row r="48" ht="12.75">
      <c r="A48" s="67" t="s">
        <v>172</v>
      </c>
    </row>
    <row r="49" spans="1:5" ht="12.75">
      <c r="A49" s="274" t="str">
        <f>IF($E17&gt;$C$11,A17," ")</f>
        <v> </v>
      </c>
      <c r="B49" s="272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4" t="str">
        <f>IF($E18&gt;$C$11,A18," ")</f>
        <v> </v>
      </c>
      <c r="B50" s="272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4" t="str">
        <f>IF($E19&gt;$C$11,#REF!," ")</f>
        <v> </v>
      </c>
      <c r="B51" s="272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4" t="str">
        <f>IF($E20&gt;$C$11,#REF!," ")</f>
        <v> </v>
      </c>
      <c r="B52" s="272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4" t="str">
        <f aca="true" t="shared" si="2" ref="A53:A59">IF($E21&gt;$C$11,A19," ")</f>
        <v> </v>
      </c>
      <c r="B53" s="272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4" t="str">
        <f t="shared" si="2"/>
        <v> </v>
      </c>
      <c r="B54" s="272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4" t="str">
        <f t="shared" si="2"/>
        <v> </v>
      </c>
      <c r="B55" s="272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4" t="str">
        <f t="shared" si="2"/>
        <v> </v>
      </c>
      <c r="B56" s="272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4" t="str">
        <f t="shared" si="2"/>
        <v> </v>
      </c>
      <c r="B57" s="272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4" t="str">
        <f t="shared" si="2"/>
        <v> </v>
      </c>
      <c r="B58" s="272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4" t="str">
        <f t="shared" si="2"/>
        <v> </v>
      </c>
      <c r="B59" s="272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4" t="str">
        <f>IF($E28&gt;$C$11,A28," ")</f>
        <v> </v>
      </c>
      <c r="B60" s="272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4" t="str">
        <f>IF($E29&gt;$C$11,#REF!," ")</f>
        <v> </v>
      </c>
      <c r="B61" s="272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4" t="str">
        <f>IF($E30&gt;$C$11,#REF!," ")</f>
        <v> </v>
      </c>
      <c r="B62" s="272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4" t="str">
        <f>IF($E31&gt;$C$11,A26," ")</f>
        <v> </v>
      </c>
      <c r="B63" s="272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4" t="str">
        <f>IF($E33&gt;$C$11,#REF!," ")</f>
        <v> </v>
      </c>
      <c r="B64" s="272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4" t="str">
        <f>IF($E34&gt;$C$11,#REF!," ")</f>
        <v> </v>
      </c>
      <c r="B65" s="272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4" t="str">
        <f>IF($E35&gt;$C$11,#REF!," ")</f>
        <v> </v>
      </c>
      <c r="B66" s="272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4" t="str">
        <f>IF($E36&gt;$C$11,A36," ")</f>
        <v> </v>
      </c>
      <c r="B67" s="272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4" t="str">
        <f>IF($E37&gt;$C$11,A37," ")</f>
        <v> </v>
      </c>
      <c r="B68" s="272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4" t="str">
        <f>IF($E38&gt;$C$11,A29," ")</f>
        <v> </v>
      </c>
      <c r="B69" s="272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4" t="str">
        <f>IF($E39&gt;$C$11,A35," ")</f>
        <v> </v>
      </c>
      <c r="B70" s="272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4" t="str">
        <f aca="true" t="shared" si="4" ref="A71:A76">IF($E40&gt;$C$11,A40," ")</f>
        <v> </v>
      </c>
      <c r="B71" s="272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4" t="str">
        <f t="shared" si="4"/>
        <v>Non-deductible accrued termination benefits (paid out beyond 180 days)</v>
      </c>
      <c r="B72" s="272"/>
      <c r="C72" s="251">
        <f t="shared" si="3"/>
        <v>175144</v>
      </c>
      <c r="D72" s="251">
        <f t="shared" si="3"/>
        <v>0</v>
      </c>
      <c r="E72" s="251">
        <f t="shared" si="3"/>
        <v>175144</v>
      </c>
    </row>
    <row r="73" spans="1:5" ht="12.75">
      <c r="A73" s="274" t="str">
        <f t="shared" si="4"/>
        <v> </v>
      </c>
      <c r="B73" s="272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4" t="str">
        <f t="shared" si="4"/>
        <v> </v>
      </c>
      <c r="B74" s="272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4" t="str">
        <f t="shared" si="4"/>
        <v> </v>
      </c>
      <c r="B75" s="272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4" t="str">
        <f t="shared" si="4"/>
        <v> </v>
      </c>
      <c r="B76" s="273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5" t="s">
        <v>144</v>
      </c>
      <c r="B77" s="272"/>
      <c r="C77" s="251">
        <f>SUM(C49:C75)</f>
        <v>175144</v>
      </c>
      <c r="D77" s="251">
        <f>SUM(D49:D75)</f>
        <v>0</v>
      </c>
      <c r="E77" s="251">
        <f>SUM(E49:E75)</f>
        <v>175144</v>
      </c>
    </row>
    <row r="78" spans="1:5" ht="12.75">
      <c r="A78" s="275" t="s">
        <v>203</v>
      </c>
      <c r="B78" s="276"/>
      <c r="C78" s="314">
        <f>C46-C77</f>
        <v>0</v>
      </c>
      <c r="D78" s="314">
        <f>D46-D77</f>
        <v>0</v>
      </c>
      <c r="E78" s="314">
        <f>E46-E77</f>
        <v>0</v>
      </c>
    </row>
    <row r="79" spans="1:5" ht="12.75">
      <c r="A79" s="275" t="s">
        <v>170</v>
      </c>
      <c r="B79" s="276"/>
      <c r="C79" s="314">
        <f>C77+C78</f>
        <v>175144</v>
      </c>
      <c r="D79" s="314">
        <f>D77+D78</f>
        <v>0</v>
      </c>
      <c r="E79" s="314">
        <f>E77+E78</f>
        <v>175144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3"/>
      <c r="D82" s="293"/>
      <c r="E82" s="251">
        <f>C82-D82</f>
        <v>0</v>
      </c>
    </row>
    <row r="83" spans="1:5" ht="12.75">
      <c r="A83" s="71" t="s">
        <v>152</v>
      </c>
      <c r="B83" s="8" t="s">
        <v>188</v>
      </c>
      <c r="C83" s="293"/>
      <c r="D83" s="293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3"/>
      <c r="D84" s="293"/>
      <c r="E84" s="251">
        <f t="shared" si="5"/>
        <v>0</v>
      </c>
    </row>
    <row r="85" spans="1:5" ht="12.75">
      <c r="A85" s="71" t="s">
        <v>255</v>
      </c>
      <c r="B85" s="8" t="s">
        <v>188</v>
      </c>
      <c r="C85" s="293"/>
      <c r="D85" s="293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3"/>
      <c r="D86" s="293"/>
      <c r="E86" s="251">
        <f t="shared" si="5"/>
        <v>0</v>
      </c>
    </row>
    <row r="87" spans="1:5" ht="12.75">
      <c r="A87" s="67" t="s">
        <v>377</v>
      </c>
      <c r="B87" s="8" t="s">
        <v>188</v>
      </c>
      <c r="C87" s="293"/>
      <c r="D87" s="293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3"/>
      <c r="D88" s="293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3"/>
      <c r="D89" s="293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3"/>
      <c r="D90" s="293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3"/>
      <c r="D91" s="293"/>
      <c r="E91" s="251">
        <f t="shared" si="5"/>
        <v>0</v>
      </c>
    </row>
    <row r="92" spans="2:5" ht="12.75">
      <c r="B92" s="8" t="s">
        <v>188</v>
      </c>
      <c r="C92" s="293"/>
      <c r="D92" s="293"/>
      <c r="E92" s="251"/>
    </row>
    <row r="93" spans="1:5" ht="12.75">
      <c r="A93" s="67"/>
      <c r="B93" s="8" t="s">
        <v>188</v>
      </c>
      <c r="C93" s="293"/>
      <c r="D93" s="293"/>
      <c r="E93" s="251">
        <f t="shared" si="5"/>
        <v>0</v>
      </c>
    </row>
    <row r="94" spans="1:5" ht="12.75">
      <c r="A94" s="67"/>
      <c r="B94" s="8" t="s">
        <v>188</v>
      </c>
      <c r="C94" s="293"/>
      <c r="D94" s="293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3"/>
      <c r="D95" s="293"/>
      <c r="E95" s="251">
        <f t="shared" si="5"/>
        <v>0</v>
      </c>
    </row>
    <row r="96" spans="1:5" ht="12.75">
      <c r="A96" s="67" t="s">
        <v>475</v>
      </c>
      <c r="B96" s="8" t="s">
        <v>188</v>
      </c>
      <c r="C96" s="293">
        <v>0</v>
      </c>
      <c r="D96" s="293"/>
      <c r="E96" s="251">
        <f t="shared" si="5"/>
        <v>0</v>
      </c>
    </row>
    <row r="97" spans="1:5" ht="12.75">
      <c r="A97" s="67"/>
      <c r="B97" s="8" t="s">
        <v>188</v>
      </c>
      <c r="C97" s="293"/>
      <c r="D97" s="293"/>
      <c r="E97" s="251">
        <f t="shared" si="5"/>
        <v>0</v>
      </c>
    </row>
    <row r="98" spans="1:5" ht="12.75">
      <c r="A98" s="67"/>
      <c r="B98" s="8" t="s">
        <v>188</v>
      </c>
      <c r="C98" s="293"/>
      <c r="D98" s="293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0</v>
      </c>
      <c r="D99" s="251">
        <f>SUM(D82:D98)</f>
        <v>0</v>
      </c>
      <c r="E99" s="251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4" t="str">
        <f aca="true" t="shared" si="6" ref="A102:A111">IF($E82&gt;$C$11,A82," ")</f>
        <v> </v>
      </c>
      <c r="B102" s="272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4" t="str">
        <f t="shared" si="6"/>
        <v> </v>
      </c>
      <c r="B103" s="272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4" t="str">
        <f t="shared" si="6"/>
        <v> </v>
      </c>
      <c r="B104" s="272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4" t="str">
        <f t="shared" si="6"/>
        <v> </v>
      </c>
      <c r="B105" s="272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4" t="str">
        <f t="shared" si="6"/>
        <v> </v>
      </c>
      <c r="B106" s="272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4" t="str">
        <f t="shared" si="6"/>
        <v> </v>
      </c>
      <c r="B107" s="272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4" t="str">
        <f t="shared" si="6"/>
        <v> </v>
      </c>
      <c r="B108" s="272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4" t="str">
        <f t="shared" si="6"/>
        <v> </v>
      </c>
      <c r="B109" s="272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4" t="str">
        <f t="shared" si="6"/>
        <v> </v>
      </c>
      <c r="B110" s="272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4" t="str">
        <f t="shared" si="6"/>
        <v> </v>
      </c>
      <c r="B111" s="272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4" t="str">
        <f>IF($E92&gt;$C$11,A95," ")</f>
        <v> </v>
      </c>
      <c r="B112" s="272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4" t="str">
        <f>IF($E93&gt;$C$11,#REF!," ")</f>
        <v> </v>
      </c>
      <c r="B113" s="272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4" t="str">
        <f>IF($E94&gt;$C$11,A94," ")</f>
        <v> </v>
      </c>
      <c r="B114" s="272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4" t="str">
        <f>IF($E95&gt;$C$11,A93," ")</f>
        <v> </v>
      </c>
      <c r="B115" s="272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4" t="str">
        <f>IF($E96&gt;$C$11,A96," ")</f>
        <v> </v>
      </c>
      <c r="B116" s="272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4" t="str">
        <f>IF($E97&gt;$C$11,A97," ")</f>
        <v> </v>
      </c>
      <c r="B117" s="272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4" t="str">
        <f>IF($E98&gt;$C$11,A98," ")</f>
        <v> </v>
      </c>
      <c r="B118" s="272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7" t="s">
        <v>202</v>
      </c>
      <c r="B119" s="272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7" t="s">
        <v>201</v>
      </c>
      <c r="B120" s="272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7" t="s">
        <v>171</v>
      </c>
      <c r="B121" s="272"/>
      <c r="C121" s="251">
        <f>C119+C120</f>
        <v>0</v>
      </c>
      <c r="D121" s="251">
        <f>D119+D120</f>
        <v>0</v>
      </c>
      <c r="E121" s="251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/>
  <pageMargins left="0.35433070866141736" right="0.03937007874015748" top="0.9055118110236221" bottom="0.35433070866141736" header="0.2755905511811024" footer="0"/>
  <pageSetup fitToHeight="3" fitToWidth="1" horizontalDpi="600" verticalDpi="600" orientation="portrait" paperSize="5" scale="85" r:id="rId1"/>
  <headerFooter alignWithMargins="0">
    <oddHeader>&amp;L&amp;"Arial,Bold"&amp;12APPENDIX G&amp;R&amp;9Thunder Bay Hydro Electricity Distribution Inc.
OEB Application: IRM3
Application: EB 2011-0197
LDC License #: EB-2002-0529</oddHeader>
    <oddFooter>&amp;L&amp;8&amp;Z&amp;F&amp;R&amp;"Arial,Bold"&amp;9&amp;A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tabSelected="1" workbookViewId="0" topLeftCell="A1">
      <selection activeCell="A3" sqref="A3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EB-2008-0381</v>
      </c>
    </row>
    <row r="3" spans="1:5" ht="12.75">
      <c r="A3" s="2" t="s">
        <v>385</v>
      </c>
      <c r="E3" s="92"/>
    </row>
    <row r="4" spans="1:6" ht="15.75">
      <c r="A4" s="462" t="s">
        <v>446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4" t="s">
        <v>386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Thunder Bay Hydro Electricity Distribution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2005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0">
        <f>TAXREC!C11</f>
        <v>365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4"/>
      <c r="D19" s="294"/>
      <c r="E19" s="312">
        <f aca="true" t="shared" si="0" ref="E19:E45">C19-D19</f>
        <v>0</v>
      </c>
    </row>
    <row r="20" spans="1:5" ht="12.75">
      <c r="A20" t="s">
        <v>388</v>
      </c>
      <c r="B20" t="s">
        <v>187</v>
      </c>
      <c r="C20" s="294"/>
      <c r="D20" s="294"/>
      <c r="E20" s="312">
        <f t="shared" si="0"/>
        <v>0</v>
      </c>
    </row>
    <row r="21" spans="1:5" ht="12.75">
      <c r="A21" t="s">
        <v>454</v>
      </c>
      <c r="B21" t="s">
        <v>187</v>
      </c>
      <c r="C21" s="294"/>
      <c r="D21" s="294"/>
      <c r="E21" s="312">
        <f t="shared" si="0"/>
        <v>0</v>
      </c>
    </row>
    <row r="22" spans="1:5" ht="12.75">
      <c r="A22" s="67" t="s">
        <v>391</v>
      </c>
      <c r="B22" t="s">
        <v>187</v>
      </c>
      <c r="C22" s="294"/>
      <c r="D22" s="313"/>
      <c r="E22" s="312">
        <f t="shared" si="0"/>
        <v>0</v>
      </c>
    </row>
    <row r="23" spans="1:5" ht="12.75">
      <c r="A23" s="67" t="s">
        <v>392</v>
      </c>
      <c r="B23" t="s">
        <v>187</v>
      </c>
      <c r="C23" s="294"/>
      <c r="D23" s="294"/>
      <c r="E23" s="312">
        <f t="shared" si="0"/>
        <v>0</v>
      </c>
    </row>
    <row r="24" spans="1:5" ht="12.75">
      <c r="A24" s="67" t="s">
        <v>455</v>
      </c>
      <c r="B24" t="s">
        <v>187</v>
      </c>
      <c r="C24" s="294"/>
      <c r="D24" s="294"/>
      <c r="E24" s="312">
        <f t="shared" si="0"/>
        <v>0</v>
      </c>
    </row>
    <row r="25" spans="1:5" ht="12.75">
      <c r="A25" s="67" t="s">
        <v>125</v>
      </c>
      <c r="B25" t="s">
        <v>187</v>
      </c>
      <c r="C25" s="294"/>
      <c r="D25" s="294"/>
      <c r="E25" s="312">
        <f t="shared" si="0"/>
        <v>0</v>
      </c>
    </row>
    <row r="26" spans="1:5" ht="12.75">
      <c r="A26" s="67" t="s">
        <v>134</v>
      </c>
      <c r="B26" t="s">
        <v>187</v>
      </c>
      <c r="C26" s="294"/>
      <c r="D26" s="294"/>
      <c r="E26" s="312">
        <f t="shared" si="0"/>
        <v>0</v>
      </c>
    </row>
    <row r="27" spans="1:5" ht="12.75">
      <c r="A27" s="67" t="s">
        <v>438</v>
      </c>
      <c r="B27" t="s">
        <v>187</v>
      </c>
      <c r="C27" s="294"/>
      <c r="D27" s="294"/>
      <c r="E27" s="312">
        <f t="shared" si="0"/>
        <v>0</v>
      </c>
    </row>
    <row r="28" spans="1:5" ht="12.75">
      <c r="A28" s="67" t="s">
        <v>390</v>
      </c>
      <c r="B28" t="s">
        <v>187</v>
      </c>
      <c r="C28" s="294"/>
      <c r="D28" s="294"/>
      <c r="E28" s="312">
        <f t="shared" si="0"/>
        <v>0</v>
      </c>
    </row>
    <row r="29" spans="1:5" ht="12.75">
      <c r="A29" s="67" t="s">
        <v>136</v>
      </c>
      <c r="B29" t="s">
        <v>187</v>
      </c>
      <c r="C29" s="294"/>
      <c r="D29" s="294"/>
      <c r="E29" s="312">
        <f t="shared" si="0"/>
        <v>0</v>
      </c>
    </row>
    <row r="30" spans="1:5" ht="12.75">
      <c r="A30" s="67" t="s">
        <v>389</v>
      </c>
      <c r="B30" t="s">
        <v>187</v>
      </c>
      <c r="C30" s="294"/>
      <c r="D30" s="294"/>
      <c r="E30" s="312">
        <f t="shared" si="0"/>
        <v>0</v>
      </c>
    </row>
    <row r="31" spans="1:5" ht="12.75">
      <c r="A31" s="67" t="s">
        <v>192</v>
      </c>
      <c r="B31" t="s">
        <v>187</v>
      </c>
      <c r="C31" s="294"/>
      <c r="D31" s="294"/>
      <c r="E31" s="312">
        <f t="shared" si="0"/>
        <v>0</v>
      </c>
    </row>
    <row r="32" spans="1:5" ht="12.75">
      <c r="A32" s="67" t="s">
        <v>433</v>
      </c>
      <c r="B32" t="s">
        <v>187</v>
      </c>
      <c r="C32" s="294"/>
      <c r="D32" s="294"/>
      <c r="E32" s="312">
        <f t="shared" si="0"/>
        <v>0</v>
      </c>
    </row>
    <row r="33" spans="1:5" ht="12.75">
      <c r="A33" s="67" t="s">
        <v>434</v>
      </c>
      <c r="B33" t="s">
        <v>187</v>
      </c>
      <c r="C33" s="294"/>
      <c r="D33" s="294"/>
      <c r="E33" s="312">
        <f t="shared" si="0"/>
        <v>0</v>
      </c>
    </row>
    <row r="34" spans="1:5" ht="12.75">
      <c r="A34" s="67" t="s">
        <v>451</v>
      </c>
      <c r="B34" t="s">
        <v>187</v>
      </c>
      <c r="C34" s="294"/>
      <c r="D34" s="294"/>
      <c r="E34" s="312">
        <f t="shared" si="0"/>
        <v>0</v>
      </c>
    </row>
    <row r="35" spans="1:5" ht="12.75">
      <c r="A35" s="81" t="s">
        <v>452</v>
      </c>
      <c r="C35" s="294"/>
      <c r="D35" s="294"/>
      <c r="E35" s="312">
        <f t="shared" si="0"/>
        <v>0</v>
      </c>
    </row>
    <row r="36" spans="1:5" ht="12.75">
      <c r="A36" s="67" t="s">
        <v>435</v>
      </c>
      <c r="C36" s="294"/>
      <c r="D36" s="294"/>
      <c r="E36" s="312">
        <f t="shared" si="0"/>
        <v>0</v>
      </c>
    </row>
    <row r="37" spans="1:5" ht="12.75">
      <c r="A37" s="67" t="s">
        <v>436</v>
      </c>
      <c r="C37" s="294"/>
      <c r="D37" s="294"/>
      <c r="E37" s="312">
        <f t="shared" si="0"/>
        <v>0</v>
      </c>
    </row>
    <row r="38" spans="1:5" ht="12.75">
      <c r="A38" s="81" t="s">
        <v>393</v>
      </c>
      <c r="C38" s="294"/>
      <c r="D38" s="294"/>
      <c r="E38" s="312">
        <f t="shared" si="0"/>
        <v>0</v>
      </c>
    </row>
    <row r="39" spans="2:5" ht="12.75">
      <c r="B39" t="s">
        <v>187</v>
      </c>
      <c r="C39" s="294"/>
      <c r="D39" s="294"/>
      <c r="E39" s="312">
        <f t="shared" si="0"/>
        <v>0</v>
      </c>
    </row>
    <row r="40" spans="1:5" ht="12.75">
      <c r="A40" s="81" t="s">
        <v>387</v>
      </c>
      <c r="B40" t="s">
        <v>187</v>
      </c>
      <c r="C40" s="294">
        <v>614133</v>
      </c>
      <c r="D40" s="294"/>
      <c r="E40" s="312">
        <f t="shared" si="0"/>
        <v>614133</v>
      </c>
    </row>
    <row r="41" spans="1:5" ht="12.75">
      <c r="A41" s="67" t="s">
        <v>458</v>
      </c>
      <c r="B41" t="s">
        <v>187</v>
      </c>
      <c r="C41" s="294"/>
      <c r="D41" s="294"/>
      <c r="E41" s="312">
        <f t="shared" si="0"/>
        <v>0</v>
      </c>
    </row>
    <row r="42" spans="2:5" ht="12.75">
      <c r="B42" t="s">
        <v>187</v>
      </c>
      <c r="C42" s="294"/>
      <c r="D42" s="294"/>
      <c r="E42" s="312">
        <f t="shared" si="0"/>
        <v>0</v>
      </c>
    </row>
    <row r="43" spans="1:5" ht="12.75">
      <c r="A43" s="68" t="s">
        <v>204</v>
      </c>
      <c r="B43" t="s">
        <v>187</v>
      </c>
      <c r="C43" s="294"/>
      <c r="D43" s="294"/>
      <c r="E43" s="312">
        <f t="shared" si="0"/>
        <v>0</v>
      </c>
    </row>
    <row r="44" spans="1:5" ht="12.75">
      <c r="A44" s="497" t="s">
        <v>503</v>
      </c>
      <c r="B44" t="s">
        <v>187</v>
      </c>
      <c r="C44" s="293"/>
      <c r="D44" s="293"/>
      <c r="E44" s="251">
        <f t="shared" si="0"/>
        <v>0</v>
      </c>
    </row>
    <row r="45" spans="2:5" ht="12.75">
      <c r="B45" t="s">
        <v>187</v>
      </c>
      <c r="C45" s="293"/>
      <c r="D45" s="293"/>
      <c r="E45" s="251">
        <f t="shared" si="0"/>
        <v>0</v>
      </c>
    </row>
    <row r="46" spans="1:5" ht="12.75">
      <c r="A46" s="67"/>
      <c r="B46" t="s">
        <v>187</v>
      </c>
      <c r="C46" s="293"/>
      <c r="D46" s="293"/>
      <c r="E46" s="278"/>
    </row>
    <row r="47" spans="1:5" ht="12.75">
      <c r="A47" s="449" t="s">
        <v>397</v>
      </c>
      <c r="B47" t="s">
        <v>189</v>
      </c>
      <c r="C47" s="251">
        <f>SUM(C19:C46)</f>
        <v>614133</v>
      </c>
      <c r="D47" s="251">
        <f>SUM(D19:D46)</f>
        <v>0</v>
      </c>
      <c r="E47" s="251">
        <f>SUM(E19:E46)</f>
        <v>614133</v>
      </c>
    </row>
    <row r="48" ht="12.75">
      <c r="A48" s="67"/>
    </row>
    <row r="49" ht="12.75">
      <c r="A49" s="81" t="s">
        <v>145</v>
      </c>
    </row>
    <row r="51" spans="1:5" ht="12.75">
      <c r="A51" s="71" t="s">
        <v>388</v>
      </c>
      <c r="B51" s="8" t="s">
        <v>188</v>
      </c>
      <c r="C51" s="293"/>
      <c r="D51" s="293"/>
      <c r="E51" s="251">
        <f aca="true" t="shared" si="1" ref="E51:E61">C51-D51</f>
        <v>0</v>
      </c>
    </row>
    <row r="52" spans="1:5" ht="12.75">
      <c r="A52" s="67" t="s">
        <v>454</v>
      </c>
      <c r="B52" s="8" t="s">
        <v>188</v>
      </c>
      <c r="C52" s="293"/>
      <c r="D52" s="293"/>
      <c r="E52" s="251">
        <f t="shared" si="1"/>
        <v>0</v>
      </c>
    </row>
    <row r="53" spans="1:5" ht="12.75">
      <c r="A53" t="s">
        <v>389</v>
      </c>
      <c r="B53" s="8" t="s">
        <v>188</v>
      </c>
      <c r="C53" s="293"/>
      <c r="D53" s="293"/>
      <c r="E53" s="251">
        <f t="shared" si="1"/>
        <v>0</v>
      </c>
    </row>
    <row r="54" spans="1:5" ht="12.75">
      <c r="A54" t="s">
        <v>437</v>
      </c>
      <c r="B54" s="8" t="s">
        <v>188</v>
      </c>
      <c r="C54" s="293"/>
      <c r="D54" s="293"/>
      <c r="E54" s="251">
        <f t="shared" si="1"/>
        <v>0</v>
      </c>
    </row>
    <row r="55" spans="1:5" ht="12.75">
      <c r="A55" s="67" t="s">
        <v>445</v>
      </c>
      <c r="B55" s="8" t="s">
        <v>188</v>
      </c>
      <c r="C55" s="293"/>
      <c r="D55" s="293"/>
      <c r="E55" s="251">
        <f t="shared" si="1"/>
        <v>0</v>
      </c>
    </row>
    <row r="56" spans="1:5" ht="12.75">
      <c r="A56" s="67" t="s">
        <v>457</v>
      </c>
      <c r="B56" s="8" t="s">
        <v>188</v>
      </c>
      <c r="C56" s="293"/>
      <c r="D56" s="293"/>
      <c r="E56" s="251">
        <f t="shared" si="1"/>
        <v>0</v>
      </c>
    </row>
    <row r="57" spans="1:5" ht="12.75">
      <c r="A57" s="2" t="s">
        <v>453</v>
      </c>
      <c r="B57" s="8" t="s">
        <v>188</v>
      </c>
      <c r="C57" s="293"/>
      <c r="D57" s="293"/>
      <c r="E57" s="251">
        <f t="shared" si="1"/>
        <v>0</v>
      </c>
    </row>
    <row r="58" spans="1:5" ht="12.75">
      <c r="A58" s="67" t="s">
        <v>456</v>
      </c>
      <c r="B58" s="8" t="s">
        <v>188</v>
      </c>
      <c r="C58" s="293"/>
      <c r="D58" s="293"/>
      <c r="E58" s="251">
        <f t="shared" si="1"/>
        <v>0</v>
      </c>
    </row>
    <row r="59" spans="1:5" ht="12.75">
      <c r="A59" s="67"/>
      <c r="B59" s="8" t="s">
        <v>188</v>
      </c>
      <c r="C59" s="293"/>
      <c r="D59" s="293"/>
      <c r="E59" s="251">
        <f t="shared" si="1"/>
        <v>0</v>
      </c>
    </row>
    <row r="60" spans="1:5" ht="12.75">
      <c r="A60" s="466" t="s">
        <v>394</v>
      </c>
      <c r="B60" s="8" t="s">
        <v>188</v>
      </c>
      <c r="C60" s="293"/>
      <c r="D60" s="293"/>
      <c r="E60" s="251">
        <f t="shared" si="1"/>
        <v>0</v>
      </c>
    </row>
    <row r="61" spans="2:5" ht="12.75">
      <c r="B61" s="8" t="s">
        <v>188</v>
      </c>
      <c r="C61" s="293"/>
      <c r="D61" s="293"/>
      <c r="E61" s="251">
        <f t="shared" si="1"/>
        <v>0</v>
      </c>
    </row>
    <row r="62" spans="1:5" ht="12.75">
      <c r="A62" s="466" t="s">
        <v>387</v>
      </c>
      <c r="B62" s="8" t="s">
        <v>188</v>
      </c>
      <c r="C62" s="293"/>
      <c r="D62" s="293"/>
      <c r="E62" s="251">
        <f aca="true" t="shared" si="2" ref="E62:E72">C62-D62</f>
        <v>0</v>
      </c>
    </row>
    <row r="63" spans="2:5" ht="12.75">
      <c r="B63" s="8" t="s">
        <v>188</v>
      </c>
      <c r="C63" s="293">
        <f>733467+312994</f>
        <v>1046461</v>
      </c>
      <c r="D63" s="293"/>
      <c r="E63" s="251">
        <f t="shared" si="2"/>
        <v>1046461</v>
      </c>
    </row>
    <row r="64" spans="2:5" ht="12.75">
      <c r="B64" s="8" t="s">
        <v>188</v>
      </c>
      <c r="C64" s="293"/>
      <c r="D64" s="293"/>
      <c r="E64" s="251">
        <f t="shared" si="2"/>
        <v>0</v>
      </c>
    </row>
    <row r="65" spans="2:5" ht="12.75">
      <c r="B65" s="8" t="s">
        <v>188</v>
      </c>
      <c r="C65" s="293"/>
      <c r="D65" s="293"/>
      <c r="E65" s="251">
        <f t="shared" si="2"/>
        <v>0</v>
      </c>
    </row>
    <row r="66" spans="2:5" ht="12.75">
      <c r="B66" s="8" t="s">
        <v>188</v>
      </c>
      <c r="C66" s="293"/>
      <c r="D66" s="293"/>
      <c r="E66" s="251">
        <f t="shared" si="2"/>
        <v>0</v>
      </c>
    </row>
    <row r="67" spans="1:5" ht="12.75">
      <c r="A67" s="67"/>
      <c r="B67" s="8" t="s">
        <v>188</v>
      </c>
      <c r="C67" s="293"/>
      <c r="D67" s="293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3"/>
      <c r="D68" s="293"/>
      <c r="E68" s="251">
        <f t="shared" si="2"/>
        <v>0</v>
      </c>
    </row>
    <row r="69" spans="1:5" ht="12.75">
      <c r="A69" s="67"/>
      <c r="B69" s="8" t="s">
        <v>188</v>
      </c>
      <c r="C69" s="293"/>
      <c r="D69" s="293"/>
      <c r="E69" s="251">
        <f t="shared" si="2"/>
        <v>0</v>
      </c>
    </row>
    <row r="70" spans="1:5" ht="12.75">
      <c r="A70" s="67"/>
      <c r="B70" s="8" t="s">
        <v>188</v>
      </c>
      <c r="C70" s="293"/>
      <c r="D70" s="293"/>
      <c r="E70" s="251">
        <f t="shared" si="2"/>
        <v>0</v>
      </c>
    </row>
    <row r="71" spans="1:5" ht="12.75">
      <c r="A71" s="67"/>
      <c r="B71" s="8" t="s">
        <v>188</v>
      </c>
      <c r="C71" s="293"/>
      <c r="D71" s="293"/>
      <c r="E71" s="251">
        <f t="shared" si="2"/>
        <v>0</v>
      </c>
    </row>
    <row r="72" spans="1:5" ht="12.75">
      <c r="A72" s="67"/>
      <c r="B72" s="8" t="s">
        <v>188</v>
      </c>
      <c r="C72" s="293"/>
      <c r="D72" s="293"/>
      <c r="E72" s="278">
        <f t="shared" si="2"/>
        <v>0</v>
      </c>
    </row>
    <row r="73" spans="1:5" ht="12.75">
      <c r="A73" s="448" t="s">
        <v>396</v>
      </c>
      <c r="B73" s="8" t="s">
        <v>189</v>
      </c>
      <c r="C73" s="251">
        <f>SUM(C51:C72)</f>
        <v>1046461</v>
      </c>
      <c r="D73" s="251">
        <f>SUM(D51:D72)</f>
        <v>0</v>
      </c>
      <c r="E73" s="251">
        <f>SUM(E51:E72)</f>
        <v>1046461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/>
  <pageMargins left="0.35433070866141736" right="0.03937007874015748" top="0.9055118110236221" bottom="0.35433070866141736" header="0.2755905511811024" footer="0"/>
  <pageSetup fitToHeight="2" fitToWidth="1" horizontalDpi="600" verticalDpi="600" orientation="portrait" paperSize="5" scale="85" r:id="rId1"/>
  <headerFooter alignWithMargins="0">
    <oddHeader>&amp;L&amp;"Arial,Bold"&amp;12APPENDIX G&amp;R&amp;9Thunder Bay Hydro Electricity Distribution Inc.
OEB Application: IRM3
Application: EB 2011-0197
LDC License #: EB-2002-0529</oddHeader>
    <oddFooter>&amp;L&amp;Z&amp;F&amp;R&amp;"Arial,Bold"&amp;9&amp;A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tabSelected="1" view="pageLayout" workbookViewId="0" topLeftCell="A34">
      <selection activeCell="A3" sqref="A3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3.8515625" style="8" customWidth="1"/>
    <col min="4" max="4" width="11.28125" style="8" bestFit="1" customWidth="1"/>
    <col min="5" max="5" width="12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4" t="str">
        <f>REGINFO!A1</f>
        <v>PILs TAXES - EB-2008-0381</v>
      </c>
      <c r="B1" s="385"/>
      <c r="C1" s="342"/>
      <c r="D1" s="342"/>
      <c r="E1" s="342"/>
      <c r="F1" s="342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3" t="s">
        <v>107</v>
      </c>
      <c r="B2" s="342"/>
      <c r="C2" s="342"/>
      <c r="D2" s="342"/>
      <c r="E2" s="342"/>
      <c r="F2" s="344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3" t="s">
        <v>307</v>
      </c>
      <c r="B3" s="342"/>
      <c r="C3" s="342"/>
      <c r="D3" s="342"/>
      <c r="E3" s="342"/>
      <c r="F3" s="344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Thunder Bay Hydro Electricity Distribution Inc.</v>
      </c>
      <c r="B4" s="342"/>
      <c r="C4" s="342"/>
      <c r="D4" s="342"/>
      <c r="E4" s="342"/>
      <c r="F4" s="342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2005</v>
      </c>
      <c r="B5" s="342"/>
      <c r="C5" s="342"/>
      <c r="D5" s="342"/>
      <c r="E5" s="342"/>
      <c r="F5" s="342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3"/>
      <c r="B6" s="342"/>
      <c r="C6" s="342"/>
      <c r="D6" s="342"/>
      <c r="E6" s="342"/>
      <c r="F6" s="342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3"/>
      <c r="B7" s="342"/>
      <c r="C7" s="342"/>
      <c r="D7" s="342"/>
      <c r="E7" s="342"/>
      <c r="F7" s="410" t="s">
        <v>337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31" t="s">
        <v>486</v>
      </c>
      <c r="B8" s="532"/>
      <c r="C8" s="532"/>
      <c r="D8" s="532"/>
      <c r="E8" s="342"/>
      <c r="F8" s="382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0" t="s">
        <v>112</v>
      </c>
      <c r="B9" s="325"/>
      <c r="C9" s="373">
        <v>0</v>
      </c>
      <c r="D9" s="373"/>
      <c r="E9" s="373">
        <v>400001</v>
      </c>
      <c r="F9" s="374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1" t="s">
        <v>488</v>
      </c>
      <c r="B10" s="326"/>
      <c r="C10" s="375" t="s">
        <v>111</v>
      </c>
      <c r="D10" s="375"/>
      <c r="E10" s="375" t="s">
        <v>111</v>
      </c>
      <c r="F10" s="376" t="s">
        <v>482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1"/>
      <c r="B11" s="326" t="s">
        <v>116</v>
      </c>
      <c r="C11" s="377">
        <v>400000</v>
      </c>
      <c r="D11" s="377"/>
      <c r="E11" s="377">
        <v>1128000</v>
      </c>
      <c r="F11" s="378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2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3" t="s">
        <v>300</v>
      </c>
      <c r="B13" s="409">
        <v>2005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3" t="s">
        <v>299</v>
      </c>
      <c r="B14" s="245"/>
      <c r="C14" s="327">
        <v>0.1312</v>
      </c>
      <c r="D14" s="327"/>
      <c r="E14" s="328">
        <v>0.1775</v>
      </c>
      <c r="F14" s="328">
        <v>0.2212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3" t="s">
        <v>304</v>
      </c>
      <c r="B15" s="245"/>
      <c r="C15" s="329">
        <v>0.055</v>
      </c>
      <c r="D15" s="329"/>
      <c r="E15" s="330">
        <v>0.0975</v>
      </c>
      <c r="F15" s="330">
        <v>0.14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3" t="s">
        <v>260</v>
      </c>
      <c r="B16" s="245"/>
      <c r="C16" s="331">
        <f>SUM(C14:C15)</f>
        <v>0.1862</v>
      </c>
      <c r="D16" s="331"/>
      <c r="E16" s="332">
        <f>SUM(E14:E15)</f>
        <v>0.275</v>
      </c>
      <c r="F16" s="332">
        <f>SUM(F14:F15)</f>
        <v>0.3612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3"/>
      <c r="B17" s="245"/>
      <c r="C17" s="327"/>
      <c r="D17" s="327"/>
      <c r="E17" s="328"/>
      <c r="F17" s="328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2" t="s">
        <v>109</v>
      </c>
      <c r="B18" s="244"/>
      <c r="C18" s="333">
        <v>0.003</v>
      </c>
      <c r="D18" s="327"/>
      <c r="E18" s="328"/>
      <c r="F18" s="328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2" t="s">
        <v>110</v>
      </c>
      <c r="B19" s="238"/>
      <c r="C19" s="334">
        <v>0.00175</v>
      </c>
      <c r="D19" s="335"/>
      <c r="E19" s="336"/>
      <c r="F19" s="336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2" t="s">
        <v>113</v>
      </c>
      <c r="B20" s="238"/>
      <c r="C20" s="335">
        <v>0.0112</v>
      </c>
      <c r="D20" s="337"/>
      <c r="E20" s="338"/>
      <c r="F20" s="338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4" t="s">
        <v>332</v>
      </c>
      <c r="B21" s="406" t="s">
        <v>487</v>
      </c>
      <c r="C21" s="361">
        <v>7347000</v>
      </c>
      <c r="D21" s="337"/>
      <c r="E21" s="338"/>
      <c r="F21" s="338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4" t="s">
        <v>333</v>
      </c>
      <c r="B22" s="407" t="s">
        <v>481</v>
      </c>
      <c r="C22" s="362">
        <v>48980000</v>
      </c>
      <c r="D22" s="339"/>
      <c r="E22" s="340"/>
      <c r="F22" s="340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25" t="s">
        <v>493</v>
      </c>
      <c r="B23" s="526"/>
      <c r="C23" s="526"/>
      <c r="D23" s="526"/>
      <c r="E23" s="526"/>
      <c r="F23" s="526"/>
      <c r="G23" s="438"/>
      <c r="H23" s="420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1"/>
      <c r="B24" s="412"/>
      <c r="C24" s="412"/>
      <c r="D24" s="412"/>
      <c r="E24" s="412"/>
      <c r="F24" s="412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79"/>
      <c r="B25" s="380"/>
      <c r="C25" s="383"/>
      <c r="D25" s="342"/>
      <c r="E25" s="342"/>
      <c r="F25" s="410" t="s">
        <v>338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31" t="s">
        <v>489</v>
      </c>
      <c r="B26" s="532"/>
      <c r="C26" s="532"/>
      <c r="D26" s="532"/>
      <c r="E26" s="532"/>
      <c r="F26" s="532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0" t="s">
        <v>112</v>
      </c>
      <c r="B27" s="325"/>
      <c r="C27" s="367">
        <v>0</v>
      </c>
      <c r="D27" s="367">
        <v>250001</v>
      </c>
      <c r="E27" s="367">
        <v>400001</v>
      </c>
      <c r="F27" s="368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1" t="s">
        <v>441</v>
      </c>
      <c r="B28" s="326"/>
      <c r="C28" s="369" t="s">
        <v>111</v>
      </c>
      <c r="D28" s="369" t="s">
        <v>111</v>
      </c>
      <c r="E28" s="369" t="s">
        <v>111</v>
      </c>
      <c r="F28" s="370" t="s">
        <v>482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1"/>
      <c r="B29" s="326" t="s">
        <v>116</v>
      </c>
      <c r="C29" s="371">
        <v>250000</v>
      </c>
      <c r="D29" s="371">
        <v>400000</v>
      </c>
      <c r="E29" s="371">
        <v>1128000</v>
      </c>
      <c r="F29" s="372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2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3" t="s">
        <v>115</v>
      </c>
      <c r="B31" s="409">
        <v>2005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3" t="s">
        <v>299</v>
      </c>
      <c r="B32" s="409">
        <v>2005</v>
      </c>
      <c r="C32" s="327">
        <v>0.1312</v>
      </c>
      <c r="D32" s="327">
        <v>0.2212</v>
      </c>
      <c r="E32" s="328">
        <v>0.2212</v>
      </c>
      <c r="F32" s="328">
        <v>0.2212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3" t="s">
        <v>29</v>
      </c>
      <c r="B33" s="409">
        <v>2005</v>
      </c>
      <c r="C33" s="329">
        <v>0.055</v>
      </c>
      <c r="D33" s="329">
        <v>0.055</v>
      </c>
      <c r="E33" s="330">
        <v>0.0975</v>
      </c>
      <c r="F33" s="330">
        <v>0.14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3" t="s">
        <v>260</v>
      </c>
      <c r="B34" s="409">
        <v>2005</v>
      </c>
      <c r="C34" s="331">
        <f>SUM(C32:C33)</f>
        <v>0.1862</v>
      </c>
      <c r="D34" s="331">
        <f>SUM(D32:D33)</f>
        <v>0.2762</v>
      </c>
      <c r="E34" s="332">
        <f>SUM(E32:E33)</f>
        <v>0.3187</v>
      </c>
      <c r="F34" s="332">
        <f>SUM(F32:F33)</f>
        <v>0.3612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3"/>
      <c r="B35" s="245"/>
      <c r="C35" s="327"/>
      <c r="D35" s="327"/>
      <c r="E35" s="328"/>
      <c r="F35" s="328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2" t="s">
        <v>109</v>
      </c>
      <c r="B36" s="409">
        <v>2005</v>
      </c>
      <c r="C36" s="333">
        <v>0.003</v>
      </c>
      <c r="D36" s="327"/>
      <c r="E36" s="328"/>
      <c r="F36" s="328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2" t="s">
        <v>110</v>
      </c>
      <c r="B37" s="409">
        <v>2005</v>
      </c>
      <c r="C37" s="334">
        <v>0.002</v>
      </c>
      <c r="D37" s="335"/>
      <c r="E37" s="336"/>
      <c r="F37" s="336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2" t="s">
        <v>113</v>
      </c>
      <c r="B38" s="409">
        <v>2005</v>
      </c>
      <c r="C38" s="335">
        <v>0.0112</v>
      </c>
      <c r="D38" s="337"/>
      <c r="E38" s="338"/>
      <c r="F38" s="338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4" t="s">
        <v>491</v>
      </c>
      <c r="B39" s="406" t="s">
        <v>487</v>
      </c>
      <c r="C39" s="361">
        <v>7500000</v>
      </c>
      <c r="D39" s="337"/>
      <c r="E39" s="338"/>
      <c r="F39" s="338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4" t="s">
        <v>492</v>
      </c>
      <c r="B40" s="407" t="s">
        <v>481</v>
      </c>
      <c r="C40" s="362">
        <v>50000000</v>
      </c>
      <c r="D40" s="339"/>
      <c r="E40" s="340"/>
      <c r="F40" s="340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27" t="s">
        <v>335</v>
      </c>
      <c r="B41" s="526"/>
      <c r="C41" s="526"/>
      <c r="D41" s="526"/>
      <c r="E41" s="526"/>
      <c r="F41" s="526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28"/>
      <c r="B42" s="528"/>
      <c r="C42" s="528"/>
      <c r="D42" s="528"/>
      <c r="E42" s="528"/>
      <c r="F42" s="528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79"/>
      <c r="B43" s="380"/>
      <c r="C43" s="381"/>
      <c r="D43" s="380"/>
      <c r="E43" s="380"/>
      <c r="F43" s="410" t="s">
        <v>339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8" t="s">
        <v>490</v>
      </c>
      <c r="B44" s="365"/>
      <c r="C44" s="366"/>
      <c r="D44" s="365"/>
      <c r="E44" s="342"/>
      <c r="F44" s="382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0" t="s">
        <v>112</v>
      </c>
      <c r="B45" s="325"/>
      <c r="C45" s="367">
        <v>0</v>
      </c>
      <c r="D45" s="367">
        <v>250001</v>
      </c>
      <c r="E45" s="367">
        <v>400001</v>
      </c>
      <c r="F45" s="368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1"/>
      <c r="B46" s="326"/>
      <c r="C46" s="369" t="s">
        <v>111</v>
      </c>
      <c r="D46" s="369" t="s">
        <v>111</v>
      </c>
      <c r="E46" s="369" t="s">
        <v>111</v>
      </c>
      <c r="F46" s="370" t="s">
        <v>482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1"/>
      <c r="B47" s="341" t="s">
        <v>116</v>
      </c>
      <c r="C47" s="371">
        <v>250000</v>
      </c>
      <c r="D47" s="371">
        <v>400000</v>
      </c>
      <c r="E47" s="371">
        <v>1128000</v>
      </c>
      <c r="F47" s="372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2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3" t="s">
        <v>115</v>
      </c>
      <c r="B49" s="409">
        <v>2005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3" t="s">
        <v>299</v>
      </c>
      <c r="B50" s="245"/>
      <c r="C50" s="351">
        <v>0.1312</v>
      </c>
      <c r="D50" s="351">
        <v>0.2212</v>
      </c>
      <c r="E50" s="352">
        <v>0.2212</v>
      </c>
      <c r="F50" s="352">
        <v>0.2212</v>
      </c>
      <c r="G50" s="194"/>
      <c r="H50" s="194"/>
      <c r="I50" s="194"/>
      <c r="J50" s="194"/>
      <c r="K50" s="188"/>
      <c r="L50" s="189"/>
      <c r="M50" s="189"/>
      <c r="N50" s="189"/>
      <c r="O50" s="189"/>
      <c r="P50" s="189"/>
    </row>
    <row r="51" spans="1:16" ht="13.5" thickBot="1">
      <c r="A51" s="323" t="s">
        <v>29</v>
      </c>
      <c r="B51" s="245"/>
      <c r="C51" s="353">
        <v>0.055</v>
      </c>
      <c r="D51" s="353">
        <v>0.055</v>
      </c>
      <c r="E51" s="354">
        <v>0.0975</v>
      </c>
      <c r="F51" s="354">
        <v>0.14</v>
      </c>
      <c r="G51" s="194"/>
      <c r="H51" s="194"/>
      <c r="I51" s="194"/>
      <c r="J51" s="194"/>
      <c r="K51" s="188"/>
      <c r="L51" s="189"/>
      <c r="M51" s="189"/>
      <c r="N51" s="189"/>
      <c r="O51" s="189"/>
      <c r="P51" s="189"/>
    </row>
    <row r="52" spans="1:16" ht="13.5" thickBot="1">
      <c r="A52" s="323" t="s">
        <v>260</v>
      </c>
      <c r="B52" s="245"/>
      <c r="C52" s="331">
        <f>SUM(C50:C51)</f>
        <v>0.1862</v>
      </c>
      <c r="D52" s="331">
        <f>SUM(D50:D51)</f>
        <v>0.2762</v>
      </c>
      <c r="E52" s="332">
        <f>SUM(E50:E51)</f>
        <v>0.3187</v>
      </c>
      <c r="F52" s="332">
        <f>SUM(F50:F51)</f>
        <v>0.3612</v>
      </c>
      <c r="G52" s="194"/>
      <c r="H52" s="194"/>
      <c r="I52" s="19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3"/>
      <c r="B53" s="245"/>
      <c r="C53" s="351"/>
      <c r="D53" s="351"/>
      <c r="E53" s="352"/>
      <c r="F53" s="352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2" t="s">
        <v>109</v>
      </c>
      <c r="B54" s="244"/>
      <c r="C54" s="355">
        <v>0.003</v>
      </c>
      <c r="D54" s="351"/>
      <c r="E54" s="352"/>
      <c r="F54" s="352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2" t="s">
        <v>110</v>
      </c>
      <c r="B55" s="238"/>
      <c r="C55" s="356">
        <v>0.00175</v>
      </c>
      <c r="D55" s="357"/>
      <c r="E55" s="358"/>
      <c r="F55" s="358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2" t="s">
        <v>113</v>
      </c>
      <c r="B56" s="238"/>
      <c r="C56" s="357">
        <v>0.0112</v>
      </c>
      <c r="D56" s="359"/>
      <c r="E56" s="360"/>
      <c r="F56" s="360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4" t="s">
        <v>349</v>
      </c>
      <c r="B57" s="406" t="s">
        <v>487</v>
      </c>
      <c r="C57" s="361">
        <v>7338582</v>
      </c>
      <c r="D57" s="359"/>
      <c r="E57" s="360"/>
      <c r="F57" s="360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4" t="s">
        <v>350</v>
      </c>
      <c r="B58" s="407" t="s">
        <v>481</v>
      </c>
      <c r="C58" s="362">
        <v>50000000</v>
      </c>
      <c r="D58" s="363"/>
      <c r="E58" s="364"/>
      <c r="F58" s="364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25" t="s">
        <v>351</v>
      </c>
      <c r="B59" s="529"/>
      <c r="C59" s="529"/>
      <c r="D59" s="529"/>
      <c r="E59" s="529"/>
      <c r="F59" s="529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30"/>
      <c r="B60" s="530"/>
      <c r="C60" s="530"/>
      <c r="D60" s="530"/>
      <c r="E60" s="530"/>
      <c r="F60" s="530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3"/>
      <c r="B61" s="344"/>
      <c r="C61" s="344"/>
      <c r="D61" s="344"/>
      <c r="E61" s="344"/>
      <c r="F61" s="346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3"/>
      <c r="B62" s="344"/>
      <c r="C62" s="345"/>
      <c r="D62" s="345"/>
      <c r="E62" s="345"/>
      <c r="F62" s="347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3"/>
      <c r="B63" s="342"/>
      <c r="C63" s="342"/>
      <c r="D63" s="342"/>
      <c r="E63" s="342"/>
      <c r="F63" s="342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8"/>
      <c r="B64" s="349"/>
      <c r="C64" s="350"/>
      <c r="D64" s="350"/>
      <c r="E64" s="350"/>
      <c r="F64" s="350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/>
  <pageMargins left="0.35433070866141736" right="0.03937007874015748" top="0.9055118110236221" bottom="0.35433070866141736" header="0.2755905511811024" footer="0"/>
  <pageSetup fitToHeight="1" fitToWidth="1" horizontalDpi="600" verticalDpi="600" orientation="portrait" paperSize="5" scale="94" r:id="rId1"/>
  <headerFooter alignWithMargins="0">
    <oddHeader>&amp;L&amp;"Arial,Bold"&amp;12APPENDIX G&amp;R&amp;9Thunder Bay Hydro Electricity Distribution Inc.
OEB Application: IRM3
Application: EB 2011-0197
LDC License #: EB-2002-0529</oddHeader>
    <oddFooter>&amp;L&amp;8&amp;Z&amp;F&amp;R&amp;"Arial,Bold"&amp;9&amp;A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G108"/>
  <sheetViews>
    <sheetView tabSelected="1" workbookViewId="0" topLeftCell="A1">
      <selection activeCell="A3" sqref="A3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57421875" style="500" customWidth="1"/>
    <col min="15" max="15" width="12.7109375" style="0" customWidth="1"/>
    <col min="16" max="16" width="3.421875" style="500" customWidth="1"/>
    <col min="17" max="17" width="12.7109375" style="0" customWidth="1"/>
    <col min="18" max="18" width="3.421875" style="500" customWidth="1"/>
    <col min="19" max="19" width="12.7109375" style="0" customWidth="1"/>
    <col min="20" max="20" width="3.7109375" style="500" customWidth="1"/>
    <col min="21" max="21" width="12.7109375" style="0" customWidth="1"/>
    <col min="22" max="22" width="4.00390625" style="500" customWidth="1"/>
    <col min="23" max="23" width="12.7109375" style="0" customWidth="1"/>
    <col min="24" max="24" width="3.28125" style="0" customWidth="1"/>
    <col min="25" max="25" width="12.8515625" style="0" customWidth="1"/>
    <col min="26" max="26" width="3.28125" style="0" customWidth="1"/>
    <col min="27" max="27" width="12.8515625" style="0" customWidth="1"/>
    <col min="28" max="28" width="3.28125" style="0" customWidth="1"/>
    <col min="29" max="29" width="12.7109375" style="0" customWidth="1"/>
    <col min="30" max="30" width="3.7109375" style="0" customWidth="1"/>
    <col min="31" max="31" width="13.00390625" style="0" customWidth="1"/>
    <col min="32" max="32" width="3.7109375" style="0" customWidth="1"/>
    <col min="33" max="33" width="12.8515625" style="0" customWidth="1"/>
    <col min="34" max="34" width="3.7109375" style="0" customWidth="1"/>
    <col min="35" max="35" width="13.8515625" style="0" customWidth="1"/>
    <col min="36" max="36" width="3.7109375" style="0" customWidth="1"/>
    <col min="37" max="37" width="12.140625" style="0" customWidth="1"/>
  </cols>
  <sheetData>
    <row r="1" ht="12.75">
      <c r="A1" s="1" t="str">
        <f>REGINFO!A1</f>
        <v>PILs TAXES - EB-2008-0381</v>
      </c>
    </row>
    <row r="2" spans="1:2" ht="12.75">
      <c r="A2" s="2" t="s">
        <v>459</v>
      </c>
      <c r="B2" s="2"/>
    </row>
    <row r="3" spans="1:29" ht="12.75">
      <c r="A3" s="2" t="str">
        <f>REGINFO!A3</f>
        <v>Utility Name: Thunder Bay Hydro Electricity Distribution Inc.</v>
      </c>
      <c r="AC3" s="416" t="str">
        <f>REGINFO!E1</f>
        <v>Version 2009.1</v>
      </c>
    </row>
    <row r="4" spans="1:29" ht="12.75">
      <c r="A4" s="2" t="str">
        <f>REGINFO!A4</f>
        <v>Reporting period:  2005</v>
      </c>
      <c r="E4" s="417" t="s">
        <v>321</v>
      </c>
      <c r="F4" s="398"/>
      <c r="G4" s="398"/>
      <c r="H4" s="398"/>
      <c r="I4" s="398"/>
      <c r="AC4" s="416">
        <f>REGINFO!E2</f>
        <v>0</v>
      </c>
    </row>
    <row r="5" spans="4:7" ht="12.75">
      <c r="D5" s="34"/>
      <c r="E5" s="34"/>
      <c r="F5" s="34"/>
      <c r="G5" s="34"/>
    </row>
    <row r="6" spans="1:29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501"/>
      <c r="O6" s="49"/>
      <c r="P6" s="501"/>
      <c r="Q6" s="49"/>
      <c r="R6" s="501"/>
      <c r="S6" s="49"/>
      <c r="T6" s="501"/>
      <c r="U6" s="49"/>
      <c r="V6" s="501"/>
      <c r="W6" s="49"/>
      <c r="X6" s="49"/>
      <c r="Y6" s="49"/>
      <c r="Z6" s="49"/>
      <c r="AA6" s="49"/>
      <c r="AB6" s="49"/>
      <c r="AC6" s="49"/>
    </row>
    <row r="7" ht="13.5" thickTop="1"/>
    <row r="8" spans="1:27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  <c r="N8" s="502"/>
      <c r="O8" s="50">
        <v>38838</v>
      </c>
      <c r="P8" s="502"/>
      <c r="Q8" s="50">
        <v>39083</v>
      </c>
      <c r="R8" s="502"/>
      <c r="S8" s="50">
        <v>39448</v>
      </c>
      <c r="T8" s="502"/>
      <c r="U8" s="50">
        <v>39814</v>
      </c>
      <c r="V8" s="502"/>
      <c r="W8" s="50">
        <v>40179</v>
      </c>
      <c r="Y8" s="50">
        <v>40544</v>
      </c>
      <c r="AA8" s="50">
        <v>40909</v>
      </c>
    </row>
    <row r="9" spans="1:29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N9" s="503"/>
      <c r="O9" s="51">
        <v>39082</v>
      </c>
      <c r="P9" s="503"/>
      <c r="Q9" s="51">
        <v>39447</v>
      </c>
      <c r="R9" s="503"/>
      <c r="S9" s="51">
        <v>39813</v>
      </c>
      <c r="T9" s="503"/>
      <c r="U9" s="51">
        <v>40178</v>
      </c>
      <c r="V9" s="503"/>
      <c r="W9" s="51">
        <v>40543</v>
      </c>
      <c r="Y9" s="51">
        <v>40908</v>
      </c>
      <c r="AA9" s="51">
        <v>41029</v>
      </c>
      <c r="AC9" s="392" t="s">
        <v>104</v>
      </c>
    </row>
    <row r="10" spans="1:8" ht="12.75">
      <c r="A10" s="2"/>
      <c r="F10" s="34"/>
      <c r="H10" s="34"/>
    </row>
    <row r="11" spans="1:29" ht="20.25" customHeight="1">
      <c r="A11" s="81" t="s">
        <v>105</v>
      </c>
      <c r="B11" s="8" t="s">
        <v>189</v>
      </c>
      <c r="C11" s="394">
        <v>0</v>
      </c>
      <c r="D11" s="390"/>
      <c r="E11" s="396">
        <f>C22</f>
        <v>579961.8931125</v>
      </c>
      <c r="F11" s="419"/>
      <c r="G11" s="396">
        <f>E22</f>
        <v>603563.8806817024</v>
      </c>
      <c r="H11" s="419"/>
      <c r="I11" s="396">
        <f>G22</f>
        <v>617887.8869219874</v>
      </c>
      <c r="J11" s="390"/>
      <c r="K11" s="396">
        <f>I22</f>
        <v>833152.4284316446</v>
      </c>
      <c r="L11" s="390"/>
      <c r="M11" s="396">
        <f>K22</f>
        <v>515908.585856359</v>
      </c>
      <c r="N11" s="504"/>
      <c r="O11" s="396">
        <f>+M22</f>
        <v>307892.6179376126</v>
      </c>
      <c r="P11" s="504"/>
      <c r="Q11" s="396">
        <f>+O22</f>
        <v>312265.6466637193</v>
      </c>
      <c r="R11" s="504"/>
      <c r="S11" s="396">
        <f>+Q22</f>
        <v>318182.6579655095</v>
      </c>
      <c r="T11" s="504"/>
      <c r="U11" s="396">
        <f>+S22</f>
        <v>323164.0868351288</v>
      </c>
      <c r="V11" s="504"/>
      <c r="W11" s="396">
        <f>+U22</f>
        <v>324587.79923191067</v>
      </c>
      <c r="X11" s="390"/>
      <c r="Y11" s="396">
        <f>+W22</f>
        <v>325585.9624287753</v>
      </c>
      <c r="Z11" s="390"/>
      <c r="AA11" s="396">
        <f>+Y22</f>
        <v>327425.8369107704</v>
      </c>
      <c r="AB11" s="390"/>
      <c r="AC11" s="396">
        <f>C11</f>
        <v>0</v>
      </c>
    </row>
    <row r="12" spans="1:31" ht="27" customHeight="1">
      <c r="A12" s="81" t="s">
        <v>398</v>
      </c>
      <c r="B12" s="66" t="s">
        <v>190</v>
      </c>
      <c r="C12" s="395">
        <v>576479</v>
      </c>
      <c r="D12" s="391"/>
      <c r="E12" s="395">
        <v>1389804</v>
      </c>
      <c r="F12" s="95"/>
      <c r="G12" s="418">
        <f>C12+E12</f>
        <v>1966283</v>
      </c>
      <c r="H12" s="95"/>
      <c r="I12" s="418">
        <f>+G12*(3/12)+E12*(9/12)</f>
        <v>1533923.75</v>
      </c>
      <c r="J12" s="391"/>
      <c r="K12" s="418">
        <f>E12*(3/12)</f>
        <v>347451</v>
      </c>
      <c r="L12" s="391"/>
      <c r="M12" s="418">
        <f>(1557996-15378+2746)*(4/12)</f>
        <v>515121.3333333333</v>
      </c>
      <c r="N12" s="505"/>
      <c r="O12" s="418"/>
      <c r="P12" s="505"/>
      <c r="Q12" s="418"/>
      <c r="R12" s="505"/>
      <c r="S12" s="418"/>
      <c r="T12" s="505"/>
      <c r="U12" s="418"/>
      <c r="V12" s="505"/>
      <c r="W12" s="418"/>
      <c r="X12" s="391"/>
      <c r="Y12" s="418"/>
      <c r="Z12" s="391"/>
      <c r="AA12" s="418"/>
      <c r="AB12" s="391"/>
      <c r="AC12" s="396">
        <f>SUM(C12:AA12)</f>
        <v>6329062.083333333</v>
      </c>
      <c r="AE12" s="22"/>
    </row>
    <row r="13" spans="1:29" ht="27" customHeight="1">
      <c r="A13" s="81" t="s">
        <v>440</v>
      </c>
      <c r="B13" s="66"/>
      <c r="C13" s="395"/>
      <c r="D13" s="95"/>
      <c r="E13" s="395"/>
      <c r="F13" s="95"/>
      <c r="G13" s="395"/>
      <c r="H13" s="95"/>
      <c r="I13" s="395"/>
      <c r="J13" s="391"/>
      <c r="K13" s="395">
        <f>1557996*(9/12)</f>
        <v>1168497</v>
      </c>
      <c r="L13" s="391"/>
      <c r="M13" s="395"/>
      <c r="N13" s="505"/>
      <c r="O13" s="395"/>
      <c r="P13" s="505"/>
      <c r="Q13" s="395"/>
      <c r="R13" s="505"/>
      <c r="S13" s="395"/>
      <c r="T13" s="505"/>
      <c r="U13" s="395"/>
      <c r="V13" s="505"/>
      <c r="W13" s="395"/>
      <c r="X13" s="391"/>
      <c r="Y13" s="395"/>
      <c r="Z13" s="391"/>
      <c r="AA13" s="395"/>
      <c r="AB13" s="391"/>
      <c r="AC13" s="396">
        <f aca="true" t="shared" si="0" ref="AC13:AC20">SUM(C13:AA13)</f>
        <v>1168497</v>
      </c>
    </row>
    <row r="14" spans="1:29" ht="25.5">
      <c r="A14" s="81" t="s">
        <v>399</v>
      </c>
      <c r="B14" s="66" t="s">
        <v>190</v>
      </c>
      <c r="C14" s="395"/>
      <c r="D14" s="391"/>
      <c r="E14" s="395"/>
      <c r="F14" s="95"/>
      <c r="G14" s="395"/>
      <c r="H14" s="95"/>
      <c r="I14" s="395"/>
      <c r="J14" s="391"/>
      <c r="K14" s="395"/>
      <c r="L14" s="391"/>
      <c r="M14" s="395"/>
      <c r="N14" s="505"/>
      <c r="O14" s="395"/>
      <c r="P14" s="505"/>
      <c r="Q14" s="395"/>
      <c r="R14" s="505"/>
      <c r="S14" s="395"/>
      <c r="T14" s="505"/>
      <c r="U14" s="395"/>
      <c r="V14" s="505"/>
      <c r="W14" s="395"/>
      <c r="X14" s="391"/>
      <c r="Y14" s="395"/>
      <c r="Z14" s="391"/>
      <c r="AA14" s="395"/>
      <c r="AB14" s="391"/>
      <c r="AC14" s="396">
        <f t="shared" si="0"/>
        <v>0</v>
      </c>
    </row>
    <row r="15" spans="1:29" ht="27" customHeight="1">
      <c r="A15" s="81" t="s">
        <v>400</v>
      </c>
      <c r="B15" s="66" t="s">
        <v>190</v>
      </c>
      <c r="C15" s="395"/>
      <c r="D15" s="391"/>
      <c r="E15" s="395">
        <f>'[5]TAXCALC'!$E$183</f>
        <v>-95482.7773848595</v>
      </c>
      <c r="F15" s="95"/>
      <c r="G15" s="395">
        <f>'[2]TAXCALC'!$E$183</f>
        <v>45550.347753856004</v>
      </c>
      <c r="H15" s="95"/>
      <c r="I15" s="395">
        <f>'[3]TAXCALC'!$E$183</f>
        <v>32584.4192248062</v>
      </c>
      <c r="J15" s="391"/>
      <c r="K15" s="395">
        <f>'[4]TAXCALC'!$E$183</f>
        <v>-153129.3507692308</v>
      </c>
      <c r="L15" s="391"/>
      <c r="M15" s="395">
        <f>+TAXCALC!E183</f>
        <v>54479.42276923078</v>
      </c>
      <c r="N15" s="505"/>
      <c r="O15" s="395"/>
      <c r="P15" s="505"/>
      <c r="Q15" s="395"/>
      <c r="R15" s="505"/>
      <c r="S15" s="395"/>
      <c r="T15" s="505"/>
      <c r="U15" s="395"/>
      <c r="V15" s="505"/>
      <c r="W15" s="395"/>
      <c r="X15" s="391"/>
      <c r="Y15" s="395"/>
      <c r="Z15" s="391"/>
      <c r="AA15" s="395"/>
      <c r="AB15" s="391"/>
      <c r="AC15" s="396">
        <f t="shared" si="0"/>
        <v>-115997.9384061973</v>
      </c>
    </row>
    <row r="16" spans="1:29" ht="27" customHeight="1">
      <c r="A16" s="81" t="s">
        <v>401</v>
      </c>
      <c r="B16" s="66"/>
      <c r="C16" s="395"/>
      <c r="D16" s="391"/>
      <c r="E16" s="395"/>
      <c r="F16" s="95"/>
      <c r="G16" s="395"/>
      <c r="H16" s="95"/>
      <c r="I16" s="395"/>
      <c r="J16" s="391"/>
      <c r="K16" s="395"/>
      <c r="L16" s="391"/>
      <c r="M16" s="395"/>
      <c r="N16" s="505"/>
      <c r="O16" s="395"/>
      <c r="P16" s="505"/>
      <c r="Q16" s="395"/>
      <c r="R16" s="505"/>
      <c r="S16" s="395"/>
      <c r="T16" s="505"/>
      <c r="U16" s="395"/>
      <c r="V16" s="505"/>
      <c r="W16" s="395"/>
      <c r="X16" s="391"/>
      <c r="Y16" s="395"/>
      <c r="Z16" s="391"/>
      <c r="AA16" s="395"/>
      <c r="AB16" s="391"/>
      <c r="AC16" s="396">
        <f>SUM(C16:AA16)</f>
        <v>0</v>
      </c>
    </row>
    <row r="17" spans="1:29" ht="27.75" customHeight="1">
      <c r="A17" s="81" t="s">
        <v>402</v>
      </c>
      <c r="B17" s="66" t="s">
        <v>190</v>
      </c>
      <c r="C17" s="395"/>
      <c r="D17" s="391"/>
      <c r="E17" s="395">
        <f>'[5]TAXCALC'!$E$181</f>
        <v>809.404958677686</v>
      </c>
      <c r="F17" s="95"/>
      <c r="G17" s="395">
        <f>'[2]TAXCALC'!$E$181</f>
        <v>0</v>
      </c>
      <c r="H17" s="95"/>
      <c r="I17" s="395">
        <f>'[3]TAXCALC'!$E$181</f>
        <v>-51804.99224806215</v>
      </c>
      <c r="J17" s="391"/>
      <c r="K17" s="395">
        <f>'[4]TAXCALC'!$E$181</f>
        <v>-208842.58991699948</v>
      </c>
      <c r="L17" s="391"/>
      <c r="M17" s="395">
        <f>TAXCALC!E181</f>
        <v>-25219.000000000004</v>
      </c>
      <c r="N17" s="505"/>
      <c r="O17" s="395"/>
      <c r="P17" s="505"/>
      <c r="Q17" s="395"/>
      <c r="R17" s="505"/>
      <c r="S17" s="395"/>
      <c r="T17" s="505"/>
      <c r="U17" s="395"/>
      <c r="V17" s="505"/>
      <c r="W17" s="395"/>
      <c r="X17" s="391"/>
      <c r="Y17" s="395"/>
      <c r="Z17" s="391"/>
      <c r="AA17" s="395"/>
      <c r="AB17" s="391"/>
      <c r="AC17" s="396">
        <f t="shared" si="0"/>
        <v>-285057.17720638396</v>
      </c>
    </row>
    <row r="18" spans="1:29" ht="25.5">
      <c r="A18" s="81" t="s">
        <v>403</v>
      </c>
      <c r="B18" s="66" t="s">
        <v>190</v>
      </c>
      <c r="C18" s="395"/>
      <c r="D18" s="391"/>
      <c r="E18" s="395"/>
      <c r="F18" s="95"/>
      <c r="G18" s="395"/>
      <c r="H18" s="95"/>
      <c r="I18" s="395"/>
      <c r="J18" s="391"/>
      <c r="K18" s="395"/>
      <c r="L18" s="391"/>
      <c r="M18" s="395"/>
      <c r="N18" s="505"/>
      <c r="O18" s="395"/>
      <c r="P18" s="505"/>
      <c r="Q18" s="395"/>
      <c r="R18" s="505"/>
      <c r="S18" s="395"/>
      <c r="T18" s="505"/>
      <c r="U18" s="395"/>
      <c r="V18" s="505"/>
      <c r="W18" s="395"/>
      <c r="X18" s="391"/>
      <c r="Y18" s="395"/>
      <c r="Z18" s="391"/>
      <c r="AA18" s="395"/>
      <c r="AB18" s="391"/>
      <c r="AC18" s="396">
        <f t="shared" si="0"/>
        <v>0</v>
      </c>
    </row>
    <row r="19" spans="1:31" ht="24" customHeight="1">
      <c r="A19" s="432" t="s">
        <v>404</v>
      </c>
      <c r="B19" s="66" t="s">
        <v>190</v>
      </c>
      <c r="C19" s="395">
        <f>+'[6]OEB 1562'!$E$16</f>
        <v>3482.8931125</v>
      </c>
      <c r="D19" s="499"/>
      <c r="E19" s="395">
        <f>+'[6]OEB 1562'!$O$31</f>
        <v>56463.35999538425</v>
      </c>
      <c r="F19" s="499"/>
      <c r="G19" s="395">
        <f>+'[6]OEB 1562'!$O$45</f>
        <v>38738.658486429085</v>
      </c>
      <c r="H19" s="499"/>
      <c r="I19" s="395">
        <f>+'[6]OEB 1562'!$O$58</f>
        <v>42652.65453291334</v>
      </c>
      <c r="J19" s="499"/>
      <c r="K19" s="395">
        <f>+'[6]OEB 1562'!$O$74</f>
        <v>34084.34811094443</v>
      </c>
      <c r="L19" s="499"/>
      <c r="M19" s="395">
        <f>+'[6]OEB 1562'!$C$89+'[6]OEB 1562'!$D$89+'[6]OEB 1562'!$E$89+'[6]OEB 1562'!$F$89</f>
        <v>7309.565978689527</v>
      </c>
      <c r="N19" s="505"/>
      <c r="O19" s="395">
        <f>+'[6]OEB 1562'!$O$89-M19</f>
        <v>4373.028726106735</v>
      </c>
      <c r="P19" s="505"/>
      <c r="Q19" s="395">
        <f>+'[6]Calculated Carrying Charges'!$F$8</f>
        <v>5917.0113017901895</v>
      </c>
      <c r="R19" s="505"/>
      <c r="S19" s="395">
        <f>+'[6]Calculated Carrying Charges'!$J$8</f>
        <v>4981.42886961924</v>
      </c>
      <c r="T19" s="505"/>
      <c r="U19" s="395">
        <f>+'[6]Calculated Carrying Charges'!$N$8</f>
        <v>1423.7123967818804</v>
      </c>
      <c r="V19" s="505"/>
      <c r="W19" s="395">
        <f>+'[6]Calculated Carrying Charges'!$R$8</f>
        <v>998.1631968646592</v>
      </c>
      <c r="X19" s="499"/>
      <c r="Y19" s="395">
        <f>+'[6]Calculated Carrying Charges'!$V$8</f>
        <v>1839.8744819950457</v>
      </c>
      <c r="Z19" s="499"/>
      <c r="AA19" s="395">
        <f>+'[6]Calculated Carrying Charges'!$X$8+0.5</f>
        <v>613.7914939983485</v>
      </c>
      <c r="AB19" s="499"/>
      <c r="AC19" s="396">
        <f t="shared" si="0"/>
        <v>202878.49068401675</v>
      </c>
      <c r="AD19" s="500"/>
      <c r="AE19" s="498"/>
    </row>
    <row r="20" spans="1:31" ht="24.75" customHeight="1">
      <c r="A20" s="81" t="s">
        <v>470</v>
      </c>
      <c r="B20" s="66" t="s">
        <v>188</v>
      </c>
      <c r="C20" s="395">
        <v>0</v>
      </c>
      <c r="D20" s="391"/>
      <c r="E20" s="395">
        <v>-1327992</v>
      </c>
      <c r="F20" s="95"/>
      <c r="G20" s="395">
        <v>-2036248</v>
      </c>
      <c r="H20" s="95"/>
      <c r="I20" s="395">
        <v>-1342091.29</v>
      </c>
      <c r="J20" s="391"/>
      <c r="K20" s="395">
        <v>-1505304.25</v>
      </c>
      <c r="L20" s="391"/>
      <c r="M20" s="395">
        <v>-759707.29</v>
      </c>
      <c r="N20" s="505"/>
      <c r="O20" s="395"/>
      <c r="P20" s="505"/>
      <c r="Q20" s="395"/>
      <c r="R20" s="505"/>
      <c r="S20" s="395"/>
      <c r="T20" s="505"/>
      <c r="U20" s="395"/>
      <c r="V20" s="505"/>
      <c r="W20" s="395"/>
      <c r="X20" s="391"/>
      <c r="Y20" s="395"/>
      <c r="Z20" s="391"/>
      <c r="AA20" s="395"/>
      <c r="AB20" s="391"/>
      <c r="AC20" s="396">
        <f t="shared" si="0"/>
        <v>-6971342.83</v>
      </c>
      <c r="AE20" s="490"/>
    </row>
    <row r="21" spans="1:29" ht="12.75">
      <c r="A21" s="65"/>
      <c r="C21" s="391"/>
      <c r="D21" s="95"/>
      <c r="E21" s="391"/>
      <c r="F21" s="95"/>
      <c r="G21" s="391"/>
      <c r="H21" s="95"/>
      <c r="I21" s="391"/>
      <c r="J21" s="391"/>
      <c r="K21" s="391"/>
      <c r="L21" s="391"/>
      <c r="M21" s="391"/>
      <c r="N21" s="499"/>
      <c r="O21" s="391"/>
      <c r="P21" s="499"/>
      <c r="Q21" s="391"/>
      <c r="R21" s="499"/>
      <c r="S21" s="391"/>
      <c r="T21" s="499"/>
      <c r="U21" s="391"/>
      <c r="V21" s="499"/>
      <c r="W21" s="391"/>
      <c r="X21" s="391"/>
      <c r="Y21" s="391"/>
      <c r="Z21" s="391"/>
      <c r="AA21" s="391"/>
      <c r="AB21" s="391"/>
      <c r="AC21" s="419"/>
    </row>
    <row r="22" spans="1:33" ht="13.5" thickBot="1">
      <c r="A22" s="81" t="s">
        <v>374</v>
      </c>
      <c r="B22" s="34"/>
      <c r="C22" s="397">
        <f>SUM(C11:C20)</f>
        <v>579961.8931125</v>
      </c>
      <c r="D22" s="419"/>
      <c r="E22" s="397">
        <f>SUM(E11:E20)</f>
        <v>603563.8806817024</v>
      </c>
      <c r="F22" s="419"/>
      <c r="G22" s="397">
        <f>SUM(G11:G20)</f>
        <v>617887.8869219874</v>
      </c>
      <c r="H22" s="419"/>
      <c r="I22" s="397">
        <f>SUM(I11:I20)</f>
        <v>833152.4284316446</v>
      </c>
      <c r="J22" s="390"/>
      <c r="K22" s="397">
        <f>SUM(K11:K20)</f>
        <v>515908.585856359</v>
      </c>
      <c r="L22" s="390"/>
      <c r="M22" s="397">
        <f>SUM(M11:M21)</f>
        <v>307892.6179376126</v>
      </c>
      <c r="N22" s="506"/>
      <c r="O22" s="397">
        <f>SUM(O11:O21)</f>
        <v>312265.6466637193</v>
      </c>
      <c r="P22" s="506"/>
      <c r="Q22" s="397">
        <f>SUM(Q11:Q21)</f>
        <v>318182.6579655095</v>
      </c>
      <c r="R22" s="506"/>
      <c r="S22" s="397">
        <f>SUM(S11:S21)</f>
        <v>323164.0868351288</v>
      </c>
      <c r="T22" s="506"/>
      <c r="U22" s="397">
        <f>SUM(U11:U21)</f>
        <v>324587.79923191067</v>
      </c>
      <c r="V22" s="506"/>
      <c r="W22" s="397">
        <f>SUM(W11:W21)</f>
        <v>325585.9624287753</v>
      </c>
      <c r="X22" s="390"/>
      <c r="Y22" s="397">
        <f>SUM(Y11:Y20)</f>
        <v>327425.8369107704</v>
      </c>
      <c r="Z22" s="390"/>
      <c r="AA22" s="397">
        <f>SUM(AA11:AA20)</f>
        <v>328039.62840476877</v>
      </c>
      <c r="AB22" s="390"/>
      <c r="AC22" s="487">
        <f>SUM(AC11:AC20)</f>
        <v>328039.6284047682</v>
      </c>
      <c r="AG22" s="22"/>
    </row>
    <row r="23" spans="1:29" ht="13.5" thickTop="1">
      <c r="A23" s="433"/>
      <c r="B23" s="434"/>
      <c r="C23" s="440"/>
      <c r="D23" s="441"/>
      <c r="E23" s="440"/>
      <c r="F23" s="441"/>
      <c r="G23" s="440"/>
      <c r="H23" s="441"/>
      <c r="I23" s="440"/>
      <c r="J23" s="434"/>
      <c r="K23" s="440"/>
      <c r="L23" s="188"/>
      <c r="M23" s="442"/>
      <c r="N23" s="507"/>
      <c r="O23" s="442"/>
      <c r="P23" s="507"/>
      <c r="Q23" s="442"/>
      <c r="R23" s="507"/>
      <c r="S23" s="442"/>
      <c r="T23" s="507"/>
      <c r="U23" s="442"/>
      <c r="V23" s="507"/>
      <c r="W23" s="442"/>
      <c r="X23" s="188"/>
      <c r="Y23" s="442"/>
      <c r="Z23" s="188"/>
      <c r="AA23" s="442"/>
      <c r="AB23" s="188"/>
      <c r="AC23" s="442"/>
    </row>
    <row r="24" spans="1:29" ht="12.75">
      <c r="A24" s="519" t="s">
        <v>510</v>
      </c>
      <c r="B24" s="455"/>
      <c r="C24" s="456">
        <f>SUM(C12:C18)+C20</f>
        <v>576479</v>
      </c>
      <c r="D24" s="456"/>
      <c r="E24" s="456">
        <f>C24+SUM(E12:E18)+E20</f>
        <v>543617.6275738182</v>
      </c>
      <c r="F24" s="456"/>
      <c r="G24" s="456">
        <f>E24+SUM(G12:G18)+G20</f>
        <v>519202.9753276743</v>
      </c>
      <c r="H24" s="456"/>
      <c r="I24" s="456">
        <f>G24+SUM(I12:I18)+I20</f>
        <v>691814.8623044183</v>
      </c>
      <c r="J24" s="456"/>
      <c r="K24" s="456">
        <f>+I24+SUM(K12:K18)+K20</f>
        <v>340486.67161818803</v>
      </c>
      <c r="L24" s="456"/>
      <c r="M24" s="456">
        <f>+K24+SUM(M12:M18)+M20</f>
        <v>125161.13772075204</v>
      </c>
      <c r="N24" s="508"/>
      <c r="O24" s="456">
        <f>+M24</f>
        <v>125161.13772075204</v>
      </c>
      <c r="P24" s="508"/>
      <c r="Q24" s="456">
        <f>+O24</f>
        <v>125161.13772075204</v>
      </c>
      <c r="R24" s="508"/>
      <c r="S24" s="456">
        <f>+Q24</f>
        <v>125161.13772075204</v>
      </c>
      <c r="T24" s="508"/>
      <c r="U24" s="456">
        <f>+S24</f>
        <v>125161.13772075204</v>
      </c>
      <c r="V24" s="508"/>
      <c r="W24" s="456">
        <f>+U24</f>
        <v>125161.13772075204</v>
      </c>
      <c r="X24" s="456"/>
      <c r="Y24" s="456">
        <f>+W24</f>
        <v>125161.13772075204</v>
      </c>
      <c r="Z24" s="456"/>
      <c r="AA24" s="456">
        <f>+Y24</f>
        <v>125161.13772075204</v>
      </c>
      <c r="AB24" s="456"/>
      <c r="AC24" s="457"/>
    </row>
    <row r="25" spans="1:29" ht="12.75">
      <c r="A25" s="433"/>
      <c r="B25" s="434"/>
      <c r="C25" s="458"/>
      <c r="D25" s="458"/>
      <c r="E25" s="458"/>
      <c r="F25" s="458"/>
      <c r="G25" s="458"/>
      <c r="H25" s="458"/>
      <c r="I25" s="458"/>
      <c r="J25" s="459"/>
      <c r="K25" s="458"/>
      <c r="L25" s="460"/>
      <c r="M25" s="461"/>
      <c r="N25" s="509"/>
      <c r="O25" s="461"/>
      <c r="P25" s="509"/>
      <c r="Q25" s="461"/>
      <c r="R25" s="509"/>
      <c r="S25" s="461"/>
      <c r="T25" s="509"/>
      <c r="U25" s="461"/>
      <c r="V25" s="509"/>
      <c r="W25" s="461"/>
      <c r="X25" s="460"/>
      <c r="Y25" s="460"/>
      <c r="Z25" s="460"/>
      <c r="AA25" s="460"/>
      <c r="AB25" s="460"/>
      <c r="AC25" s="461"/>
    </row>
    <row r="26" spans="1:29" ht="12.75">
      <c r="A26" s="433" t="s">
        <v>405</v>
      </c>
      <c r="B26" s="434"/>
      <c r="C26" s="458"/>
      <c r="D26" s="458"/>
      <c r="E26" s="458"/>
      <c r="F26" s="458"/>
      <c r="G26" s="458"/>
      <c r="H26" s="458"/>
      <c r="I26" s="458"/>
      <c r="J26" s="459"/>
      <c r="K26" s="458"/>
      <c r="L26" s="460"/>
      <c r="M26" s="461"/>
      <c r="N26" s="509"/>
      <c r="O26" s="461"/>
      <c r="P26" s="509"/>
      <c r="Q26" s="461"/>
      <c r="R26" s="509"/>
      <c r="S26" s="461"/>
      <c r="T26" s="509"/>
      <c r="U26" s="461"/>
      <c r="V26" s="509"/>
      <c r="W26" s="461"/>
      <c r="X26" s="460"/>
      <c r="Y26" s="460"/>
      <c r="Z26" s="460"/>
      <c r="AA26" s="460"/>
      <c r="AB26" s="460"/>
      <c r="AC26" s="461"/>
    </row>
    <row r="27" spans="1:29" ht="9" customHeight="1">
      <c r="A27" s="433"/>
      <c r="B27" s="434"/>
      <c r="C27" s="434"/>
      <c r="D27" s="434"/>
      <c r="E27" s="434"/>
      <c r="F27" s="434"/>
      <c r="G27" s="434"/>
      <c r="H27" s="434"/>
      <c r="I27" s="434"/>
      <c r="J27" s="434"/>
      <c r="K27" s="435"/>
      <c r="L27" s="188"/>
      <c r="M27" s="188"/>
      <c r="N27" s="510"/>
      <c r="O27" s="188"/>
      <c r="P27" s="510"/>
      <c r="Q27" s="188"/>
      <c r="R27" s="510"/>
      <c r="S27" s="188"/>
      <c r="T27" s="510"/>
      <c r="U27" s="188"/>
      <c r="V27" s="510"/>
      <c r="W27" s="188"/>
      <c r="X27" s="188"/>
      <c r="Y27" s="188"/>
      <c r="Z27" s="188"/>
      <c r="AA27" s="188"/>
      <c r="AB27" s="188"/>
      <c r="AC27" s="188"/>
    </row>
    <row r="28" spans="1:29" ht="12.75">
      <c r="A28" s="433" t="s">
        <v>406</v>
      </c>
      <c r="B28" s="434"/>
      <c r="C28" s="434"/>
      <c r="D28" s="434"/>
      <c r="E28" s="434"/>
      <c r="F28" s="434"/>
      <c r="G28" s="434"/>
      <c r="H28" s="434"/>
      <c r="I28" s="434"/>
      <c r="J28" s="434"/>
      <c r="K28" s="434"/>
      <c r="L28" s="188"/>
      <c r="M28" s="188"/>
      <c r="N28" s="510"/>
      <c r="O28" s="188"/>
      <c r="P28" s="510"/>
      <c r="Q28" s="188"/>
      <c r="R28" s="510"/>
      <c r="S28" s="188"/>
      <c r="T28" s="510"/>
      <c r="U28" s="188"/>
      <c r="V28" s="510"/>
      <c r="W28" s="188"/>
      <c r="X28" s="188"/>
      <c r="Y28" s="188"/>
      <c r="Z28" s="188"/>
      <c r="AA28" s="188"/>
      <c r="AB28" s="188"/>
      <c r="AC28" s="520"/>
    </row>
    <row r="29" spans="1:29" ht="12.75">
      <c r="A29" s="436" t="s">
        <v>407</v>
      </c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188"/>
      <c r="M29" s="188"/>
      <c r="N29" s="510"/>
      <c r="O29" s="188"/>
      <c r="P29" s="510"/>
      <c r="Q29" s="188"/>
      <c r="R29" s="510"/>
      <c r="S29" s="188"/>
      <c r="T29" s="510"/>
      <c r="U29" s="188"/>
      <c r="V29" s="510"/>
      <c r="W29" s="188"/>
      <c r="X29" s="188"/>
      <c r="Y29" s="188"/>
      <c r="Z29" s="188"/>
      <c r="AA29" s="188"/>
      <c r="AB29" s="188"/>
      <c r="AC29" s="188"/>
    </row>
    <row r="30" spans="1:29" ht="9" customHeight="1">
      <c r="A30" s="188"/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188"/>
      <c r="M30" s="188"/>
      <c r="N30" s="510"/>
      <c r="O30" s="188"/>
      <c r="P30" s="510"/>
      <c r="Q30" s="188"/>
      <c r="R30" s="510"/>
      <c r="S30" s="188"/>
      <c r="T30" s="510"/>
      <c r="U30" s="188"/>
      <c r="V30" s="510"/>
      <c r="W30" s="188"/>
      <c r="X30" s="188"/>
      <c r="Y30" s="188"/>
      <c r="Z30" s="188"/>
      <c r="AA30" s="188"/>
      <c r="AB30" s="188"/>
      <c r="AC30" s="188"/>
    </row>
    <row r="31" spans="1:29" ht="12.75">
      <c r="A31" s="450" t="s">
        <v>408</v>
      </c>
      <c r="B31" s="80"/>
      <c r="C31" s="80"/>
      <c r="D31" s="80"/>
      <c r="E31" s="80"/>
      <c r="F31" s="80"/>
      <c r="G31" s="80"/>
      <c r="H31" s="80"/>
      <c r="I31" s="447"/>
      <c r="J31" s="447"/>
      <c r="K31" s="447"/>
      <c r="L31" s="447"/>
      <c r="M31" s="447"/>
      <c r="N31" s="511"/>
      <c r="O31" s="447"/>
      <c r="P31" s="511"/>
      <c r="Q31" s="447"/>
      <c r="R31" s="511"/>
      <c r="S31" s="447"/>
      <c r="T31" s="511"/>
      <c r="U31" s="447"/>
      <c r="V31" s="511"/>
      <c r="W31" s="447"/>
      <c r="X31" s="447"/>
      <c r="Y31" s="447"/>
      <c r="Z31" s="447"/>
      <c r="AA31" s="447"/>
      <c r="AB31" s="447"/>
      <c r="AC31" s="447"/>
    </row>
    <row r="32" spans="1:29" ht="9" customHeight="1">
      <c r="A32" s="451"/>
      <c r="B32" s="451"/>
      <c r="C32" s="451"/>
      <c r="D32" s="451"/>
      <c r="E32" s="451"/>
      <c r="F32" s="451"/>
      <c r="G32" s="451"/>
      <c r="H32" s="451"/>
      <c r="I32" s="451"/>
      <c r="J32" s="451"/>
      <c r="K32" s="451"/>
      <c r="L32" s="451"/>
      <c r="M32" s="451"/>
      <c r="N32" s="512"/>
      <c r="O32" s="451"/>
      <c r="P32" s="512"/>
      <c r="Q32" s="451"/>
      <c r="R32" s="512"/>
      <c r="S32" s="451"/>
      <c r="T32" s="512"/>
      <c r="U32" s="451"/>
      <c r="V32" s="512"/>
      <c r="W32" s="451"/>
      <c r="X32" s="451"/>
      <c r="Y32" s="451"/>
      <c r="Z32" s="451"/>
      <c r="AA32" s="451"/>
      <c r="AB32" s="451"/>
      <c r="AC32" s="451"/>
    </row>
    <row r="33" spans="1:33" ht="12.75">
      <c r="A33" s="534" t="s">
        <v>409</v>
      </c>
      <c r="B33" s="535"/>
      <c r="C33" s="535"/>
      <c r="D33" s="535"/>
      <c r="E33" s="535"/>
      <c r="F33" s="535"/>
      <c r="G33" s="535"/>
      <c r="H33" s="535"/>
      <c r="I33" s="535"/>
      <c r="J33" s="535"/>
      <c r="K33" s="535"/>
      <c r="L33" s="535"/>
      <c r="M33" s="535"/>
      <c r="N33" s="535"/>
      <c r="O33" s="535"/>
      <c r="P33" s="535"/>
      <c r="Q33" s="535"/>
      <c r="R33" s="535"/>
      <c r="S33" s="535"/>
      <c r="T33" s="535"/>
      <c r="U33" s="535"/>
      <c r="V33" s="535"/>
      <c r="W33" s="535"/>
      <c r="X33" s="535"/>
      <c r="Y33" s="535"/>
      <c r="Z33" s="535"/>
      <c r="AA33" s="535"/>
      <c r="AB33" s="535"/>
      <c r="AC33" s="535"/>
      <c r="AD33" s="420"/>
      <c r="AE33" s="420"/>
      <c r="AF33" s="420"/>
      <c r="AG33" s="420"/>
    </row>
    <row r="34" spans="1:33" ht="12.75">
      <c r="A34" s="533" t="s">
        <v>410</v>
      </c>
      <c r="B34" s="536"/>
      <c r="C34" s="536"/>
      <c r="D34" s="536"/>
      <c r="E34" s="536"/>
      <c r="F34" s="536"/>
      <c r="G34" s="536"/>
      <c r="H34" s="536"/>
      <c r="I34" s="536"/>
      <c r="J34" s="536"/>
      <c r="K34" s="536"/>
      <c r="L34" s="536"/>
      <c r="M34" s="536"/>
      <c r="N34" s="536"/>
      <c r="O34" s="536"/>
      <c r="P34" s="536"/>
      <c r="Q34" s="536"/>
      <c r="R34" s="536"/>
      <c r="S34" s="536"/>
      <c r="T34" s="536"/>
      <c r="U34" s="536"/>
      <c r="V34" s="536"/>
      <c r="W34" s="536"/>
      <c r="X34" s="536"/>
      <c r="Y34" s="536"/>
      <c r="Z34" s="536"/>
      <c r="AA34" s="536"/>
      <c r="AB34" s="536"/>
      <c r="AC34" s="536"/>
      <c r="AD34" s="420"/>
      <c r="AE34" s="420"/>
      <c r="AF34" s="420"/>
      <c r="AG34" s="420"/>
    </row>
    <row r="35" spans="1:33" ht="12.75">
      <c r="A35" s="533" t="s">
        <v>431</v>
      </c>
      <c r="B35" s="536"/>
      <c r="C35" s="536"/>
      <c r="D35" s="536"/>
      <c r="E35" s="536"/>
      <c r="F35" s="536"/>
      <c r="G35" s="536"/>
      <c r="H35" s="536"/>
      <c r="I35" s="536"/>
      <c r="J35" s="536"/>
      <c r="K35" s="536"/>
      <c r="L35" s="536"/>
      <c r="M35" s="536"/>
      <c r="N35" s="536"/>
      <c r="O35" s="536"/>
      <c r="P35" s="536"/>
      <c r="Q35" s="536"/>
      <c r="R35" s="536"/>
      <c r="S35" s="536"/>
      <c r="T35" s="536"/>
      <c r="U35" s="536"/>
      <c r="V35" s="536"/>
      <c r="W35" s="536"/>
      <c r="X35" s="536"/>
      <c r="Y35" s="536"/>
      <c r="Z35" s="536"/>
      <c r="AA35" s="536"/>
      <c r="AB35" s="536"/>
      <c r="AC35" s="536"/>
      <c r="AD35" s="420"/>
      <c r="AE35" s="420"/>
      <c r="AF35" s="420"/>
      <c r="AG35" s="420"/>
    </row>
    <row r="36" spans="1:33" ht="12.75">
      <c r="A36" s="533" t="s">
        <v>411</v>
      </c>
      <c r="B36" s="535"/>
      <c r="C36" s="535"/>
      <c r="D36" s="535"/>
      <c r="E36" s="535"/>
      <c r="F36" s="535"/>
      <c r="G36" s="535"/>
      <c r="H36" s="535"/>
      <c r="I36" s="535"/>
      <c r="J36" s="535"/>
      <c r="K36" s="535"/>
      <c r="L36" s="535"/>
      <c r="M36" s="535"/>
      <c r="N36" s="535"/>
      <c r="O36" s="535"/>
      <c r="P36" s="535"/>
      <c r="Q36" s="535"/>
      <c r="R36" s="535"/>
      <c r="S36" s="535"/>
      <c r="T36" s="535"/>
      <c r="U36" s="535"/>
      <c r="V36" s="535"/>
      <c r="W36" s="535"/>
      <c r="X36" s="535"/>
      <c r="Y36" s="535"/>
      <c r="Z36" s="535"/>
      <c r="AA36" s="535"/>
      <c r="AB36" s="535"/>
      <c r="AC36" s="535"/>
      <c r="AD36" s="420"/>
      <c r="AE36" s="420"/>
      <c r="AF36" s="420"/>
      <c r="AG36" s="420"/>
    </row>
    <row r="37" spans="1:33" ht="12.75">
      <c r="A37" s="437" t="s">
        <v>371</v>
      </c>
      <c r="B37" s="438"/>
      <c r="C37" s="438"/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513"/>
      <c r="O37" s="438"/>
      <c r="P37" s="513"/>
      <c r="Q37" s="438"/>
      <c r="R37" s="513"/>
      <c r="S37" s="438"/>
      <c r="T37" s="513"/>
      <c r="U37" s="438"/>
      <c r="V37" s="513"/>
      <c r="W37" s="438"/>
      <c r="X37" s="438"/>
      <c r="Y37" s="438"/>
      <c r="Z37" s="438"/>
      <c r="AA37" s="438"/>
      <c r="AB37" s="438"/>
      <c r="AC37" s="438"/>
      <c r="AD37" s="420"/>
      <c r="AE37" s="420"/>
      <c r="AF37" s="420"/>
      <c r="AG37" s="420"/>
    </row>
    <row r="38" spans="1:33" ht="12.75">
      <c r="A38" s="437" t="s">
        <v>372</v>
      </c>
      <c r="B38" s="438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513"/>
      <c r="O38" s="438"/>
      <c r="P38" s="513"/>
      <c r="Q38" s="438"/>
      <c r="R38" s="513"/>
      <c r="S38" s="438"/>
      <c r="T38" s="513"/>
      <c r="U38" s="438"/>
      <c r="V38" s="513"/>
      <c r="W38" s="438"/>
      <c r="X38" s="438"/>
      <c r="Y38" s="438"/>
      <c r="Z38" s="438"/>
      <c r="AA38" s="438"/>
      <c r="AB38" s="438"/>
      <c r="AC38" s="438"/>
      <c r="AD38" s="420"/>
      <c r="AE38" s="420"/>
      <c r="AF38" s="420"/>
      <c r="AG38" s="420"/>
    </row>
    <row r="39" spans="1:33" ht="12.75">
      <c r="A39" s="437" t="s">
        <v>412</v>
      </c>
      <c r="B39" s="438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513"/>
      <c r="O39" s="438"/>
      <c r="P39" s="513"/>
      <c r="Q39" s="438"/>
      <c r="R39" s="513"/>
      <c r="S39" s="438"/>
      <c r="T39" s="513"/>
      <c r="U39" s="438"/>
      <c r="V39" s="513"/>
      <c r="W39" s="438"/>
      <c r="X39" s="438"/>
      <c r="Y39" s="438"/>
      <c r="Z39" s="438"/>
      <c r="AA39" s="438"/>
      <c r="AB39" s="438"/>
      <c r="AC39" s="438"/>
      <c r="AD39" s="420"/>
      <c r="AE39" s="420"/>
      <c r="AF39" s="420"/>
      <c r="AG39" s="420"/>
    </row>
    <row r="40" spans="1:33" ht="12.75">
      <c r="A40" s="437" t="s">
        <v>413</v>
      </c>
      <c r="B40" s="438"/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513"/>
      <c r="O40" s="438"/>
      <c r="P40" s="513"/>
      <c r="Q40" s="438"/>
      <c r="R40" s="513"/>
      <c r="S40" s="438"/>
      <c r="T40" s="513"/>
      <c r="U40" s="438"/>
      <c r="V40" s="513"/>
      <c r="W40" s="438"/>
      <c r="X40" s="438"/>
      <c r="Y40" s="438"/>
      <c r="Z40" s="438"/>
      <c r="AA40" s="438"/>
      <c r="AB40" s="438"/>
      <c r="AC40" s="438"/>
      <c r="AD40" s="420"/>
      <c r="AE40" s="420"/>
      <c r="AF40" s="420"/>
      <c r="AG40" s="420"/>
    </row>
    <row r="41" spans="2:33" ht="9" customHeight="1">
      <c r="B41" s="438"/>
      <c r="C41" s="438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513"/>
      <c r="O41" s="438"/>
      <c r="P41" s="513"/>
      <c r="Q41" s="438"/>
      <c r="R41" s="513"/>
      <c r="S41" s="438"/>
      <c r="T41" s="513"/>
      <c r="U41" s="438"/>
      <c r="V41" s="513"/>
      <c r="W41" s="438"/>
      <c r="X41" s="438"/>
      <c r="Y41" s="438"/>
      <c r="Z41" s="438"/>
      <c r="AA41" s="438"/>
      <c r="AB41" s="438"/>
      <c r="AC41" s="438"/>
      <c r="AD41" s="420"/>
      <c r="AE41" s="420"/>
      <c r="AF41" s="420"/>
      <c r="AG41" s="420"/>
    </row>
    <row r="42" spans="1:29" ht="12.75">
      <c r="A42" s="439" t="s">
        <v>414</v>
      </c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L42" s="188"/>
      <c r="M42" s="188"/>
      <c r="N42" s="510"/>
      <c r="O42" s="188"/>
      <c r="P42" s="510"/>
      <c r="Q42" s="188"/>
      <c r="R42" s="510"/>
      <c r="S42" s="188"/>
      <c r="T42" s="510"/>
      <c r="U42" s="188"/>
      <c r="V42" s="510"/>
      <c r="W42" s="188"/>
      <c r="X42" s="188"/>
      <c r="Y42" s="188"/>
      <c r="Z42" s="188"/>
      <c r="AA42" s="188"/>
      <c r="AB42" s="188"/>
      <c r="AC42" s="188"/>
    </row>
    <row r="43" spans="1:29" ht="12.75">
      <c r="A43" s="434" t="s">
        <v>415</v>
      </c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188"/>
      <c r="M43" s="188"/>
      <c r="N43" s="510"/>
      <c r="O43" s="188"/>
      <c r="P43" s="510"/>
      <c r="Q43" s="188"/>
      <c r="R43" s="510"/>
      <c r="S43" s="188"/>
      <c r="T43" s="510"/>
      <c r="U43" s="188"/>
      <c r="V43" s="510"/>
      <c r="W43" s="188"/>
      <c r="X43" s="188"/>
      <c r="Y43" s="188"/>
      <c r="Z43" s="188"/>
      <c r="AA43" s="188"/>
      <c r="AB43" s="188"/>
      <c r="AC43" s="188"/>
    </row>
    <row r="44" spans="1:29" ht="9" customHeight="1">
      <c r="A44" s="434"/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188"/>
      <c r="M44" s="188"/>
      <c r="N44" s="510"/>
      <c r="O44" s="188"/>
      <c r="P44" s="510"/>
      <c r="Q44" s="188"/>
      <c r="R44" s="510"/>
      <c r="S44" s="188"/>
      <c r="T44" s="510"/>
      <c r="U44" s="188"/>
      <c r="V44" s="510"/>
      <c r="W44" s="188"/>
      <c r="X44" s="188"/>
      <c r="Y44" s="188"/>
      <c r="Z44" s="188"/>
      <c r="AA44" s="188"/>
      <c r="AB44" s="188"/>
      <c r="AC44" s="188"/>
    </row>
    <row r="45" spans="1:29" ht="12.75">
      <c r="A45" s="439" t="s">
        <v>416</v>
      </c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188"/>
      <c r="M45" s="188"/>
      <c r="N45" s="510"/>
      <c r="O45" s="188"/>
      <c r="P45" s="510"/>
      <c r="Q45" s="188"/>
      <c r="R45" s="510"/>
      <c r="S45" s="188"/>
      <c r="T45" s="510"/>
      <c r="U45" s="188"/>
      <c r="V45" s="510"/>
      <c r="W45" s="188"/>
      <c r="X45" s="188"/>
      <c r="Y45" s="188"/>
      <c r="Z45" s="188"/>
      <c r="AA45" s="188"/>
      <c r="AB45" s="188"/>
      <c r="AC45" s="188"/>
    </row>
    <row r="46" spans="1:29" ht="12.75">
      <c r="A46" s="434" t="s">
        <v>417</v>
      </c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188"/>
      <c r="M46" s="188"/>
      <c r="N46" s="510"/>
      <c r="O46" s="188"/>
      <c r="P46" s="510"/>
      <c r="Q46" s="188"/>
      <c r="R46" s="510"/>
      <c r="S46" s="188"/>
      <c r="T46" s="510"/>
      <c r="U46" s="188"/>
      <c r="V46" s="510"/>
      <c r="W46" s="188"/>
      <c r="X46" s="188"/>
      <c r="Y46" s="188"/>
      <c r="Z46" s="188"/>
      <c r="AA46" s="188"/>
      <c r="AB46" s="188"/>
      <c r="AC46" s="188"/>
    </row>
    <row r="47" spans="1:29" ht="9" customHeight="1">
      <c r="A47" s="434"/>
      <c r="B47" s="434"/>
      <c r="C47" s="434"/>
      <c r="D47" s="434"/>
      <c r="E47" s="434"/>
      <c r="F47" s="434"/>
      <c r="G47" s="434"/>
      <c r="H47" s="434"/>
      <c r="I47" s="434"/>
      <c r="J47" s="434"/>
      <c r="K47" s="434"/>
      <c r="L47" s="188"/>
      <c r="M47" s="188"/>
      <c r="N47" s="510"/>
      <c r="O47" s="188"/>
      <c r="P47" s="510"/>
      <c r="Q47" s="188"/>
      <c r="R47" s="510"/>
      <c r="S47" s="188"/>
      <c r="T47" s="510"/>
      <c r="U47" s="188"/>
      <c r="V47" s="510"/>
      <c r="W47" s="188"/>
      <c r="X47" s="188"/>
      <c r="Y47" s="188"/>
      <c r="Z47" s="188"/>
      <c r="AA47" s="188"/>
      <c r="AB47" s="188"/>
      <c r="AC47" s="188"/>
    </row>
    <row r="48" spans="1:29" ht="12.75">
      <c r="A48" s="439" t="s">
        <v>418</v>
      </c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188"/>
      <c r="M48" s="188"/>
      <c r="N48" s="510"/>
      <c r="O48" s="188"/>
      <c r="P48" s="510"/>
      <c r="Q48" s="188"/>
      <c r="R48" s="510"/>
      <c r="S48" s="188"/>
      <c r="T48" s="510"/>
      <c r="U48" s="188"/>
      <c r="V48" s="510"/>
      <c r="W48" s="188"/>
      <c r="X48" s="188"/>
      <c r="Y48" s="188"/>
      <c r="Z48" s="188"/>
      <c r="AA48" s="188"/>
      <c r="AB48" s="188"/>
      <c r="AC48" s="188"/>
    </row>
    <row r="49" spans="1:29" ht="12.75">
      <c r="A49" s="434" t="s">
        <v>419</v>
      </c>
      <c r="B49" s="434"/>
      <c r="C49" s="434"/>
      <c r="D49" s="434"/>
      <c r="E49" s="434"/>
      <c r="F49" s="434"/>
      <c r="G49" s="434"/>
      <c r="H49" s="434"/>
      <c r="I49" s="434"/>
      <c r="J49" s="434"/>
      <c r="K49" s="434"/>
      <c r="L49" s="188"/>
      <c r="M49" s="188"/>
      <c r="N49" s="510"/>
      <c r="O49" s="188"/>
      <c r="P49" s="510"/>
      <c r="Q49" s="188"/>
      <c r="R49" s="510"/>
      <c r="S49" s="188"/>
      <c r="T49" s="510"/>
      <c r="U49" s="188"/>
      <c r="V49" s="510"/>
      <c r="W49" s="188"/>
      <c r="X49" s="188"/>
      <c r="Y49" s="188"/>
      <c r="Z49" s="188"/>
      <c r="AA49" s="188"/>
      <c r="AB49" s="188"/>
      <c r="AC49" s="188"/>
    </row>
    <row r="50" spans="1:29" ht="9" customHeight="1">
      <c r="A50" s="434"/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188"/>
      <c r="M50" s="188"/>
      <c r="N50" s="510"/>
      <c r="O50" s="188"/>
      <c r="P50" s="510"/>
      <c r="Q50" s="188"/>
      <c r="R50" s="510"/>
      <c r="S50" s="188"/>
      <c r="T50" s="510"/>
      <c r="U50" s="188"/>
      <c r="V50" s="510"/>
      <c r="W50" s="188"/>
      <c r="X50" s="188"/>
      <c r="Y50" s="188"/>
      <c r="Z50" s="188"/>
      <c r="AA50" s="188"/>
      <c r="AB50" s="188"/>
      <c r="AC50" s="188"/>
    </row>
    <row r="51" spans="1:29" ht="12.75">
      <c r="A51" s="439" t="s">
        <v>420</v>
      </c>
      <c r="B51" s="434"/>
      <c r="C51" s="434"/>
      <c r="D51" s="434"/>
      <c r="E51" s="434"/>
      <c r="F51" s="434"/>
      <c r="G51" s="434"/>
      <c r="H51" s="434"/>
      <c r="I51" s="434"/>
      <c r="J51" s="434"/>
      <c r="K51" s="434"/>
      <c r="L51" s="188"/>
      <c r="M51" s="188"/>
      <c r="N51" s="510"/>
      <c r="O51" s="188"/>
      <c r="P51" s="510"/>
      <c r="Q51" s="188"/>
      <c r="R51" s="510"/>
      <c r="S51" s="188"/>
      <c r="T51" s="510"/>
      <c r="U51" s="188"/>
      <c r="V51" s="510"/>
      <c r="W51" s="188"/>
      <c r="X51" s="188"/>
      <c r="Y51" s="188"/>
      <c r="Z51" s="188"/>
      <c r="AA51" s="188"/>
      <c r="AB51" s="188"/>
      <c r="AC51" s="188"/>
    </row>
    <row r="52" spans="1:29" ht="12.75">
      <c r="A52" s="434" t="s">
        <v>417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188"/>
      <c r="M52" s="188"/>
      <c r="N52" s="510"/>
      <c r="O52" s="188"/>
      <c r="P52" s="510"/>
      <c r="Q52" s="188"/>
      <c r="R52" s="510"/>
      <c r="S52" s="188"/>
      <c r="T52" s="510"/>
      <c r="U52" s="188"/>
      <c r="V52" s="510"/>
      <c r="W52" s="188"/>
      <c r="X52" s="188"/>
      <c r="Y52" s="188"/>
      <c r="Z52" s="188"/>
      <c r="AA52" s="188"/>
      <c r="AB52" s="188"/>
      <c r="AC52" s="188"/>
    </row>
    <row r="53" spans="1:29" ht="9" customHeight="1">
      <c r="A53" s="439"/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188"/>
      <c r="M53" s="188"/>
      <c r="N53" s="510"/>
      <c r="O53" s="188"/>
      <c r="P53" s="510"/>
      <c r="Q53" s="188"/>
      <c r="R53" s="510"/>
      <c r="S53" s="188"/>
      <c r="T53" s="510"/>
      <c r="U53" s="188"/>
      <c r="V53" s="510"/>
      <c r="W53" s="188"/>
      <c r="X53" s="188"/>
      <c r="Y53" s="188"/>
      <c r="Z53" s="188"/>
      <c r="AA53" s="188"/>
      <c r="AB53" s="188"/>
      <c r="AC53" s="188"/>
    </row>
    <row r="54" spans="1:29" ht="12.75">
      <c r="A54" s="434" t="s">
        <v>421</v>
      </c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188"/>
      <c r="M54" s="188"/>
      <c r="N54" s="510"/>
      <c r="O54" s="188"/>
      <c r="P54" s="510"/>
      <c r="Q54" s="188"/>
      <c r="R54" s="510"/>
      <c r="S54" s="188"/>
      <c r="T54" s="510"/>
      <c r="U54" s="188"/>
      <c r="V54" s="510"/>
      <c r="W54" s="188"/>
      <c r="X54" s="188"/>
      <c r="Y54" s="188"/>
      <c r="Z54" s="188"/>
      <c r="AA54" s="188"/>
      <c r="AB54" s="188"/>
      <c r="AC54" s="188"/>
    </row>
    <row r="55" spans="1:29" ht="9" customHeight="1">
      <c r="A55" s="434"/>
      <c r="B55" s="434"/>
      <c r="C55" s="434"/>
      <c r="D55" s="434"/>
      <c r="E55" s="434"/>
      <c r="F55" s="434"/>
      <c r="G55" s="434"/>
      <c r="H55" s="434"/>
      <c r="I55" s="434"/>
      <c r="J55" s="434"/>
      <c r="K55" s="434"/>
      <c r="L55" s="188"/>
      <c r="M55" s="188"/>
      <c r="N55" s="510"/>
      <c r="O55" s="188"/>
      <c r="P55" s="510"/>
      <c r="Q55" s="188"/>
      <c r="R55" s="510"/>
      <c r="S55" s="188"/>
      <c r="T55" s="510"/>
      <c r="U55" s="188"/>
      <c r="V55" s="510"/>
      <c r="W55" s="188"/>
      <c r="X55" s="188"/>
      <c r="Y55" s="188"/>
      <c r="Z55" s="188"/>
      <c r="AA55" s="188"/>
      <c r="AB55" s="188"/>
      <c r="AC55" s="188"/>
    </row>
    <row r="56" spans="1:29" ht="12.75" customHeight="1">
      <c r="A56" s="439" t="s">
        <v>422</v>
      </c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188"/>
      <c r="M56" s="188"/>
      <c r="N56" s="510"/>
      <c r="O56" s="188"/>
      <c r="P56" s="510"/>
      <c r="Q56" s="188"/>
      <c r="R56" s="510"/>
      <c r="S56" s="188"/>
      <c r="T56" s="510"/>
      <c r="U56" s="188"/>
      <c r="V56" s="510"/>
      <c r="W56" s="188"/>
      <c r="X56" s="188"/>
      <c r="Y56" s="188"/>
      <c r="Z56" s="188"/>
      <c r="AA56" s="188"/>
      <c r="AB56" s="188"/>
      <c r="AC56" s="188"/>
    </row>
    <row r="57" spans="1:29" ht="9" customHeight="1">
      <c r="A57" s="434"/>
      <c r="B57" s="434"/>
      <c r="C57" s="434"/>
      <c r="D57" s="434"/>
      <c r="E57" s="434"/>
      <c r="F57" s="434"/>
      <c r="G57" s="434"/>
      <c r="H57" s="434"/>
      <c r="I57" s="434"/>
      <c r="J57" s="434"/>
      <c r="K57" s="434"/>
      <c r="L57" s="188"/>
      <c r="M57" s="188"/>
      <c r="N57" s="510"/>
      <c r="O57" s="188"/>
      <c r="P57" s="510"/>
      <c r="Q57" s="188"/>
      <c r="R57" s="510"/>
      <c r="S57" s="188"/>
      <c r="T57" s="510"/>
      <c r="U57" s="188"/>
      <c r="V57" s="510"/>
      <c r="W57" s="188"/>
      <c r="X57" s="188"/>
      <c r="Y57" s="188"/>
      <c r="Z57" s="188"/>
      <c r="AA57" s="188"/>
      <c r="AB57" s="188"/>
      <c r="AC57" s="188"/>
    </row>
    <row r="58" spans="1:29" ht="12.75">
      <c r="A58" s="434" t="s">
        <v>423</v>
      </c>
      <c r="B58" s="434"/>
      <c r="C58" s="434"/>
      <c r="D58" s="434"/>
      <c r="E58" s="434"/>
      <c r="F58" s="434"/>
      <c r="G58" s="434"/>
      <c r="H58" s="434"/>
      <c r="I58" s="434"/>
      <c r="J58" s="434"/>
      <c r="K58" s="434"/>
      <c r="L58" s="188"/>
      <c r="M58" s="188"/>
      <c r="N58" s="510"/>
      <c r="O58" s="188"/>
      <c r="P58" s="510"/>
      <c r="Q58" s="188"/>
      <c r="R58" s="510"/>
      <c r="S58" s="188"/>
      <c r="T58" s="510"/>
      <c r="U58" s="188"/>
      <c r="V58" s="510"/>
      <c r="W58" s="188"/>
      <c r="X58" s="188"/>
      <c r="Y58" s="188"/>
      <c r="Z58" s="188"/>
      <c r="AA58" s="188"/>
      <c r="AB58" s="188"/>
      <c r="AC58" s="188"/>
    </row>
    <row r="59" spans="1:29" ht="12.75">
      <c r="A59" s="434" t="s">
        <v>424</v>
      </c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188"/>
      <c r="M59" s="188"/>
      <c r="N59" s="510"/>
      <c r="O59" s="188"/>
      <c r="P59" s="510"/>
      <c r="Q59" s="188"/>
      <c r="R59" s="510"/>
      <c r="S59" s="188"/>
      <c r="T59" s="510"/>
      <c r="U59" s="188"/>
      <c r="V59" s="510"/>
      <c r="W59" s="188"/>
      <c r="X59" s="188"/>
      <c r="Y59" s="188"/>
      <c r="Z59" s="188"/>
      <c r="AA59" s="188"/>
      <c r="AB59" s="188"/>
      <c r="AC59" s="188"/>
    </row>
    <row r="60" spans="1:29" ht="12.75">
      <c r="A60" s="434" t="s">
        <v>425</v>
      </c>
      <c r="B60" s="434"/>
      <c r="C60" s="434"/>
      <c r="D60" s="434"/>
      <c r="E60" s="434"/>
      <c r="F60" s="434"/>
      <c r="G60" s="434"/>
      <c r="H60" s="434"/>
      <c r="I60" s="434"/>
      <c r="J60" s="434"/>
      <c r="K60" s="434"/>
      <c r="L60" s="188"/>
      <c r="M60" s="188"/>
      <c r="N60" s="510"/>
      <c r="O60" s="188"/>
      <c r="P60" s="510"/>
      <c r="Q60" s="188"/>
      <c r="R60" s="510"/>
      <c r="S60" s="188"/>
      <c r="T60" s="510"/>
      <c r="U60" s="188"/>
      <c r="V60" s="510"/>
      <c r="W60" s="188"/>
      <c r="X60" s="188"/>
      <c r="Y60" s="188"/>
      <c r="Z60" s="188"/>
      <c r="AA60" s="188"/>
      <c r="AB60" s="188"/>
      <c r="AC60" s="188"/>
    </row>
    <row r="61" spans="1:29" ht="12.75">
      <c r="A61" s="434" t="s">
        <v>381</v>
      </c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188"/>
      <c r="M61" s="188"/>
      <c r="N61" s="510"/>
      <c r="O61" s="188"/>
      <c r="P61" s="510"/>
      <c r="Q61" s="188"/>
      <c r="R61" s="510"/>
      <c r="S61" s="188"/>
      <c r="T61" s="510"/>
      <c r="U61" s="188"/>
      <c r="V61" s="510"/>
      <c r="W61" s="188"/>
      <c r="X61" s="188"/>
      <c r="Y61" s="188"/>
      <c r="Z61" s="188"/>
      <c r="AA61" s="188"/>
      <c r="AB61" s="188"/>
      <c r="AC61" s="188"/>
    </row>
    <row r="62" spans="1:29" ht="9" customHeight="1">
      <c r="A62" s="434"/>
      <c r="B62" s="434"/>
      <c r="C62" s="434"/>
      <c r="D62" s="434"/>
      <c r="E62" s="434"/>
      <c r="F62" s="434"/>
      <c r="G62" s="434"/>
      <c r="H62" s="434"/>
      <c r="I62" s="434"/>
      <c r="J62" s="434"/>
      <c r="K62" s="434"/>
      <c r="L62" s="188"/>
      <c r="M62" s="188"/>
      <c r="N62" s="510"/>
      <c r="O62" s="188"/>
      <c r="P62" s="510"/>
      <c r="Q62" s="188"/>
      <c r="R62" s="510"/>
      <c r="S62" s="188"/>
      <c r="T62" s="510"/>
      <c r="U62" s="188"/>
      <c r="V62" s="510"/>
      <c r="W62" s="188"/>
      <c r="X62" s="188"/>
      <c r="Y62" s="188"/>
      <c r="Z62" s="188"/>
      <c r="AA62" s="188"/>
      <c r="AB62" s="188"/>
      <c r="AC62" s="188"/>
    </row>
    <row r="63" spans="1:29" ht="12.75">
      <c r="A63" s="434" t="s">
        <v>426</v>
      </c>
      <c r="B63" s="434"/>
      <c r="C63" s="434"/>
      <c r="D63" s="434"/>
      <c r="E63" s="434"/>
      <c r="F63" s="434"/>
      <c r="G63" s="434"/>
      <c r="H63" s="434"/>
      <c r="I63" s="434"/>
      <c r="J63" s="434"/>
      <c r="K63" s="434"/>
      <c r="L63" s="188"/>
      <c r="M63" s="188"/>
      <c r="N63" s="510"/>
      <c r="O63" s="188"/>
      <c r="P63" s="510"/>
      <c r="Q63" s="188"/>
      <c r="R63" s="510"/>
      <c r="S63" s="188"/>
      <c r="T63" s="510"/>
      <c r="U63" s="188"/>
      <c r="V63" s="510"/>
      <c r="W63" s="188"/>
      <c r="X63" s="188"/>
      <c r="Y63" s="188"/>
      <c r="Z63" s="188"/>
      <c r="AA63" s="188"/>
      <c r="AB63" s="188"/>
      <c r="AC63" s="188"/>
    </row>
    <row r="64" spans="1:29" ht="12.75">
      <c r="A64" s="434" t="s">
        <v>427</v>
      </c>
      <c r="B64" s="434"/>
      <c r="C64" s="434"/>
      <c r="D64" s="434"/>
      <c r="E64" s="434"/>
      <c r="F64" s="434"/>
      <c r="G64" s="434"/>
      <c r="H64" s="434"/>
      <c r="I64" s="434"/>
      <c r="J64" s="434"/>
      <c r="K64" s="434"/>
      <c r="L64" s="188"/>
      <c r="M64" s="188"/>
      <c r="N64" s="510"/>
      <c r="O64" s="188"/>
      <c r="P64" s="510"/>
      <c r="Q64" s="188"/>
      <c r="R64" s="510"/>
      <c r="S64" s="188"/>
      <c r="T64" s="510"/>
      <c r="U64" s="188"/>
      <c r="V64" s="510"/>
      <c r="W64" s="188"/>
      <c r="X64" s="188"/>
      <c r="Y64" s="188"/>
      <c r="Z64" s="188"/>
      <c r="AA64" s="188"/>
      <c r="AB64" s="188"/>
      <c r="AC64" s="188"/>
    </row>
    <row r="65" spans="1:29" ht="12.75">
      <c r="A65" s="434" t="s">
        <v>383</v>
      </c>
      <c r="B65" s="434"/>
      <c r="C65" s="434"/>
      <c r="D65" s="434"/>
      <c r="E65" s="434"/>
      <c r="F65" s="434"/>
      <c r="G65" s="434"/>
      <c r="H65" s="434"/>
      <c r="I65" s="434"/>
      <c r="J65" s="434"/>
      <c r="K65" s="434"/>
      <c r="L65" s="188"/>
      <c r="M65" s="188"/>
      <c r="N65" s="510"/>
      <c r="O65" s="188"/>
      <c r="P65" s="510"/>
      <c r="Q65" s="188"/>
      <c r="R65" s="510"/>
      <c r="S65" s="188"/>
      <c r="T65" s="510"/>
      <c r="U65" s="188"/>
      <c r="V65" s="510"/>
      <c r="W65" s="188"/>
      <c r="X65" s="188"/>
      <c r="Y65" s="188"/>
      <c r="Z65" s="188"/>
      <c r="AA65" s="188"/>
      <c r="AB65" s="188"/>
      <c r="AC65" s="188"/>
    </row>
    <row r="66" spans="1:29" ht="3.75" customHeight="1">
      <c r="A66" s="434"/>
      <c r="B66" s="434"/>
      <c r="C66" s="434"/>
      <c r="D66" s="434"/>
      <c r="E66" s="434"/>
      <c r="F66" s="434"/>
      <c r="G66" s="434"/>
      <c r="H66" s="434"/>
      <c r="I66" s="434"/>
      <c r="J66" s="434"/>
      <c r="K66" s="434"/>
      <c r="L66" s="188"/>
      <c r="M66" s="188"/>
      <c r="N66" s="510"/>
      <c r="O66" s="188"/>
      <c r="P66" s="510"/>
      <c r="Q66" s="188"/>
      <c r="R66" s="510"/>
      <c r="S66" s="188"/>
      <c r="T66" s="510"/>
      <c r="U66" s="188"/>
      <c r="V66" s="510"/>
      <c r="W66" s="188"/>
      <c r="X66" s="188"/>
      <c r="Y66" s="188"/>
      <c r="Z66" s="188"/>
      <c r="AA66" s="188"/>
      <c r="AB66" s="188"/>
      <c r="AC66" s="188"/>
    </row>
    <row r="67" spans="1:29" ht="12.75">
      <c r="A67" s="434" t="s">
        <v>382</v>
      </c>
      <c r="B67" s="434"/>
      <c r="C67" s="434"/>
      <c r="D67" s="434"/>
      <c r="E67" s="434"/>
      <c r="F67" s="434"/>
      <c r="G67" s="434"/>
      <c r="H67" s="434"/>
      <c r="I67" s="434"/>
      <c r="J67" s="434"/>
      <c r="K67" s="434"/>
      <c r="L67" s="188"/>
      <c r="M67" s="188"/>
      <c r="N67" s="510"/>
      <c r="O67" s="188"/>
      <c r="P67" s="510"/>
      <c r="Q67" s="188"/>
      <c r="R67" s="510"/>
      <c r="S67" s="188"/>
      <c r="T67" s="510"/>
      <c r="U67" s="188"/>
      <c r="V67" s="510"/>
      <c r="W67" s="188"/>
      <c r="X67" s="188"/>
      <c r="Y67" s="188"/>
      <c r="Z67" s="188"/>
      <c r="AA67" s="188"/>
      <c r="AB67" s="188"/>
      <c r="AC67" s="188"/>
    </row>
    <row r="68" spans="1:29" ht="12.75">
      <c r="A68" s="434" t="s">
        <v>384</v>
      </c>
      <c r="B68" s="434"/>
      <c r="C68" s="434"/>
      <c r="D68" s="434"/>
      <c r="E68" s="434"/>
      <c r="F68" s="434"/>
      <c r="G68" s="434"/>
      <c r="H68" s="434"/>
      <c r="I68" s="434"/>
      <c r="J68" s="434"/>
      <c r="K68" s="434"/>
      <c r="L68" s="188"/>
      <c r="M68" s="188"/>
      <c r="N68" s="510"/>
      <c r="O68" s="188"/>
      <c r="P68" s="510"/>
      <c r="Q68" s="188"/>
      <c r="R68" s="510"/>
      <c r="S68" s="188"/>
      <c r="T68" s="510"/>
      <c r="U68" s="188"/>
      <c r="V68" s="510"/>
      <c r="W68" s="188"/>
      <c r="X68" s="188"/>
      <c r="Y68" s="188"/>
      <c r="Z68" s="188"/>
      <c r="AA68" s="188"/>
      <c r="AB68" s="188"/>
      <c r="AC68" s="188"/>
    </row>
    <row r="69" spans="1:29" ht="3.75" customHeight="1">
      <c r="A69" s="434"/>
      <c r="B69" s="434"/>
      <c r="C69" s="434"/>
      <c r="D69" s="434"/>
      <c r="E69" s="434"/>
      <c r="F69" s="434"/>
      <c r="G69" s="434"/>
      <c r="H69" s="434"/>
      <c r="I69" s="434"/>
      <c r="J69" s="434"/>
      <c r="K69" s="434"/>
      <c r="L69" s="188"/>
      <c r="M69" s="188"/>
      <c r="N69" s="510"/>
      <c r="O69" s="188"/>
      <c r="P69" s="510"/>
      <c r="Q69" s="188"/>
      <c r="R69" s="510"/>
      <c r="S69" s="188"/>
      <c r="T69" s="510"/>
      <c r="U69" s="188"/>
      <c r="V69" s="510"/>
      <c r="W69" s="188"/>
      <c r="X69" s="188"/>
      <c r="Y69" s="188"/>
      <c r="Z69" s="188"/>
      <c r="AA69" s="188"/>
      <c r="AB69" s="188"/>
      <c r="AC69" s="188"/>
    </row>
    <row r="70" spans="1:29" ht="12.75">
      <c r="A70" s="434" t="s">
        <v>428</v>
      </c>
      <c r="B70" s="434"/>
      <c r="C70" s="434"/>
      <c r="D70" s="434"/>
      <c r="E70" s="434"/>
      <c r="F70" s="434"/>
      <c r="G70" s="434"/>
      <c r="H70" s="434"/>
      <c r="I70" s="434"/>
      <c r="J70" s="434"/>
      <c r="K70" s="434"/>
      <c r="L70" s="188"/>
      <c r="M70" s="188"/>
      <c r="N70" s="510"/>
      <c r="O70" s="188"/>
      <c r="P70" s="510"/>
      <c r="Q70" s="188"/>
      <c r="R70" s="510"/>
      <c r="S70" s="188"/>
      <c r="T70" s="510"/>
      <c r="U70" s="188"/>
      <c r="V70" s="510"/>
      <c r="W70" s="188"/>
      <c r="X70" s="188"/>
      <c r="Y70" s="188"/>
      <c r="Z70" s="188"/>
      <c r="AA70" s="188"/>
      <c r="AB70" s="188"/>
      <c r="AC70" s="188"/>
    </row>
    <row r="71" spans="1:29" ht="12.75">
      <c r="A71" s="434" t="s">
        <v>429</v>
      </c>
      <c r="B71" s="434"/>
      <c r="C71" s="434"/>
      <c r="D71" s="434"/>
      <c r="E71" s="434"/>
      <c r="F71" s="434"/>
      <c r="G71" s="434"/>
      <c r="H71" s="434"/>
      <c r="I71" s="434"/>
      <c r="J71" s="434"/>
      <c r="K71" s="434"/>
      <c r="L71" s="188"/>
      <c r="M71" s="188"/>
      <c r="N71" s="510"/>
      <c r="O71" s="188"/>
      <c r="P71" s="510"/>
      <c r="Q71" s="188"/>
      <c r="R71" s="510"/>
      <c r="S71" s="188"/>
      <c r="T71" s="510"/>
      <c r="U71" s="188"/>
      <c r="V71" s="510"/>
      <c r="W71" s="188"/>
      <c r="X71" s="188"/>
      <c r="Y71" s="188"/>
      <c r="Z71" s="188"/>
      <c r="AA71" s="188"/>
      <c r="AB71" s="188"/>
      <c r="AC71" s="188"/>
    </row>
    <row r="72" spans="1:29" ht="12.75">
      <c r="A72" s="434" t="s">
        <v>430</v>
      </c>
      <c r="B72" s="434"/>
      <c r="C72" s="434"/>
      <c r="D72" s="434"/>
      <c r="E72" s="434"/>
      <c r="F72" s="434"/>
      <c r="G72" s="434"/>
      <c r="H72" s="434"/>
      <c r="I72" s="434"/>
      <c r="J72" s="434"/>
      <c r="K72" s="434"/>
      <c r="L72" s="188"/>
      <c r="M72" s="188"/>
      <c r="N72" s="510"/>
      <c r="O72" s="188"/>
      <c r="P72" s="510"/>
      <c r="Q72" s="188"/>
      <c r="R72" s="510"/>
      <c r="S72" s="188"/>
      <c r="T72" s="510"/>
      <c r="U72" s="188"/>
      <c r="V72" s="510"/>
      <c r="W72" s="188"/>
      <c r="X72" s="188"/>
      <c r="Y72" s="188"/>
      <c r="Z72" s="188"/>
      <c r="AA72" s="188"/>
      <c r="AB72" s="188"/>
      <c r="AC72" s="188"/>
    </row>
    <row r="73" spans="1:29" ht="9" customHeight="1">
      <c r="A73" s="434"/>
      <c r="B73" s="434"/>
      <c r="C73" s="434"/>
      <c r="D73" s="434"/>
      <c r="E73" s="434"/>
      <c r="F73" s="434"/>
      <c r="G73" s="434"/>
      <c r="H73" s="434"/>
      <c r="I73" s="434"/>
      <c r="J73" s="434"/>
      <c r="K73" s="434"/>
      <c r="L73" s="188"/>
      <c r="M73" s="188"/>
      <c r="N73" s="510"/>
      <c r="O73" s="188"/>
      <c r="P73" s="510"/>
      <c r="Q73" s="188"/>
      <c r="R73" s="510"/>
      <c r="S73" s="188"/>
      <c r="T73" s="510"/>
      <c r="U73" s="188"/>
      <c r="V73" s="510"/>
      <c r="W73" s="188"/>
      <c r="X73" s="188"/>
      <c r="Y73" s="188"/>
      <c r="Z73" s="188"/>
      <c r="AA73" s="188"/>
      <c r="AB73" s="188"/>
      <c r="AC73" s="188"/>
    </row>
    <row r="74" spans="1:29" ht="12.75" customHeight="1">
      <c r="A74" s="533" t="s">
        <v>460</v>
      </c>
      <c r="B74" s="533"/>
      <c r="C74" s="533"/>
      <c r="D74" s="533"/>
      <c r="E74" s="533"/>
      <c r="F74" s="533"/>
      <c r="G74" s="533"/>
      <c r="H74" s="533"/>
      <c r="I74" s="533"/>
      <c r="J74" s="533"/>
      <c r="K74" s="533"/>
      <c r="L74" s="533"/>
      <c r="M74" s="533"/>
      <c r="N74" s="533"/>
      <c r="O74" s="533"/>
      <c r="P74" s="533"/>
      <c r="Q74" s="533"/>
      <c r="R74" s="533"/>
      <c r="S74" s="533"/>
      <c r="T74" s="533"/>
      <c r="U74" s="533"/>
      <c r="V74" s="533"/>
      <c r="W74" s="533"/>
      <c r="X74" s="533"/>
      <c r="Y74" s="533"/>
      <c r="Z74" s="533"/>
      <c r="AA74" s="533"/>
      <c r="AB74" s="533"/>
      <c r="AC74" s="533"/>
    </row>
    <row r="75" spans="1:29" ht="12.75">
      <c r="A75" s="434" t="s">
        <v>373</v>
      </c>
      <c r="B75" s="434"/>
      <c r="C75" s="434"/>
      <c r="D75" s="434"/>
      <c r="E75" s="434"/>
      <c r="F75" s="434"/>
      <c r="G75" s="434"/>
      <c r="H75" s="434"/>
      <c r="I75" s="434"/>
      <c r="J75" s="434"/>
      <c r="K75" s="434"/>
      <c r="L75" s="188"/>
      <c r="M75" s="188"/>
      <c r="N75" s="510"/>
      <c r="O75" s="188"/>
      <c r="P75" s="510"/>
      <c r="Q75" s="188"/>
      <c r="R75" s="510"/>
      <c r="S75" s="188"/>
      <c r="T75" s="510"/>
      <c r="U75" s="188"/>
      <c r="V75" s="510"/>
      <c r="W75" s="188"/>
      <c r="X75" s="188"/>
      <c r="Y75" s="188"/>
      <c r="Z75" s="188"/>
      <c r="AA75" s="188"/>
      <c r="AB75" s="188"/>
      <c r="AC75" s="188"/>
    </row>
    <row r="76" spans="1:29" ht="12.75">
      <c r="A76" s="188"/>
      <c r="B76" s="434"/>
      <c r="C76" s="434"/>
      <c r="D76" s="434"/>
      <c r="E76" s="434"/>
      <c r="F76" s="434"/>
      <c r="G76" s="434"/>
      <c r="H76" s="434"/>
      <c r="I76" s="434"/>
      <c r="J76" s="434"/>
      <c r="K76" s="434"/>
      <c r="L76" s="188"/>
      <c r="M76" s="188"/>
      <c r="N76" s="510"/>
      <c r="O76" s="188"/>
      <c r="P76" s="510"/>
      <c r="Q76" s="188"/>
      <c r="R76" s="510"/>
      <c r="S76" s="188"/>
      <c r="T76" s="510"/>
      <c r="U76" s="188"/>
      <c r="V76" s="510"/>
      <c r="W76" s="188"/>
      <c r="X76" s="188"/>
      <c r="Y76" s="188"/>
      <c r="Z76" s="188"/>
      <c r="AA76" s="188"/>
      <c r="AB76" s="188"/>
      <c r="AC76" s="188"/>
    </row>
    <row r="77" spans="1:29" ht="12.75">
      <c r="A77" s="188"/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188"/>
      <c r="M77" s="188"/>
      <c r="N77" s="510"/>
      <c r="O77" s="188"/>
      <c r="P77" s="510"/>
      <c r="Q77" s="188"/>
      <c r="R77" s="510"/>
      <c r="S77" s="188"/>
      <c r="T77" s="510"/>
      <c r="U77" s="188"/>
      <c r="V77" s="510"/>
      <c r="W77" s="188"/>
      <c r="X77" s="188"/>
      <c r="Y77" s="188"/>
      <c r="Z77" s="188"/>
      <c r="AA77" s="188"/>
      <c r="AB77" s="188"/>
      <c r="AC77" s="188"/>
    </row>
    <row r="78" spans="1:31" ht="12.75">
      <c r="A78" s="188"/>
      <c r="B78" s="434"/>
      <c r="C78" s="434"/>
      <c r="D78" s="434"/>
      <c r="E78" s="434"/>
      <c r="F78" s="434"/>
      <c r="G78" s="434"/>
      <c r="H78" s="434"/>
      <c r="I78" s="434"/>
      <c r="J78" s="434"/>
      <c r="K78" s="434"/>
      <c r="L78" s="434"/>
      <c r="M78" s="434"/>
      <c r="N78" s="514"/>
      <c r="O78" s="434"/>
      <c r="P78" s="514"/>
      <c r="Q78" s="434"/>
      <c r="R78" s="514"/>
      <c r="S78" s="434"/>
      <c r="T78" s="514"/>
      <c r="U78" s="434"/>
      <c r="V78" s="514"/>
      <c r="W78" s="434"/>
      <c r="X78" s="188"/>
      <c r="Y78" s="188"/>
      <c r="Z78" s="188"/>
      <c r="AA78" s="188"/>
      <c r="AB78" s="188"/>
      <c r="AC78" s="188"/>
      <c r="AD78" s="188"/>
      <c r="AE78" s="188"/>
    </row>
    <row r="79" spans="1:31" ht="12.75">
      <c r="A79" s="188"/>
      <c r="B79" s="434"/>
      <c r="C79" s="434"/>
      <c r="D79" s="434"/>
      <c r="E79" s="434"/>
      <c r="F79" s="434"/>
      <c r="G79" s="434"/>
      <c r="H79" s="434"/>
      <c r="I79" s="434"/>
      <c r="J79" s="434"/>
      <c r="K79" s="434"/>
      <c r="L79" s="434"/>
      <c r="M79" s="434"/>
      <c r="N79" s="514"/>
      <c r="O79" s="434"/>
      <c r="P79" s="514"/>
      <c r="Q79" s="434"/>
      <c r="R79" s="514"/>
      <c r="S79" s="434"/>
      <c r="T79" s="514"/>
      <c r="U79" s="434"/>
      <c r="V79" s="514"/>
      <c r="W79" s="434"/>
      <c r="X79" s="188"/>
      <c r="Y79" s="188"/>
      <c r="Z79" s="188"/>
      <c r="AA79" s="188"/>
      <c r="AB79" s="188"/>
      <c r="AC79" s="188"/>
      <c r="AD79" s="188"/>
      <c r="AE79" s="188"/>
    </row>
    <row r="80" spans="1:31" ht="12.75">
      <c r="A80" s="188"/>
      <c r="B80" s="434"/>
      <c r="C80" s="434"/>
      <c r="D80" s="434"/>
      <c r="E80" s="434"/>
      <c r="F80" s="434"/>
      <c r="G80" s="434"/>
      <c r="H80" s="434"/>
      <c r="I80" s="434"/>
      <c r="J80" s="434"/>
      <c r="K80" s="434"/>
      <c r="L80" s="434"/>
      <c r="M80" s="434"/>
      <c r="N80" s="514"/>
      <c r="O80" s="434"/>
      <c r="P80" s="514"/>
      <c r="Q80" s="434"/>
      <c r="R80" s="514"/>
      <c r="S80" s="434"/>
      <c r="T80" s="514"/>
      <c r="U80" s="434"/>
      <c r="V80" s="514"/>
      <c r="W80" s="434"/>
      <c r="X80" s="188"/>
      <c r="Y80" s="188"/>
      <c r="Z80" s="188"/>
      <c r="AA80" s="188"/>
      <c r="AB80" s="188"/>
      <c r="AC80" s="188"/>
      <c r="AD80" s="188"/>
      <c r="AE80" s="188"/>
    </row>
    <row r="81" spans="1:31" ht="12.75">
      <c r="A81" s="434"/>
      <c r="B81" s="434"/>
      <c r="C81" s="434"/>
      <c r="D81" s="434"/>
      <c r="E81" s="434"/>
      <c r="F81" s="434"/>
      <c r="G81" s="434"/>
      <c r="H81" s="434"/>
      <c r="I81" s="434"/>
      <c r="J81" s="434"/>
      <c r="K81" s="434"/>
      <c r="L81" s="434"/>
      <c r="M81" s="434"/>
      <c r="N81" s="514"/>
      <c r="O81" s="434"/>
      <c r="P81" s="514"/>
      <c r="Q81" s="434"/>
      <c r="R81" s="514"/>
      <c r="S81" s="434"/>
      <c r="T81" s="514"/>
      <c r="U81" s="434"/>
      <c r="V81" s="514"/>
      <c r="W81" s="434"/>
      <c r="X81" s="188"/>
      <c r="Y81" s="188"/>
      <c r="Z81" s="188"/>
      <c r="AA81" s="188"/>
      <c r="AB81" s="188"/>
      <c r="AC81" s="188"/>
      <c r="AD81" s="188"/>
      <c r="AE81" s="188"/>
    </row>
    <row r="82" spans="1:31" ht="12.75">
      <c r="A82" s="188"/>
      <c r="B82" s="188"/>
      <c r="C82" s="434"/>
      <c r="D82" s="434"/>
      <c r="E82" s="434"/>
      <c r="F82" s="434"/>
      <c r="G82" s="434"/>
      <c r="H82" s="434"/>
      <c r="I82" s="434"/>
      <c r="J82" s="434"/>
      <c r="K82" s="434"/>
      <c r="L82" s="434"/>
      <c r="M82" s="434"/>
      <c r="N82" s="514"/>
      <c r="O82" s="434"/>
      <c r="P82" s="514"/>
      <c r="Q82" s="434"/>
      <c r="R82" s="514"/>
      <c r="S82" s="434"/>
      <c r="T82" s="514"/>
      <c r="U82" s="434"/>
      <c r="V82" s="514"/>
      <c r="W82" s="434"/>
      <c r="X82" s="188"/>
      <c r="Y82" s="188"/>
      <c r="Z82" s="188"/>
      <c r="AA82" s="188"/>
      <c r="AB82" s="188"/>
      <c r="AC82" s="188"/>
      <c r="AD82" s="188"/>
      <c r="AE82" s="188"/>
    </row>
    <row r="83" spans="1:31" ht="12.75">
      <c r="A83" s="188"/>
      <c r="B83" s="188"/>
      <c r="C83" s="434"/>
      <c r="D83" s="434"/>
      <c r="E83" s="434"/>
      <c r="F83" s="434"/>
      <c r="G83" s="434"/>
      <c r="H83" s="434"/>
      <c r="I83" s="434"/>
      <c r="J83" s="434"/>
      <c r="K83" s="434"/>
      <c r="L83" s="434"/>
      <c r="M83" s="434"/>
      <c r="N83" s="514"/>
      <c r="O83" s="434"/>
      <c r="P83" s="514"/>
      <c r="Q83" s="434"/>
      <c r="R83" s="514"/>
      <c r="S83" s="434"/>
      <c r="T83" s="514"/>
      <c r="U83" s="434"/>
      <c r="V83" s="514"/>
      <c r="W83" s="434"/>
      <c r="X83" s="188"/>
      <c r="Y83" s="188"/>
      <c r="Z83" s="188"/>
      <c r="AA83" s="188"/>
      <c r="AB83" s="188"/>
      <c r="AC83" s="188"/>
      <c r="AD83" s="188"/>
      <c r="AE83" s="188"/>
    </row>
    <row r="84" spans="1:31" ht="12.75">
      <c r="A84" s="434"/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  <c r="N84" s="514"/>
      <c r="O84" s="434"/>
      <c r="P84" s="514"/>
      <c r="Q84" s="434"/>
      <c r="R84" s="514"/>
      <c r="S84" s="434"/>
      <c r="T84" s="514"/>
      <c r="U84" s="434"/>
      <c r="V84" s="514"/>
      <c r="W84" s="434"/>
      <c r="X84" s="188"/>
      <c r="Y84" s="188"/>
      <c r="Z84" s="188"/>
      <c r="AA84" s="188"/>
      <c r="AB84" s="188"/>
      <c r="AC84" s="188"/>
      <c r="AD84" s="188"/>
      <c r="AE84" s="188"/>
    </row>
    <row r="85" spans="1:31" ht="12.75">
      <c r="A85" s="188"/>
      <c r="B85" s="434"/>
      <c r="C85" s="434"/>
      <c r="D85" s="434"/>
      <c r="E85" s="434"/>
      <c r="F85" s="434"/>
      <c r="G85" s="434"/>
      <c r="H85" s="434"/>
      <c r="I85" s="434"/>
      <c r="J85" s="434"/>
      <c r="K85" s="434"/>
      <c r="L85" s="434"/>
      <c r="M85" s="434"/>
      <c r="N85" s="514"/>
      <c r="O85" s="434"/>
      <c r="P85" s="514"/>
      <c r="Q85" s="434"/>
      <c r="R85" s="514"/>
      <c r="S85" s="434"/>
      <c r="T85" s="514"/>
      <c r="U85" s="434"/>
      <c r="V85" s="514"/>
      <c r="W85" s="434"/>
      <c r="X85" s="188"/>
      <c r="Y85" s="188"/>
      <c r="Z85" s="188"/>
      <c r="AA85" s="188"/>
      <c r="AB85" s="188"/>
      <c r="AC85" s="188"/>
      <c r="AD85" s="188"/>
      <c r="AE85" s="188"/>
    </row>
    <row r="86" spans="1:31" ht="12.75">
      <c r="A86" s="188"/>
      <c r="B86" s="434"/>
      <c r="C86" s="434"/>
      <c r="D86" s="434"/>
      <c r="E86" s="434"/>
      <c r="F86" s="434"/>
      <c r="G86" s="434"/>
      <c r="H86" s="434"/>
      <c r="I86" s="434"/>
      <c r="J86" s="434"/>
      <c r="K86" s="434"/>
      <c r="L86" s="434"/>
      <c r="M86" s="434"/>
      <c r="N86" s="514"/>
      <c r="O86" s="434"/>
      <c r="P86" s="514"/>
      <c r="Q86" s="434"/>
      <c r="R86" s="514"/>
      <c r="S86" s="434"/>
      <c r="T86" s="514"/>
      <c r="U86" s="434"/>
      <c r="V86" s="514"/>
      <c r="W86" s="434"/>
      <c r="X86" s="188"/>
      <c r="Y86" s="188"/>
      <c r="Z86" s="188"/>
      <c r="AA86" s="188"/>
      <c r="AB86" s="188"/>
      <c r="AC86" s="188"/>
      <c r="AD86" s="188"/>
      <c r="AE86" s="188"/>
    </row>
    <row r="87" spans="1:31" ht="12.75">
      <c r="A87" s="188"/>
      <c r="B87" s="188"/>
      <c r="C87" s="434"/>
      <c r="D87" s="434"/>
      <c r="E87" s="434"/>
      <c r="F87" s="434"/>
      <c r="G87" s="434"/>
      <c r="H87" s="434"/>
      <c r="I87" s="434"/>
      <c r="J87" s="434"/>
      <c r="K87" s="434"/>
      <c r="L87" s="434"/>
      <c r="M87" s="434"/>
      <c r="N87" s="514"/>
      <c r="O87" s="434"/>
      <c r="P87" s="514"/>
      <c r="Q87" s="434"/>
      <c r="R87" s="514"/>
      <c r="S87" s="434"/>
      <c r="T87" s="514"/>
      <c r="U87" s="434"/>
      <c r="V87" s="514"/>
      <c r="W87" s="434"/>
      <c r="X87" s="188"/>
      <c r="Y87" s="188"/>
      <c r="Z87" s="188"/>
      <c r="AA87" s="188"/>
      <c r="AB87" s="188"/>
      <c r="AC87" s="188"/>
      <c r="AD87" s="188"/>
      <c r="AE87" s="188"/>
    </row>
    <row r="88" spans="1:31" ht="12.75">
      <c r="A88" s="188"/>
      <c r="B88" s="188"/>
      <c r="C88" s="434"/>
      <c r="D88" s="434"/>
      <c r="E88" s="434"/>
      <c r="F88" s="434"/>
      <c r="G88" s="434"/>
      <c r="H88" s="434"/>
      <c r="I88" s="434"/>
      <c r="J88" s="434"/>
      <c r="K88" s="434"/>
      <c r="L88" s="434"/>
      <c r="M88" s="434"/>
      <c r="N88" s="514"/>
      <c r="O88" s="434"/>
      <c r="P88" s="514"/>
      <c r="Q88" s="434"/>
      <c r="R88" s="514"/>
      <c r="S88" s="434"/>
      <c r="T88" s="514"/>
      <c r="U88" s="434"/>
      <c r="V88" s="514"/>
      <c r="W88" s="434"/>
      <c r="X88" s="188"/>
      <c r="Y88" s="188"/>
      <c r="Z88" s="188"/>
      <c r="AA88" s="188"/>
      <c r="AB88" s="188"/>
      <c r="AC88" s="188"/>
      <c r="AD88" s="188"/>
      <c r="AE88" s="188"/>
    </row>
    <row r="89" spans="1:31" ht="12.75">
      <c r="A89" s="188"/>
      <c r="B89" s="188"/>
      <c r="C89" s="434"/>
      <c r="D89" s="434"/>
      <c r="E89" s="434"/>
      <c r="F89" s="434"/>
      <c r="G89" s="434"/>
      <c r="H89" s="434"/>
      <c r="I89" s="434"/>
      <c r="J89" s="434"/>
      <c r="K89" s="434"/>
      <c r="L89" s="434"/>
      <c r="M89" s="434"/>
      <c r="N89" s="514"/>
      <c r="O89" s="434"/>
      <c r="P89" s="514"/>
      <c r="Q89" s="434"/>
      <c r="R89" s="514"/>
      <c r="S89" s="434"/>
      <c r="T89" s="514"/>
      <c r="U89" s="434"/>
      <c r="V89" s="514"/>
      <c r="W89" s="434"/>
      <c r="X89" s="188"/>
      <c r="Y89" s="188"/>
      <c r="Z89" s="188"/>
      <c r="AA89" s="188"/>
      <c r="AB89" s="188"/>
      <c r="AC89" s="188"/>
      <c r="AD89" s="188"/>
      <c r="AE89" s="188"/>
    </row>
    <row r="90" spans="1:31" ht="12.75">
      <c r="A90" s="188"/>
      <c r="B90" s="188"/>
      <c r="C90" s="434"/>
      <c r="D90" s="434"/>
      <c r="E90" s="434"/>
      <c r="F90" s="434"/>
      <c r="G90" s="434"/>
      <c r="H90" s="434"/>
      <c r="I90" s="434"/>
      <c r="J90" s="434"/>
      <c r="K90" s="434"/>
      <c r="L90" s="434"/>
      <c r="M90" s="434"/>
      <c r="N90" s="514"/>
      <c r="O90" s="434"/>
      <c r="P90" s="514"/>
      <c r="Q90" s="434"/>
      <c r="R90" s="514"/>
      <c r="S90" s="434"/>
      <c r="T90" s="514"/>
      <c r="U90" s="434"/>
      <c r="V90" s="514"/>
      <c r="W90" s="434"/>
      <c r="X90" s="188"/>
      <c r="Y90" s="188"/>
      <c r="Z90" s="188"/>
      <c r="AA90" s="188"/>
      <c r="AB90" s="188"/>
      <c r="AC90" s="188"/>
      <c r="AD90" s="188"/>
      <c r="AE90" s="188"/>
    </row>
    <row r="91" spans="1:31" ht="12.75">
      <c r="A91" s="188"/>
      <c r="B91" s="188"/>
      <c r="D91" s="434"/>
      <c r="E91" s="434"/>
      <c r="F91" s="434"/>
      <c r="G91" s="434"/>
      <c r="H91" s="434"/>
      <c r="I91" s="434"/>
      <c r="J91" s="434"/>
      <c r="K91" s="434"/>
      <c r="L91" s="434"/>
      <c r="M91" s="434"/>
      <c r="N91" s="514"/>
      <c r="O91" s="434"/>
      <c r="P91" s="514"/>
      <c r="Q91" s="434"/>
      <c r="R91" s="514"/>
      <c r="S91" s="434"/>
      <c r="T91" s="514"/>
      <c r="U91" s="434"/>
      <c r="V91" s="514"/>
      <c r="W91" s="434"/>
      <c r="X91" s="188"/>
      <c r="Y91" s="188"/>
      <c r="Z91" s="188"/>
      <c r="AA91" s="188"/>
      <c r="AB91" s="188"/>
      <c r="AC91" s="188"/>
      <c r="AD91" s="188"/>
      <c r="AE91" s="188"/>
    </row>
    <row r="92" spans="1:31" ht="12.75">
      <c r="A92" s="188"/>
      <c r="B92" s="188"/>
      <c r="C92" s="533"/>
      <c r="D92" s="533"/>
      <c r="E92" s="533"/>
      <c r="F92" s="533"/>
      <c r="G92" s="533"/>
      <c r="H92" s="533"/>
      <c r="I92" s="533"/>
      <c r="J92" s="533"/>
      <c r="K92" s="533"/>
      <c r="L92" s="533"/>
      <c r="M92" s="533"/>
      <c r="N92" s="533"/>
      <c r="O92" s="533"/>
      <c r="P92" s="533"/>
      <c r="Q92" s="533"/>
      <c r="R92" s="533"/>
      <c r="S92" s="533"/>
      <c r="T92" s="533"/>
      <c r="U92" s="533"/>
      <c r="V92" s="533"/>
      <c r="W92" s="533"/>
      <c r="X92" s="533"/>
      <c r="Y92" s="533"/>
      <c r="Z92" s="533"/>
      <c r="AA92" s="533"/>
      <c r="AB92" s="533"/>
      <c r="AC92" s="533"/>
      <c r="AD92" s="533"/>
      <c r="AE92" s="533"/>
    </row>
    <row r="93" spans="1:31" ht="12.75">
      <c r="A93" s="188"/>
      <c r="B93" s="188"/>
      <c r="C93" s="434"/>
      <c r="D93" s="434"/>
      <c r="E93" s="434"/>
      <c r="F93" s="434"/>
      <c r="G93" s="434"/>
      <c r="H93" s="434"/>
      <c r="I93" s="434"/>
      <c r="J93" s="434"/>
      <c r="K93" s="434"/>
      <c r="L93" s="434"/>
      <c r="M93" s="434"/>
      <c r="N93" s="514"/>
      <c r="O93" s="434"/>
      <c r="P93" s="514"/>
      <c r="Q93" s="434"/>
      <c r="R93" s="514"/>
      <c r="S93" s="434"/>
      <c r="T93" s="514"/>
      <c r="U93" s="434"/>
      <c r="V93" s="514"/>
      <c r="W93" s="434"/>
      <c r="X93" s="188"/>
      <c r="Y93" s="188"/>
      <c r="Z93" s="188"/>
      <c r="AA93" s="188"/>
      <c r="AB93" s="188"/>
      <c r="AC93" s="188"/>
      <c r="AD93" s="188"/>
      <c r="AE93" s="188"/>
    </row>
    <row r="94" spans="1:29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510"/>
      <c r="O94" s="188"/>
      <c r="P94" s="510"/>
      <c r="Q94" s="188"/>
      <c r="R94" s="510"/>
      <c r="S94" s="188"/>
      <c r="T94" s="510"/>
      <c r="U94" s="188"/>
      <c r="V94" s="510"/>
      <c r="W94" s="188"/>
      <c r="X94" s="188"/>
      <c r="Y94" s="188"/>
      <c r="Z94" s="188"/>
      <c r="AA94" s="188"/>
      <c r="AB94" s="188"/>
      <c r="AC94" s="188"/>
    </row>
    <row r="95" spans="1:29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510"/>
      <c r="O95" s="188"/>
      <c r="P95" s="510"/>
      <c r="Q95" s="188"/>
      <c r="R95" s="510"/>
      <c r="S95" s="188"/>
      <c r="T95" s="510"/>
      <c r="U95" s="188"/>
      <c r="V95" s="510"/>
      <c r="W95" s="188"/>
      <c r="X95" s="188"/>
      <c r="Y95" s="188"/>
      <c r="Z95" s="188"/>
      <c r="AA95" s="188"/>
      <c r="AB95" s="188"/>
      <c r="AC95" s="188"/>
    </row>
    <row r="96" spans="1:29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510"/>
      <c r="O96" s="188"/>
      <c r="P96" s="510"/>
      <c r="Q96" s="188"/>
      <c r="R96" s="510"/>
      <c r="S96" s="188"/>
      <c r="T96" s="510"/>
      <c r="U96" s="188"/>
      <c r="V96" s="510"/>
      <c r="W96" s="188"/>
      <c r="X96" s="188"/>
      <c r="Y96" s="188"/>
      <c r="Z96" s="188"/>
      <c r="AA96" s="188"/>
      <c r="AB96" s="188"/>
      <c r="AC96" s="188"/>
    </row>
    <row r="97" spans="1:29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510"/>
      <c r="O97" s="188"/>
      <c r="P97" s="510"/>
      <c r="Q97" s="188"/>
      <c r="R97" s="510"/>
      <c r="S97" s="188"/>
      <c r="T97" s="510"/>
      <c r="U97" s="188"/>
      <c r="V97" s="510"/>
      <c r="W97" s="188"/>
      <c r="X97" s="188"/>
      <c r="Y97" s="188"/>
      <c r="Z97" s="188"/>
      <c r="AA97" s="188"/>
      <c r="AB97" s="188"/>
      <c r="AC97" s="188"/>
    </row>
    <row r="98" spans="1:29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510"/>
      <c r="O98" s="188"/>
      <c r="P98" s="510"/>
      <c r="Q98" s="188"/>
      <c r="R98" s="510"/>
      <c r="S98" s="188"/>
      <c r="T98" s="510"/>
      <c r="U98" s="188"/>
      <c r="V98" s="510"/>
      <c r="W98" s="188"/>
      <c r="X98" s="188"/>
      <c r="Y98" s="188"/>
      <c r="Z98" s="188"/>
      <c r="AA98" s="188"/>
      <c r="AB98" s="188"/>
      <c r="AC98" s="188"/>
    </row>
    <row r="99" spans="1:29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510"/>
      <c r="O99" s="188"/>
      <c r="P99" s="510"/>
      <c r="Q99" s="188"/>
      <c r="R99" s="510"/>
      <c r="S99" s="188"/>
      <c r="T99" s="510"/>
      <c r="U99" s="188"/>
      <c r="V99" s="510"/>
      <c r="W99" s="188"/>
      <c r="X99" s="188"/>
      <c r="Y99" s="188"/>
      <c r="Z99" s="188"/>
      <c r="AA99" s="188"/>
      <c r="AB99" s="188"/>
      <c r="AC99" s="188"/>
    </row>
    <row r="100" spans="1:29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510"/>
      <c r="O100" s="188"/>
      <c r="P100" s="510"/>
      <c r="Q100" s="188"/>
      <c r="R100" s="510"/>
      <c r="S100" s="188"/>
      <c r="T100" s="510"/>
      <c r="U100" s="188"/>
      <c r="V100" s="510"/>
      <c r="W100" s="188"/>
      <c r="X100" s="188"/>
      <c r="Y100" s="188"/>
      <c r="Z100" s="188"/>
      <c r="AA100" s="188"/>
      <c r="AB100" s="188"/>
      <c r="AC100" s="188"/>
    </row>
    <row r="101" spans="1:29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510"/>
      <c r="O101" s="188"/>
      <c r="P101" s="510"/>
      <c r="Q101" s="188"/>
      <c r="R101" s="510"/>
      <c r="S101" s="188"/>
      <c r="T101" s="510"/>
      <c r="U101" s="188"/>
      <c r="V101" s="510"/>
      <c r="W101" s="188"/>
      <c r="X101" s="188"/>
      <c r="Y101" s="188"/>
      <c r="Z101" s="188"/>
      <c r="AA101" s="188"/>
      <c r="AB101" s="188"/>
      <c r="AC101" s="188"/>
    </row>
    <row r="102" spans="1:29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510"/>
      <c r="O102" s="188"/>
      <c r="P102" s="510"/>
      <c r="Q102" s="188"/>
      <c r="R102" s="510"/>
      <c r="S102" s="188"/>
      <c r="T102" s="510"/>
      <c r="U102" s="188"/>
      <c r="V102" s="510"/>
      <c r="W102" s="188"/>
      <c r="X102" s="188"/>
      <c r="Y102" s="188"/>
      <c r="Z102" s="188"/>
      <c r="AA102" s="188"/>
      <c r="AB102" s="188"/>
      <c r="AC102" s="188"/>
    </row>
    <row r="103" spans="1:29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510"/>
      <c r="O103" s="188"/>
      <c r="P103" s="510"/>
      <c r="Q103" s="188"/>
      <c r="R103" s="510"/>
      <c r="S103" s="188"/>
      <c r="T103" s="510"/>
      <c r="U103" s="188"/>
      <c r="V103" s="510"/>
      <c r="W103" s="188"/>
      <c r="X103" s="188"/>
      <c r="Y103" s="188"/>
      <c r="Z103" s="188"/>
      <c r="AA103" s="188"/>
      <c r="AB103" s="188"/>
      <c r="AC103" s="188"/>
    </row>
    <row r="104" spans="1:29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510"/>
      <c r="O104" s="188"/>
      <c r="P104" s="510"/>
      <c r="Q104" s="188"/>
      <c r="R104" s="510"/>
      <c r="S104" s="188"/>
      <c r="T104" s="510"/>
      <c r="U104" s="188"/>
      <c r="V104" s="510"/>
      <c r="W104" s="188"/>
      <c r="X104" s="188"/>
      <c r="Y104" s="188"/>
      <c r="Z104" s="188"/>
      <c r="AA104" s="188"/>
      <c r="AB104" s="188"/>
      <c r="AC104" s="188"/>
    </row>
    <row r="105" spans="1:29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510"/>
      <c r="O105" s="188"/>
      <c r="P105" s="510"/>
      <c r="Q105" s="188"/>
      <c r="R105" s="510"/>
      <c r="S105" s="188"/>
      <c r="T105" s="510"/>
      <c r="U105" s="188"/>
      <c r="V105" s="510"/>
      <c r="W105" s="188"/>
      <c r="X105" s="188"/>
      <c r="Y105" s="188"/>
      <c r="Z105" s="188"/>
      <c r="AA105" s="188"/>
      <c r="AB105" s="188"/>
      <c r="AC105" s="188"/>
    </row>
    <row r="106" spans="1:29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510"/>
      <c r="O106" s="188"/>
      <c r="P106" s="510"/>
      <c r="Q106" s="188"/>
      <c r="R106" s="510"/>
      <c r="S106" s="188"/>
      <c r="T106" s="510"/>
      <c r="U106" s="188"/>
      <c r="V106" s="510"/>
      <c r="W106" s="188"/>
      <c r="X106" s="188"/>
      <c r="Y106" s="188"/>
      <c r="Z106" s="188"/>
      <c r="AA106" s="188"/>
      <c r="AB106" s="188"/>
      <c r="AC106" s="188"/>
    </row>
    <row r="107" spans="1:29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510"/>
      <c r="O107" s="188"/>
      <c r="P107" s="510"/>
      <c r="Q107" s="188"/>
      <c r="R107" s="510"/>
      <c r="S107" s="188"/>
      <c r="T107" s="510"/>
      <c r="U107" s="188"/>
      <c r="V107" s="510"/>
      <c r="W107" s="188"/>
      <c r="X107" s="188"/>
      <c r="Y107" s="188"/>
      <c r="Z107" s="188"/>
      <c r="AA107" s="188"/>
      <c r="AB107" s="188"/>
      <c r="AC107" s="188"/>
    </row>
    <row r="108" spans="1:29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510"/>
      <c r="O108" s="188"/>
      <c r="P108" s="510"/>
      <c r="Q108" s="188"/>
      <c r="R108" s="510"/>
      <c r="S108" s="188"/>
      <c r="T108" s="510"/>
      <c r="U108" s="188"/>
      <c r="V108" s="510"/>
      <c r="W108" s="188"/>
      <c r="X108" s="188"/>
      <c r="Y108" s="188"/>
      <c r="Z108" s="188"/>
      <c r="AA108" s="188"/>
      <c r="AB108" s="188"/>
      <c r="AC108" s="188"/>
    </row>
  </sheetData>
  <sheetProtection/>
  <mergeCells count="6">
    <mergeCell ref="C92:AE92"/>
    <mergeCell ref="A33:AC33"/>
    <mergeCell ref="A36:AC36"/>
    <mergeCell ref="A74:AC74"/>
    <mergeCell ref="A34:AC34"/>
    <mergeCell ref="A35:AC35"/>
  </mergeCells>
  <printOptions/>
  <pageMargins left="0.35433070866141736" right="0.03937007874015748" top="0.9055118110236221" bottom="0.35433070866141736" header="0.2755905511811024" footer="0"/>
  <pageSetup fitToHeight="2" horizontalDpi="600" verticalDpi="600" orientation="landscape" paperSize="5" scale="68" r:id="rId3"/>
  <headerFooter alignWithMargins="0">
    <oddHeader>&amp;L&amp;"Arial,Bold"&amp;12APPENDIX G&amp;R&amp;9Thunder Bay Hydro Electricity Distribution Inc.
OEB Application: IRM3
Application: EB 2011-0197
LDC License #: EB-2002-0529</oddHeader>
    <oddFooter>&amp;L&amp;Z&amp;F&amp;R&amp;"Arial,Bold"&amp;9&amp;A</oddFooter>
  </headerFooter>
  <rowBreaks count="1" manualBreakCount="1">
    <brk id="47" max="2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Joline Dosen</cp:lastModifiedBy>
  <cp:lastPrinted>2012-01-31T20:37:21Z</cp:lastPrinted>
  <dcterms:created xsi:type="dcterms:W3CDTF">2001-11-07T16:15:53Z</dcterms:created>
  <dcterms:modified xsi:type="dcterms:W3CDTF">2012-01-31T20:37:49Z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