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TAXCALC 2003" sheetId="8" r:id="rId8"/>
    <sheet name="Tax Rates 2003" sheetId="9" r:id="rId9"/>
    <sheet name="PILs 1562 Calculation" sheetId="10" r:id="rId10"/>
  </sheets>
  <externalReferences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9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8">'Tax Rates 2003'!$A$1:$J$61</definedName>
    <definedName name="_xlnm.Print_Area" localSheetId="3">'Tax Reserves'!$A$1:$F$64</definedName>
    <definedName name="_xlnm.Print_Area" localSheetId="1">'TAXCALC'!$A$1:$H$211</definedName>
    <definedName name="_xlnm.Print_Area" localSheetId="7">'TAXCALC 2003'!$A$1:$H$211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7">'TAXCALC 2003'!$A:$A,'TAXCALC 2003'!$1:$13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<sst xmlns="http://schemas.openxmlformats.org/spreadsheetml/2006/main" count="1160" uniqueCount="504">
  <si>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</si>
  <si>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</si>
  <si>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</si>
  <si>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</si>
  <si>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</si>
  <si>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</si>
  <si>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</si>
  <si>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</si>
  <si>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</si>
  <si>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</si>
  <si>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</si>
  <si>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</si>
  <si>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</si>
  <si>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</si>
  <si>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</si>
  <si>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</si>
  <si>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</si>
  <si>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</si>
  <si>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</si>
  <si>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</si>
  <si>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</si>
  <si>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</si>
  <si>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</si>
  <si>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</si>
  <si>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</si>
  <si>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</si>
  <si>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</si>
  <si>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</si>
  <si>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</si>
  <si>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</si>
  <si>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</si>
  <si>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</si>
  <si>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</si>
  <si>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</si>
  <si>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</si>
  <si>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</si>
  <si>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</si>
  <si>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</si>
  <si>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</si>
  <si>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</si>
  <si>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</si>
  <si>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</si>
  <si>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</si>
  <si>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</si>
  <si>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</si>
  <si>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</si>
  <si>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</si>
  <si>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</si>
  <si>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</si>
  <si>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</si>
  <si>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</si>
  <si>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</si>
  <si>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</si>
  <si>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</si>
  <si>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</si>
  <si>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</si>
  <si>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</si>
  <si>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</si>
  <si>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</si>
  <si>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</si>
  <si>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</si>
  <si>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</si>
  <si>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</si>
  <si>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</si>
  <si>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</si>
  <si>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</si>
  <si>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</si>
  <si>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</si>
  <si>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</si>
  <si>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</si>
  <si>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</si>
  <si>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</si>
  <si>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</si>
  <si>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</si>
  <si>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</si>
  <si>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</si>
  <si>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</si>
  <si>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</si>
  <si>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</si>
  <si>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</si>
  <si>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</si>
  <si>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</si>
  <si>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</si>
  <si>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</si>
  <si>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</si>
  <si>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</si>
  <si>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</si>
  <si>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</si>
  <si>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</si>
  <si>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</si>
  <si>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</si>
  <si>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</si>
  <si>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</si>
  <si>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</si>
  <si>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</si>
  <si>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</si>
  <si>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</si>
  <si>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</si>
  <si>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</si>
  <si>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</si>
  <si>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</si>
  <si>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</si>
  <si>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</si>
  <si>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</si>
  <si>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</si>
  <si>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</si>
  <si>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</si>
  <si>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</si>
  <si>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</si>
  <si>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</si>
  <si>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</si>
  <si>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</si>
  <si>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</si>
  <si>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</si>
  <si>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</si>
  <si>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</si>
  <si>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</si>
  <si>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</si>
  <si>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</si>
  <si>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</si>
  <si>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</si>
  <si>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</si>
  <si>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</si>
  <si>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</si>
  <si>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</si>
  <si>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</si>
  <si>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</si>
  <si>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</si>
  <si>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</si>
  <si>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</si>
  <si>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</si>
  <si>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</si>
  <si>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</si>
  <si>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</si>
  <si>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</si>
  <si>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</si>
  <si>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</si>
  <si>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</si>
  <si>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</si>
  <si>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</si>
  <si>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</si>
  <si>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</si>
  <si>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</si>
  <si>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</si>
  <si>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</si>
  <si>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</si>
  <si>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</si>
  <si>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</si>
  <si>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</si>
  <si>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</si>
  <si>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</si>
  <si>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</si>
  <si>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</si>
  <si>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</si>
  <si>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</si>
  <si>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</si>
  <si>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</si>
  <si>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</si>
  <si>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</si>
  <si>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</si>
  <si>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</si>
  <si>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</si>
  <si>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</si>
  <si>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</si>
  <si>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</si>
  <si>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</si>
  <si>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</si>
  <si>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</si>
  <si>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</si>
  <si>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</si>
  <si>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</si>
  <si>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</si>
  <si>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</si>
  <si>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</si>
  <si>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</si>
  <si>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</si>
  <si>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</si>
  <si>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</si>
  <si>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</si>
  <si>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</si>
  <si>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</si>
  <si>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</si>
  <si>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</si>
  <si>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</si>
  <si>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</si>
  <si>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</si>
  <si>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</si>
  <si>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</si>
  <si>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</si>
  <si>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</si>
  <si>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</si>
  <si>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</si>
  <si>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</si>
  <si>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</si>
  <si>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</si>
  <si>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</si>
  <si>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</si>
  <si>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</si>
  <si>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</si>
  <si>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</si>
  <si>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</si>
  <si>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</si>
  <si>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</si>
  <si>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</si>
  <si>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</si>
  <si>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</si>
  <si>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</si>
  <si>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</si>
  <si>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</si>
  <si>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</si>
  <si>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</si>
  <si>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</si>
  <si>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</si>
  <si>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</si>
  <si>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</si>
  <si>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</si>
  <si>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</si>
  <si>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</si>
  <si>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</si>
  <si>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</si>
  <si>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</si>
  <si>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</si>
  <si>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</si>
  <si>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</si>
  <si>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</si>
  <si>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</si>
  <si>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</si>
  <si>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</si>
  <si>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</si>
  <si>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</si>
  <si>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</si>
  <si>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</si>
  <si>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</si>
  <si>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</si>
  <si>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</si>
  <si>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</si>
  <si>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</si>
  <si>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</si>
  <si>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</si>
  <si>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</si>
  <si>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</si>
  <si>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</si>
  <si>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</si>
  <si>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</si>
  <si>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</si>
  <si>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</si>
  <si>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</si>
  <si>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</si>
  <si>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</si>
  <si>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</si>
  <si>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</si>
  <si>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</si>
  <si>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</si>
  <si>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</si>
  <si>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</si>
  <si>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</si>
  <si>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</si>
  <si>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</si>
  <si>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</si>
  <si>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</si>
  <si>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</si>
  <si>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</si>
  <si>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</si>
  <si>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</si>
  <si>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</si>
  <si>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</si>
  <si>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</si>
  <si>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</si>
  <si>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</si>
  <si>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</si>
  <si>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</si>
  <si>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</si>
  <si>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</si>
  <si>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</si>
  <si>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</si>
  <si>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</si>
  <si>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</si>
  <si>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</si>
  <si>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</si>
  <si>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</si>
  <si>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</si>
  <si>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</si>
  <si>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</si>
  <si>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</si>
  <si>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</si>
  <si>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</si>
  <si>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</si>
  <si>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</si>
  <si>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</si>
  <si>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</si>
  <si>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</si>
  <si>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</si>
  <si>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</si>
  <si>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</si>
  <si>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</si>
  <si>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</si>
  <si>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</si>
  <si>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</si>
  <si>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</si>
  <si>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</si>
  <si>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</si>
  <si>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</si>
  <si>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</si>
  <si>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</si>
  <si>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</si>
  <si>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</si>
  <si>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</si>
  <si>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</si>
  <si>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</si>
  <si>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</si>
  <si>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</si>
  <si>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</si>
  <si>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</si>
  <si>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</si>
  <si>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</si>
  <si>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</si>
  <si>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</si>
  <si>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</si>
  <si>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</si>
  <si>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</si>
  <si>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</si>
  <si>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</si>
  <si>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</si>
  <si>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</si>
  <si>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</si>
  <si>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</si>
  <si>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</si>
  <si>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</si>
  <si>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</si>
  <si>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</si>
  <si>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</si>
  <si>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</si>
  <si>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</si>
  <si>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</si>
  <si>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</si>
  <si>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</si>
  <si>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</si>
  <si>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</si>
  <si>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</si>
  <si>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</si>
  <si>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</si>
  <si>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</si>
  <si>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</si>
  <si>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</si>
  <si>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</si>
  <si>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</si>
  <si>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</si>
  <si>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</si>
  <si>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</si>
  <si>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</si>
  <si>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</si>
  <si>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</si>
  <si>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</si>
  <si>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</si>
  <si>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</si>
  <si>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</si>
  <si>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</si>
  <si>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</si>
  <si>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</si>
  <si>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</si>
  <si>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</si>
  <si>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</si>
  <si>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</si>
  <si>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</si>
  <si>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</si>
  <si>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</si>
  <si>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</si>
  <si>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</si>
  <si>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</si>
  <si>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</si>
  <si>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</si>
  <si>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</si>
  <si>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</si>
  <si>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</si>
  <si>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</si>
  <si>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</si>
  <si>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</si>
  <si>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</si>
  <si>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</si>
  <si>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</si>
  <si>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</si>
  <si>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</si>
  <si>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</si>
  <si>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</si>
  <si>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</si>
  <si>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</si>
  <si>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</si>
  <si>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</si>
  <si>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</si>
  <si>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</si>
  <si>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</si>
  <si>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</si>
  <si>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</si>
  <si>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</si>
  <si>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</si>
  <si>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</si>
  <si>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</si>
  <si>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</si>
  <si>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</si>
  <si>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</si>
  <si>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</si>
  <si>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</si>
  <si>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</si>
  <si>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</si>
  <si>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</si>
  <si>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</si>
  <si>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</si>
  <si>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</si>
  <si>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</si>
  <si>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</si>
  <si>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</si>
  <si>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</si>
  <si>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</si>
  <si>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</si>
  <si>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</si>
  <si>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</si>
  <si>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</si>
  <si>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</si>
  <si>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</si>
  <si>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</si>
  <si>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</si>
  <si>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</si>
  <si>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</si>
  <si>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</si>
  <si>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</si>
  <si>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</si>
  <si>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</si>
  <si>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</si>
  <si>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</si>
  <si>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</si>
  <si>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</si>
  <si>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</si>
  <si>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</si>
  <si>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</si>
  <si>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</si>
  <si>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</si>
  <si>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</si>
  <si>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</si>
  <si>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</si>
  <si>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</si>
  <si>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</si>
  <si>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</si>
  <si>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</si>
  <si>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</si>
  <si>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</si>
  <si>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</si>
  <si>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</si>
  <si>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</si>
  <si>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</si>
  <si>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</si>
  <si>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</si>
  <si>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</si>
  <si>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</si>
  <si>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</si>
  <si>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</si>
  <si>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</si>
  <si>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</si>
  <si>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</si>
  <si>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</si>
  <si>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</si>
  <si>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</si>
  <si>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</si>
  <si>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</si>
  <si>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</si>
  <si>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</si>
  <si>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</si>
  <si>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</si>
  <si>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</si>
  <si>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</si>
  <si>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</si>
  <si>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</si>
  <si>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</si>
  <si>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</si>
  <si>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</si>
  <si>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</si>
  <si>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</si>
  <si>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</si>
  <si>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</si>
  <si>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</si>
  <si>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</si>
  <si>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</si>
  <si>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Correct rate should be?</t>
  </si>
  <si>
    <t>Enter from tax return</t>
  </si>
  <si>
    <t>No entry on tax return</t>
  </si>
  <si>
    <t>Overpaid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</si>
  <si>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</si>
  <si>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</si>
  <si>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</si>
  <si>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</si>
  <si>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</si>
  <si>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</si>
  <si>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</si>
  <si>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</si>
  <si>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</si>
  <si>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</si>
  <si>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</si>
  <si>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</si>
  <si>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</si>
  <si>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25% for Q4 2001</t>
  </si>
  <si>
    <t>Expected Income Tax Rates for 2002 and Capital Tax Exemptions for 2002</t>
  </si>
  <si>
    <t>Utility Name: Sioux Lookout Hydro Inc.</t>
  </si>
  <si>
    <t>Y</t>
  </si>
  <si>
    <t>N</t>
  </si>
  <si>
    <t>non-deductible meals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</si>
</sst>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3" fillId="44" borderId="24" xfId="0" applyFont="1" applyFill="1" applyBorder="1" applyAlignment="1" applyProtection="1">
      <alignment vertical="top"/>
      <protection/>
    </xf>
    <xf numFmtId="37" fontId="0" fillId="44" borderId="14" xfId="0" applyNumberFormat="1" applyFill="1" applyBorder="1" applyAlignment="1" applyProtection="1">
      <alignment vertical="top"/>
      <protection/>
    </xf>
    <xf numFmtId="37" fontId="0" fillId="44" borderId="1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9">
      <selection activeCell="E51" sqref="E5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456</v>
      </c>
      <c r="C1" s="8"/>
      <c r="E1" s="2" t="s">
        <v>457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500</v>
      </c>
      <c r="C3" s="8"/>
      <c r="D3" s="457" t="s">
        <v>442</v>
      </c>
      <c r="E3" s="8"/>
      <c r="F3" s="8"/>
      <c r="G3" s="8"/>
      <c r="H3" s="8"/>
    </row>
    <row r="4" spans="1:8" ht="12.75">
      <c r="A4" s="2" t="s">
        <v>468</v>
      </c>
      <c r="C4" s="8"/>
      <c r="D4" s="456" t="s">
        <v>437</v>
      </c>
      <c r="E4" s="430"/>
      <c r="H4" s="8"/>
    </row>
    <row r="5" spans="1:8" ht="12.75">
      <c r="A5" s="52"/>
      <c r="C5" s="8"/>
      <c r="D5" s="455" t="s">
        <v>438</v>
      </c>
      <c r="E5" s="400"/>
      <c r="H5" s="8"/>
    </row>
    <row r="6" spans="1:8" ht="12.75">
      <c r="A6" s="2" t="s">
        <v>126</v>
      </c>
      <c r="B6" s="390">
        <v>92</v>
      </c>
      <c r="C6" s="8" t="s">
        <v>127</v>
      </c>
      <c r="D6" s="21"/>
      <c r="H6" s="8"/>
    </row>
    <row r="7" spans="1:8" ht="13.5" thickBot="1">
      <c r="A7" s="52" t="s">
        <v>252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502</v>
      </c>
    </row>
    <row r="18" spans="1:4" ht="15" customHeight="1">
      <c r="A18" s="391" t="s">
        <v>310</v>
      </c>
      <c r="C18" s="8"/>
      <c r="D18" s="8"/>
    </row>
    <row r="19" spans="1:4" ht="15" customHeight="1">
      <c r="A19" s="485" t="s">
        <v>311</v>
      </c>
      <c r="B19" s="8" t="s">
        <v>308</v>
      </c>
      <c r="C19" s="8" t="s">
        <v>64</v>
      </c>
      <c r="D19" s="390" t="s">
        <v>502</v>
      </c>
    </row>
    <row r="20" spans="1:4" ht="13.5" thickBot="1">
      <c r="A20" s="486"/>
      <c r="B20" s="8" t="s">
        <v>309</v>
      </c>
      <c r="C20" s="8" t="s">
        <v>64</v>
      </c>
      <c r="D20" s="258" t="s">
        <v>502</v>
      </c>
    </row>
    <row r="21" spans="1:4" ht="12.75">
      <c r="A21" s="485" t="s">
        <v>307</v>
      </c>
      <c r="B21" s="8" t="s">
        <v>308</v>
      </c>
      <c r="C21" s="8"/>
      <c r="D21" s="425">
        <v>1</v>
      </c>
    </row>
    <row r="22" spans="1:4" ht="12.75">
      <c r="A22" s="485"/>
      <c r="B22" s="8" t="s">
        <v>309</v>
      </c>
      <c r="C22" s="8"/>
      <c r="D22" s="425">
        <v>1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6" t="s">
        <v>469</v>
      </c>
    </row>
    <row r="25" ht="6.75" customHeight="1" thickBot="1">
      <c r="A25" s="12"/>
    </row>
    <row r="26" spans="1:5" ht="12.75">
      <c r="A26" s="255" t="s">
        <v>67</v>
      </c>
      <c r="C26" s="8"/>
      <c r="E26" s="445" t="s">
        <v>293</v>
      </c>
    </row>
    <row r="27" spans="1:5" ht="12.75">
      <c r="A27" s="256" t="s">
        <v>68</v>
      </c>
      <c r="C27" s="8"/>
      <c r="E27" s="446" t="s">
        <v>294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283</v>
      </c>
      <c r="D31" s="423">
        <v>5588188</v>
      </c>
      <c r="H31" s="5"/>
    </row>
    <row r="32" ht="6" customHeight="1"/>
    <row r="33" spans="1:8" ht="12.75">
      <c r="A33" t="s">
        <v>71</v>
      </c>
      <c r="D33" s="42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4">
        <v>0.0833</v>
      </c>
      <c r="H37" s="41"/>
    </row>
    <row r="38" ht="4.5" customHeight="1">
      <c r="H38" s="34"/>
    </row>
    <row r="39" spans="1:8" ht="12.75">
      <c r="A39" t="s">
        <v>74</v>
      </c>
      <c r="D39" s="42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435319.8452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7">
        <v>348286</v>
      </c>
      <c r="E43" s="389">
        <f>D43</f>
        <v>348286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87033.84519999998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28">
        <v>0</v>
      </c>
      <c r="E47" s="389">
        <f aca="true" t="shared" si="0" ref="E47:E53">D47</f>
        <v>0</v>
      </c>
      <c r="H47" s="40"/>
      <c r="J47" s="5"/>
      <c r="K47" s="5"/>
    </row>
    <row r="48" spans="1:11" ht="12.75">
      <c r="A48" t="s">
        <v>286</v>
      </c>
      <c r="D48" s="428">
        <v>43447</v>
      </c>
      <c r="E48" s="389">
        <v>0</v>
      </c>
      <c r="F48" s="22"/>
      <c r="H48" s="40"/>
      <c r="J48" s="5"/>
      <c r="K48" s="5"/>
    </row>
    <row r="49" spans="1:11" ht="12.75">
      <c r="A49" t="s">
        <v>287</v>
      </c>
      <c r="D49" s="429">
        <v>0</v>
      </c>
      <c r="E49" s="389">
        <v>0</v>
      </c>
      <c r="F49" s="22"/>
      <c r="H49" s="40"/>
      <c r="J49" s="5"/>
      <c r="K49" s="5"/>
    </row>
    <row r="50" spans="1:11" ht="12.75">
      <c r="A50" t="s">
        <v>288</v>
      </c>
      <c r="D50" s="430"/>
      <c r="E50" s="389">
        <f t="shared" si="0"/>
        <v>0</v>
      </c>
      <c r="H50" s="40"/>
      <c r="J50" s="5"/>
      <c r="K50" s="5"/>
    </row>
    <row r="51" spans="1:11" ht="12.75">
      <c r="A51" t="s">
        <v>434</v>
      </c>
      <c r="D51" s="430">
        <v>43447</v>
      </c>
      <c r="E51" s="389"/>
      <c r="H51" s="40"/>
      <c r="J51" s="5"/>
      <c r="K51" s="5"/>
    </row>
    <row r="52" spans="1:11" ht="12.75">
      <c r="A52" t="s">
        <v>458</v>
      </c>
      <c r="D52" s="430"/>
      <c r="E52" s="389">
        <f t="shared" si="0"/>
        <v>0</v>
      </c>
      <c r="H52" s="40"/>
      <c r="J52" s="5"/>
      <c r="K52" s="5"/>
    </row>
    <row r="53" spans="4:11" ht="12.75">
      <c r="D53" s="430"/>
      <c r="E53" s="389">
        <f t="shared" si="0"/>
        <v>0</v>
      </c>
      <c r="H53" s="40"/>
      <c r="J53" s="5"/>
      <c r="K53" s="5"/>
    </row>
    <row r="54" spans="1:11" ht="12.75">
      <c r="A54" s="2" t="s">
        <v>289</v>
      </c>
      <c r="E54" s="254">
        <f>SUM(E43:E53)</f>
        <v>348286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2794094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232748.0302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2794094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2">
        <f>D60*D39</f>
        <v>202571.81499999997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3">
        <f>IF(D41&gt;0,(((D43+D47)/D41)*D62),0)</f>
        <v>162071.46983311936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3">
        <f>IF(D41&gt;0,(((D43+D47+D48)/D41)*D62),0)</f>
        <v>182289.10462130935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3">
        <f>IF(D41&gt;0,(((D43+D47+D48)/D41)*D62),0)</f>
        <v>182289.10462130935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443</v>
      </c>
      <c r="B70" s="5"/>
      <c r="C70" s="5"/>
      <c r="D70" s="253">
        <f>D62</f>
        <v>202571.81499999997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35433070866141736" top="0.6692913385826772" bottom="0.2362204724409449" header="0.15748031496062992" footer="0"/>
  <pageSetup fitToHeight="1" fitToWidth="1" horizontalDpi="600" verticalDpi="600" orientation="portrait" scale="84" r:id="rId1"/>
  <headerFooter alignWithMargins="0">
    <oddHeader>&amp;CPage &amp;P&amp;RSioux Lookout_HaltonModel_PILs-2001Q4_20111014_REVISED20120126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454</v>
      </c>
      <c r="B2" s="2"/>
    </row>
    <row r="3" spans="1:15" ht="12.75">
      <c r="A3" s="2" t="str">
        <f>REGINFO!A3</f>
        <v>Utility Name: Sioux Lookout Hydro Inc.</v>
      </c>
      <c r="O3" s="418" t="str">
        <f>REGINFO!E1</f>
        <v>Version 2009.1</v>
      </c>
    </row>
    <row r="4" spans="1:15" ht="12.75">
      <c r="A4" s="2" t="str">
        <f>REGINFO!A4</f>
        <v>Reporting period:  2001</v>
      </c>
      <c r="E4" s="419" t="s">
        <v>317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1" t="s">
        <v>393</v>
      </c>
      <c r="B12" s="66" t="s">
        <v>190</v>
      </c>
      <c r="C12" s="397"/>
      <c r="D12" s="393"/>
      <c r="E12" s="397"/>
      <c r="F12" s="95"/>
      <c r="G12" s="420">
        <f>C12+E12</f>
        <v>0</v>
      </c>
      <c r="H12" s="95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1" t="s">
        <v>435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5.5">
      <c r="A14" s="81" t="s">
        <v>394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395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>
        <f>TAXCALC!E132</f>
        <v>0</v>
      </c>
      <c r="N15" s="393"/>
      <c r="O15" s="398">
        <f t="shared" si="0"/>
        <v>0</v>
      </c>
    </row>
    <row r="16" spans="1:15" ht="27" customHeight="1">
      <c r="A16" s="81" t="s">
        <v>396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397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>
        <f>TAXCALC!E181</f>
        <v>-13776.518147875637</v>
      </c>
      <c r="N17" s="393"/>
      <c r="O17" s="398">
        <f t="shared" si="0"/>
        <v>-13776.518147875637</v>
      </c>
    </row>
    <row r="18" spans="1:15" ht="25.5">
      <c r="A18" s="81" t="s">
        <v>398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34" t="s">
        <v>399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467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371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-13776.518147875637</v>
      </c>
      <c r="N22" s="392"/>
      <c r="O22" s="452">
        <f>SUM(O11:O20)</f>
        <v>-13776.518147875637</v>
      </c>
    </row>
    <row r="23" spans="1:15" ht="13.5" thickTop="1">
      <c r="A23" s="435"/>
      <c r="B23" s="436"/>
      <c r="C23" s="442"/>
      <c r="D23" s="443"/>
      <c r="E23" s="442"/>
      <c r="F23" s="443"/>
      <c r="G23" s="442"/>
      <c r="H23" s="443"/>
      <c r="I23" s="442"/>
      <c r="J23" s="436"/>
      <c r="K23" s="442"/>
      <c r="L23" s="188"/>
      <c r="M23" s="444"/>
      <c r="N23" s="188"/>
      <c r="O23" s="444"/>
    </row>
    <row r="24" spans="1:15" ht="12.75">
      <c r="A24" s="458"/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1"/>
    </row>
    <row r="25" spans="1:15" ht="12.75">
      <c r="A25" s="435"/>
      <c r="B25" s="436"/>
      <c r="C25" s="462"/>
      <c r="D25" s="462"/>
      <c r="E25" s="462"/>
      <c r="F25" s="462"/>
      <c r="G25" s="462"/>
      <c r="H25" s="462"/>
      <c r="I25" s="462"/>
      <c r="J25" s="463"/>
      <c r="K25" s="462"/>
      <c r="L25" s="464"/>
      <c r="M25" s="465"/>
      <c r="N25" s="464"/>
      <c r="O25" s="465"/>
    </row>
    <row r="26" spans="1:15" ht="12.75">
      <c r="A26" s="435" t="s">
        <v>400</v>
      </c>
      <c r="B26" s="436"/>
      <c r="C26" s="462"/>
      <c r="D26" s="462"/>
      <c r="E26" s="462"/>
      <c r="F26" s="462"/>
      <c r="G26" s="462"/>
      <c r="H26" s="462"/>
      <c r="I26" s="462"/>
      <c r="J26" s="463"/>
      <c r="K26" s="462"/>
      <c r="L26" s="464"/>
      <c r="M26" s="465"/>
      <c r="N26" s="464"/>
      <c r="O26" s="465"/>
    </row>
    <row r="27" spans="1:15" ht="9" customHeight="1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  <c r="L27" s="188"/>
      <c r="M27" s="188"/>
      <c r="N27" s="188"/>
      <c r="O27" s="188"/>
    </row>
    <row r="28" spans="1:15" ht="12.75">
      <c r="A28" s="435" t="s">
        <v>401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188"/>
      <c r="M28" s="188"/>
      <c r="N28" s="188"/>
      <c r="O28" s="188"/>
    </row>
    <row r="29" spans="1:15" ht="12.75">
      <c r="A29" s="438" t="s">
        <v>402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188"/>
      <c r="M29" s="188"/>
      <c r="N29" s="188"/>
      <c r="O29" s="188"/>
    </row>
    <row r="30" spans="1:15" ht="9" customHeight="1">
      <c r="A30" s="188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188"/>
      <c r="M30" s="188"/>
      <c r="N30" s="188"/>
      <c r="O30" s="188"/>
    </row>
    <row r="31" spans="1:15" ht="12.75">
      <c r="A31" s="453" t="s">
        <v>403</v>
      </c>
      <c r="B31" s="80"/>
      <c r="C31" s="80"/>
      <c r="D31" s="80"/>
      <c r="E31" s="80"/>
      <c r="F31" s="80"/>
      <c r="G31" s="80"/>
      <c r="H31" s="80"/>
      <c r="I31" s="449"/>
      <c r="J31" s="449"/>
      <c r="K31" s="449"/>
      <c r="L31" s="449"/>
      <c r="M31" s="449"/>
      <c r="N31" s="449"/>
      <c r="O31" s="449"/>
    </row>
    <row r="32" spans="1:15" ht="9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</row>
    <row r="33" spans="1:19" ht="12.75">
      <c r="A33" s="498" t="s">
        <v>404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22"/>
      <c r="Q33" s="422"/>
      <c r="R33" s="422"/>
      <c r="S33" s="422"/>
    </row>
    <row r="34" spans="1:19" ht="12.75">
      <c r="A34" s="497" t="s">
        <v>405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422"/>
      <c r="Q34" s="422"/>
      <c r="R34" s="422"/>
      <c r="S34" s="422"/>
    </row>
    <row r="35" spans="1:19" ht="12.75">
      <c r="A35" s="497" t="s">
        <v>426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422"/>
      <c r="Q35" s="422"/>
      <c r="R35" s="422"/>
      <c r="S35" s="422"/>
    </row>
    <row r="36" spans="1:19" ht="12.75">
      <c r="A36" s="497" t="s">
        <v>406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22"/>
      <c r="Q36" s="422"/>
      <c r="R36" s="422"/>
      <c r="S36" s="422"/>
    </row>
    <row r="37" spans="1:19" ht="12.75">
      <c r="A37" s="439" t="s">
        <v>368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22"/>
      <c r="Q37" s="422"/>
      <c r="R37" s="422"/>
      <c r="S37" s="422"/>
    </row>
    <row r="38" spans="1:19" ht="12.75">
      <c r="A38" s="439" t="s">
        <v>369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22"/>
      <c r="Q38" s="422"/>
      <c r="R38" s="422"/>
      <c r="S38" s="422"/>
    </row>
    <row r="39" spans="1:19" ht="12.75">
      <c r="A39" s="439" t="s">
        <v>407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22"/>
      <c r="Q39" s="422"/>
      <c r="R39" s="422"/>
      <c r="S39" s="422"/>
    </row>
    <row r="40" spans="1:19" ht="12.75">
      <c r="A40" s="439" t="s">
        <v>408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22"/>
      <c r="Q40" s="422"/>
      <c r="R40" s="422"/>
      <c r="S40" s="422"/>
    </row>
    <row r="41" spans="2:19" ht="9" customHeight="1"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22"/>
      <c r="Q41" s="422"/>
      <c r="R41" s="422"/>
      <c r="S41" s="422"/>
    </row>
    <row r="42" spans="1:15" ht="12.75">
      <c r="A42" s="441" t="s">
        <v>409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188"/>
      <c r="M42" s="188"/>
      <c r="N42" s="188"/>
      <c r="O42" s="188"/>
    </row>
    <row r="43" spans="1:15" ht="12.75">
      <c r="A43" s="436" t="s">
        <v>410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188"/>
      <c r="M43" s="188"/>
      <c r="N43" s="188"/>
      <c r="O43" s="188"/>
    </row>
    <row r="44" spans="1:15" ht="9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88"/>
      <c r="M44" s="188"/>
      <c r="N44" s="188"/>
      <c r="O44" s="188"/>
    </row>
    <row r="45" spans="1:15" ht="12.75">
      <c r="A45" s="441" t="s">
        <v>411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188"/>
      <c r="M45" s="188"/>
      <c r="N45" s="188"/>
      <c r="O45" s="188"/>
    </row>
    <row r="46" spans="1:15" ht="12.75">
      <c r="A46" s="436" t="s">
        <v>412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188"/>
      <c r="M46" s="188"/>
      <c r="N46" s="188"/>
      <c r="O46" s="188"/>
    </row>
    <row r="47" spans="1:15" ht="9" customHeight="1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188"/>
      <c r="M47" s="188"/>
      <c r="N47" s="188"/>
      <c r="O47" s="188"/>
    </row>
    <row r="48" spans="1:15" ht="12.75">
      <c r="A48" s="441" t="s">
        <v>413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188"/>
      <c r="M48" s="188"/>
      <c r="N48" s="188"/>
      <c r="O48" s="188"/>
    </row>
    <row r="49" spans="1:15" ht="12.75">
      <c r="A49" s="436" t="s">
        <v>414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188"/>
      <c r="M49" s="188"/>
      <c r="N49" s="188"/>
      <c r="O49" s="188"/>
    </row>
    <row r="50" spans="1:15" ht="9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188"/>
      <c r="M50" s="188"/>
      <c r="N50" s="188"/>
      <c r="O50" s="188"/>
    </row>
    <row r="51" spans="1:15" ht="12.75">
      <c r="A51" s="441" t="s">
        <v>415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188"/>
      <c r="M51" s="188"/>
      <c r="N51" s="188"/>
      <c r="O51" s="188"/>
    </row>
    <row r="52" spans="1:15" ht="12.75">
      <c r="A52" s="436" t="s">
        <v>412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188"/>
      <c r="M52" s="188"/>
      <c r="N52" s="188"/>
      <c r="O52" s="188"/>
    </row>
    <row r="53" spans="1:15" ht="9" customHeight="1">
      <c r="A53" s="441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188"/>
      <c r="M53" s="188"/>
      <c r="N53" s="188"/>
      <c r="O53" s="188"/>
    </row>
    <row r="54" spans="1:15" ht="12.75">
      <c r="A54" s="436" t="s">
        <v>416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188"/>
      <c r="M54" s="188"/>
      <c r="N54" s="188"/>
      <c r="O54" s="188"/>
    </row>
    <row r="55" spans="1:15" ht="9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188"/>
      <c r="M55" s="188"/>
      <c r="N55" s="188"/>
      <c r="O55" s="188"/>
    </row>
    <row r="56" spans="1:15" ht="12.75" customHeight="1">
      <c r="A56" s="441" t="s">
        <v>417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188"/>
      <c r="M56" s="188"/>
      <c r="N56" s="188"/>
      <c r="O56" s="188"/>
    </row>
    <row r="57" spans="1:15" ht="9" customHeight="1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188"/>
      <c r="M57" s="188"/>
      <c r="N57" s="188"/>
      <c r="O57" s="188"/>
    </row>
    <row r="58" spans="1:15" ht="12.75">
      <c r="A58" s="436" t="s">
        <v>418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188"/>
      <c r="M58" s="188"/>
      <c r="N58" s="188"/>
      <c r="O58" s="188"/>
    </row>
    <row r="59" spans="1:15" ht="12.75">
      <c r="A59" s="436" t="s">
        <v>419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188"/>
      <c r="M59" s="188"/>
      <c r="N59" s="188"/>
      <c r="O59" s="188"/>
    </row>
    <row r="60" spans="1:15" ht="12.75">
      <c r="A60" s="436" t="s">
        <v>420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188"/>
      <c r="M60" s="188"/>
      <c r="N60" s="188"/>
      <c r="O60" s="188"/>
    </row>
    <row r="61" spans="1:15" ht="12.75">
      <c r="A61" s="436" t="s">
        <v>378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188"/>
      <c r="M61" s="188"/>
      <c r="N61" s="188"/>
      <c r="O61" s="188"/>
    </row>
    <row r="62" spans="1:15" ht="9" customHeight="1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188"/>
      <c r="M62" s="188"/>
      <c r="N62" s="188"/>
      <c r="O62" s="188"/>
    </row>
    <row r="63" spans="1:15" ht="12.75">
      <c r="A63" s="436" t="s">
        <v>421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188"/>
      <c r="M63" s="188"/>
      <c r="N63" s="188"/>
      <c r="O63" s="188"/>
    </row>
    <row r="64" spans="1:15" ht="12.75">
      <c r="A64" s="436" t="s">
        <v>422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188"/>
      <c r="M64" s="188"/>
      <c r="N64" s="188"/>
      <c r="O64" s="188"/>
    </row>
    <row r="65" spans="1:15" ht="12.75">
      <c r="A65" s="436" t="s">
        <v>380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188"/>
      <c r="M65" s="188"/>
      <c r="N65" s="188"/>
      <c r="O65" s="188"/>
    </row>
    <row r="66" spans="1:15" ht="3.75" customHeigh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188"/>
      <c r="M66" s="188"/>
      <c r="N66" s="188"/>
      <c r="O66" s="188"/>
    </row>
    <row r="67" spans="1:15" ht="12.75">
      <c r="A67" s="436" t="s">
        <v>379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188"/>
      <c r="M67" s="188"/>
      <c r="N67" s="188"/>
      <c r="O67" s="188"/>
    </row>
    <row r="68" spans="1:15" ht="12.75">
      <c r="A68" s="436" t="s">
        <v>381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188"/>
      <c r="M68" s="188"/>
      <c r="N68" s="188"/>
      <c r="O68" s="188"/>
    </row>
    <row r="69" spans="1:15" ht="3.75" customHeight="1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188"/>
      <c r="M69" s="188"/>
      <c r="N69" s="188"/>
      <c r="O69" s="188"/>
    </row>
    <row r="70" spans="1:15" ht="12.75">
      <c r="A70" s="436" t="s">
        <v>423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188"/>
      <c r="M70" s="188"/>
      <c r="N70" s="188"/>
      <c r="O70" s="188"/>
    </row>
    <row r="71" spans="1:15" ht="12.75">
      <c r="A71" s="436" t="s">
        <v>424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188"/>
      <c r="M71" s="188"/>
      <c r="N71" s="188"/>
      <c r="O71" s="188"/>
    </row>
    <row r="72" spans="1:15" ht="12.75">
      <c r="A72" s="436" t="s">
        <v>425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188"/>
      <c r="M72" s="188"/>
      <c r="N72" s="188"/>
      <c r="O72" s="188"/>
    </row>
    <row r="73" spans="1:15" ht="9" customHeight="1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188"/>
      <c r="M73" s="188"/>
      <c r="N73" s="188"/>
      <c r="O73" s="188"/>
    </row>
    <row r="74" spans="1:15" ht="12.75" customHeight="1">
      <c r="A74" s="497" t="s">
        <v>455</v>
      </c>
      <c r="B74" s="497"/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</row>
    <row r="75" spans="1:15" ht="12.75">
      <c r="A75" s="436" t="s">
        <v>370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188"/>
      <c r="M75" s="188"/>
      <c r="N75" s="188"/>
      <c r="O75" s="188"/>
    </row>
    <row r="76" spans="1:15" ht="12.75">
      <c r="A76" s="188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188"/>
      <c r="M76" s="188"/>
      <c r="N76" s="188"/>
      <c r="O76" s="188"/>
    </row>
    <row r="77" spans="1:15" ht="12.75">
      <c r="A77" s="188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188"/>
      <c r="M77" s="188"/>
      <c r="N77" s="188"/>
      <c r="O77" s="188"/>
    </row>
    <row r="78" spans="1:17" ht="12.75">
      <c r="A78" s="188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188"/>
      <c r="O78" s="188"/>
      <c r="P78" s="188"/>
      <c r="Q78" s="188"/>
    </row>
    <row r="79" spans="1:17" ht="12.75">
      <c r="A79" s="188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188"/>
      <c r="O79" s="188"/>
      <c r="P79" s="188"/>
      <c r="Q79" s="188"/>
    </row>
    <row r="80" spans="1:17" ht="12.75">
      <c r="A80" s="188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188"/>
      <c r="O80" s="188"/>
      <c r="P80" s="188"/>
      <c r="Q80" s="188"/>
    </row>
    <row r="81" spans="1:17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188"/>
      <c r="O81" s="188"/>
      <c r="P81" s="188"/>
      <c r="Q81" s="188"/>
    </row>
    <row r="82" spans="1:17" ht="12.75">
      <c r="A82" s="188"/>
      <c r="B82" s="188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188"/>
      <c r="O82" s="188"/>
      <c r="P82" s="188"/>
      <c r="Q82" s="188"/>
    </row>
    <row r="83" spans="1:17" ht="12.75">
      <c r="A83" s="188"/>
      <c r="B83" s="188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188"/>
      <c r="O83" s="188"/>
      <c r="P83" s="188"/>
      <c r="Q83" s="188"/>
    </row>
    <row r="84" spans="1:17" ht="12.75">
      <c r="A84" s="436"/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188"/>
      <c r="O84" s="188"/>
      <c r="P84" s="188"/>
      <c r="Q84" s="188"/>
    </row>
    <row r="85" spans="1:17" ht="12.75">
      <c r="A85" s="188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188"/>
      <c r="O85" s="188"/>
      <c r="P85" s="188"/>
      <c r="Q85" s="188"/>
    </row>
    <row r="86" spans="1:17" ht="12.75">
      <c r="A86" s="188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188"/>
      <c r="O86" s="188"/>
      <c r="P86" s="188"/>
      <c r="Q86" s="188"/>
    </row>
    <row r="87" spans="1:17" ht="12.75">
      <c r="A87" s="188"/>
      <c r="B87" s="188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188"/>
      <c r="O87" s="188"/>
      <c r="P87" s="188"/>
      <c r="Q87" s="188"/>
    </row>
    <row r="88" spans="1:17" ht="12.75">
      <c r="A88" s="188"/>
      <c r="B88" s="188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188"/>
      <c r="O88" s="188"/>
      <c r="P88" s="188"/>
      <c r="Q88" s="188"/>
    </row>
    <row r="89" spans="1:17" ht="12.75">
      <c r="A89" s="188"/>
      <c r="B89" s="188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188"/>
      <c r="O89" s="188"/>
      <c r="P89" s="188"/>
      <c r="Q89" s="188"/>
    </row>
    <row r="90" spans="1:17" ht="12.75">
      <c r="A90" s="188"/>
      <c r="B90" s="188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188"/>
      <c r="O90" s="188"/>
      <c r="P90" s="188"/>
      <c r="Q90" s="188"/>
    </row>
    <row r="91" spans="1:17" ht="12.75">
      <c r="A91" s="188"/>
      <c r="B91" s="188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188"/>
      <c r="O91" s="188"/>
      <c r="P91" s="188"/>
      <c r="Q91" s="188"/>
    </row>
    <row r="92" spans="1:17" ht="12.75">
      <c r="A92" s="188"/>
      <c r="B92" s="188"/>
      <c r="C92" s="497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</row>
    <row r="93" spans="1:17" ht="12.75">
      <c r="A93" s="188"/>
      <c r="B93" s="188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6692913385826772" bottom="0.2362204724409449" header="0.15748031496062992" footer="0"/>
  <pageSetup fitToHeight="1" fitToWidth="1" horizontalDpi="600" verticalDpi="600" orientation="portrait" scale="68" r:id="rId1"/>
  <headerFooter alignWithMargins="0">
    <oddHeader>&amp;CPage &amp;P&amp;RSioux Lookout_HaltonModel_PILs-2001Q4_20111014_REVISED20120126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48">
      <selection activeCell="E181" sqref="E18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460</v>
      </c>
      <c r="H1" s="210"/>
    </row>
    <row r="2" spans="1:8" ht="12.75">
      <c r="A2" s="211" t="s">
        <v>459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461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496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Sioux Lookout Hydro Inc.</v>
      </c>
      <c r="B6" s="115"/>
      <c r="D6" s="137"/>
      <c r="E6" s="115"/>
      <c r="G6" s="115"/>
      <c r="H6" s="467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67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1">
        <f>REGINFO!B6</f>
        <v>92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252</v>
      </c>
      <c r="B10" s="431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f>REGINFO!E54/4</f>
        <v>87071.5</v>
      </c>
      <c r="D16" s="17"/>
      <c r="E16" s="268">
        <f>G16-C16</f>
        <v>-305535.5</v>
      </c>
      <c r="F16" s="3"/>
      <c r="G16" s="268">
        <f>TAXREC!E50</f>
        <v>-218464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62374</v>
      </c>
      <c r="D20" s="18"/>
      <c r="E20" s="268">
        <f>G20-C20</f>
        <v>-998</v>
      </c>
      <c r="F20" s="6"/>
      <c r="G20" s="268">
        <f>TAXREC!E61</f>
        <v>61376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260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259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261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541</v>
      </c>
      <c r="F29" s="6"/>
      <c r="G29" s="268">
        <f>TAXREC!E68</f>
        <v>541</v>
      </c>
      <c r="H29" s="151"/>
    </row>
    <row r="30" spans="1:8" ht="12.75">
      <c r="A30" s="405" t="s">
        <v>390</v>
      </c>
      <c r="B30" s="127"/>
      <c r="C30" s="260"/>
      <c r="D30" s="18"/>
      <c r="E30" s="268">
        <f>G30-C30</f>
        <v>0</v>
      </c>
      <c r="F30" s="6"/>
      <c r="G30" s="268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33616</v>
      </c>
      <c r="D33" s="132"/>
      <c r="E33" s="268">
        <f aca="true" t="shared" si="0" ref="E33:E42">G33-C33</f>
        <v>-33616</v>
      </c>
      <c r="F33" s="6"/>
      <c r="G33" s="268">
        <f>TAXREC!E97+TAXREC!E98</f>
        <v>0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262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REGINFO!D64/4</f>
        <v>40517.86745827984</v>
      </c>
      <c r="D37" s="132"/>
      <c r="E37" s="268">
        <f t="shared" si="0"/>
        <v>-40517.86745827984</v>
      </c>
      <c r="F37" s="6"/>
      <c r="G37" s="268">
        <f>TAXREC!E51</f>
        <v>0</v>
      </c>
      <c r="H37" s="151"/>
    </row>
    <row r="38" spans="1:8" ht="12.75">
      <c r="A38" s="155" t="s">
        <v>258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257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2.75">
      <c r="A48" s="405" t="s">
        <v>390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4">
        <f>C16+SUM(C20:C30)-SUM(C33:C48)</f>
        <v>75311.63254172016</v>
      </c>
      <c r="D50" s="102"/>
      <c r="E50" s="264">
        <f>E16+SUM(E20:E30)-SUM(E33:E48)</f>
        <v>-231858.63254172017</v>
      </c>
      <c r="F50" s="433" t="s">
        <v>364</v>
      </c>
      <c r="G50" s="264">
        <f>G16+SUM(G20:G30)-SUM(G33:G48)</f>
        <v>-156547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f>IF($C$50&gt;'Tax Rates'!$E$11,'Tax Rates'!$F$16,IF($C$50&gt;'Tax Rates'!$C$11,'Tax Rates'!$E$16,'Tax Rates'!$C$16))</f>
        <v>0.3412</v>
      </c>
      <c r="D53" s="102"/>
      <c r="E53" s="269">
        <f>+G53-C53</f>
        <v>-0.15</v>
      </c>
      <c r="F53" s="114"/>
      <c r="G53" s="475">
        <f>TAXREC!E151</f>
        <v>0.1912</v>
      </c>
      <c r="H53" s="151"/>
      <c r="I53" s="472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25696.329023234917</v>
      </c>
      <c r="D55" s="102"/>
      <c r="E55" s="268">
        <f>G55-C55</f>
        <v>-24495.329023234917</v>
      </c>
      <c r="F55" s="433" t="s">
        <v>365</v>
      </c>
      <c r="G55" s="265">
        <f>TAXREC!E144</f>
        <v>1201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3" t="s">
        <v>365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25696.329023234917</v>
      </c>
      <c r="D60" s="133"/>
      <c r="E60" s="270">
        <f>+E55-E58</f>
        <v>-24495.329023234917</v>
      </c>
      <c r="F60" s="433" t="s">
        <v>365</v>
      </c>
      <c r="G60" s="270">
        <f>+G55-G58</f>
        <v>1201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5588188</v>
      </c>
      <c r="D66" s="102"/>
      <c r="E66" s="268">
        <f>G66-C66</f>
        <v>999894</v>
      </c>
      <c r="F66" s="6"/>
      <c r="G66" s="477">
        <v>6588082</v>
      </c>
      <c r="H66" s="151"/>
      <c r="I66" s="478" t="s">
        <v>482</v>
      </c>
    </row>
    <row r="67" spans="1:10" ht="12.75">
      <c r="A67" s="152" t="s">
        <v>357</v>
      </c>
      <c r="B67" s="125">
        <v>16</v>
      </c>
      <c r="C67" s="261">
        <f>IF(C66&gt;0,'Tax Rates'!C21,0)</f>
        <v>5000000</v>
      </c>
      <c r="D67" s="102"/>
      <c r="E67" s="268">
        <f>G67-C67</f>
        <v>0</v>
      </c>
      <c r="F67" s="6"/>
      <c r="G67" s="268">
        <f>'Tax Rates'!C57</f>
        <v>5000000</v>
      </c>
      <c r="H67" s="151"/>
      <c r="I67" s="478" t="s">
        <v>482</v>
      </c>
      <c r="J67" s="479" t="s">
        <v>483</v>
      </c>
    </row>
    <row r="68" spans="1:8" ht="12.75">
      <c r="A68" s="152" t="s">
        <v>42</v>
      </c>
      <c r="B68" s="125"/>
      <c r="C68" s="265">
        <f>IF((C66-C67)&gt;0,C66-C67,0)</f>
        <v>588188</v>
      </c>
      <c r="D68" s="102"/>
      <c r="E68" s="268">
        <f>SUM(E66:E67)</f>
        <v>999894</v>
      </c>
      <c r="F68" s="114"/>
      <c r="G68" s="265">
        <f>G66-G67</f>
        <v>1588082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312</v>
      </c>
      <c r="B72" s="125"/>
      <c r="C72" s="265">
        <f>IF(C68&gt;0,C68*C70,0)*REGINFO!$B$6/REGINFO!$B$7</f>
        <v>444.76681643835616</v>
      </c>
      <c r="D72" s="101"/>
      <c r="E72" s="268">
        <f>+G72-C72</f>
        <v>756.0842301369863</v>
      </c>
      <c r="F72" s="480"/>
      <c r="G72" s="265">
        <f>IF(G68&gt;0,G68*G70,0)*REGINFO!$B$6/REGINFO!$B$7</f>
        <v>1200.8510465753425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5588188</v>
      </c>
      <c r="D75" s="102"/>
      <c r="E75" s="268">
        <f>+G75-C75</f>
        <v>-5588188</v>
      </c>
      <c r="F75" s="6"/>
      <c r="G75" s="477"/>
      <c r="H75" s="151"/>
      <c r="I75" s="478" t="s">
        <v>482</v>
      </c>
    </row>
    <row r="76" spans="1:9" ht="12.75">
      <c r="A76" s="152" t="s">
        <v>357</v>
      </c>
      <c r="B76" s="125">
        <v>19</v>
      </c>
      <c r="C76" s="261">
        <f>IF(C75&gt;0,'Tax Rates'!C22,0)</f>
        <v>10000000</v>
      </c>
      <c r="D76" s="18"/>
      <c r="E76" s="268">
        <f>+G76-C76</f>
        <v>-10000000</v>
      </c>
      <c r="F76" s="6"/>
      <c r="G76" s="268"/>
      <c r="H76" s="151"/>
      <c r="I76" s="478" t="s">
        <v>482</v>
      </c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-15588188</v>
      </c>
      <c r="F77" s="114"/>
      <c r="G77" s="265">
        <f>G75-G76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5">
        <f>IF(C77&gt;0,C77*C79,0)*REGINFO!$B$6/REGINFO!$B$7</f>
        <v>0</v>
      </c>
      <c r="D81" s="102"/>
      <c r="E81" s="268">
        <f>+G81-C81</f>
        <v>0</v>
      </c>
      <c r="F81" s="6"/>
      <c r="G81" s="265">
        <f>G77*G79*B9/B10</f>
        <v>0</v>
      </c>
      <c r="H81" s="151"/>
    </row>
    <row r="82" spans="1:8" ht="12.75">
      <c r="A82" s="152" t="s">
        <v>314</v>
      </c>
      <c r="B82" s="125">
        <v>21</v>
      </c>
      <c r="C82" s="301">
        <f>IF(C77&gt;0,IF(C60&gt;0,C50*'Tax Rates'!C20,0),0)</f>
        <v>0</v>
      </c>
      <c r="D82" s="102"/>
      <c r="E82" s="268">
        <f>+G82-C82</f>
        <v>0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0</v>
      </c>
      <c r="F84" s="103"/>
      <c r="G84" s="265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5">
        <f>C60/(1-C88)</f>
        <v>38352.72988542525</v>
      </c>
      <c r="D90" s="20"/>
      <c r="E90" s="139"/>
      <c r="F90" s="432" t="s">
        <v>470</v>
      </c>
      <c r="G90" s="271">
        <f>TAXREC!E156</f>
        <v>1201</v>
      </c>
      <c r="H90" s="151"/>
    </row>
    <row r="91" spans="1:8" ht="12.75">
      <c r="A91" s="158" t="s">
        <v>367</v>
      </c>
      <c r="B91" s="127">
        <v>23</v>
      </c>
      <c r="C91" s="265">
        <f>C84/(1-C88)</f>
        <v>0</v>
      </c>
      <c r="D91" s="20"/>
      <c r="E91" s="139"/>
      <c r="F91" s="432" t="s">
        <v>470</v>
      </c>
      <c r="G91" s="271">
        <f>TAXREC!E158</f>
        <v>0</v>
      </c>
      <c r="H91" s="151"/>
    </row>
    <row r="92" spans="1:8" ht="12.75">
      <c r="A92" s="158" t="s">
        <v>345</v>
      </c>
      <c r="B92" s="127">
        <v>24</v>
      </c>
      <c r="C92" s="265">
        <f>C72</f>
        <v>444.76681643835616</v>
      </c>
      <c r="D92" s="20"/>
      <c r="E92" s="139"/>
      <c r="F92" s="432" t="s">
        <v>470</v>
      </c>
      <c r="G92" s="271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471</v>
      </c>
      <c r="B95" s="125">
        <v>25</v>
      </c>
      <c r="C95" s="270">
        <v>39439</v>
      </c>
      <c r="D95" s="6"/>
      <c r="E95" s="139"/>
      <c r="F95" s="432" t="s">
        <v>470</v>
      </c>
      <c r="G95" s="415">
        <f>SUM(G90:G94)</f>
        <v>1201</v>
      </c>
      <c r="H95" s="164"/>
    </row>
    <row r="96" spans="1:8" ht="12.75">
      <c r="A96" s="405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360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316</v>
      </c>
      <c r="B112" s="127">
        <v>11</v>
      </c>
      <c r="C112" s="112"/>
      <c r="D112" s="3"/>
      <c r="E112" s="474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489</v>
      </c>
      <c r="B122" s="127"/>
      <c r="C122" s="112"/>
      <c r="D122" s="3" t="s">
        <v>231</v>
      </c>
      <c r="E122" s="471">
        <v>0.1912</v>
      </c>
      <c r="F122" s="472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v>0.18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482" t="s">
        <v>349</v>
      </c>
      <c r="B132" s="130"/>
      <c r="C132" s="112"/>
      <c r="D132" s="3"/>
      <c r="E132" s="483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352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75311.63254172016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v>0.1912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14399.584141976895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14399.584141976895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491</v>
      </c>
      <c r="B146" s="130"/>
      <c r="C146" s="112"/>
      <c r="D146" s="118" t="s">
        <v>188</v>
      </c>
      <c r="E146" s="303">
        <f>C60</f>
        <v>25696.329023234917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-11296.744881258022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305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5588188</v>
      </c>
      <c r="F151" s="37"/>
      <c r="G151" s="201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588188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356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444.76681643835616</v>
      </c>
      <c r="F157" s="37"/>
      <c r="G157" s="201"/>
      <c r="H157" s="164"/>
    </row>
    <row r="158" spans="1:8" ht="25.5">
      <c r="A158" s="171" t="s">
        <v>492</v>
      </c>
      <c r="B158" s="130"/>
      <c r="C158" s="112"/>
      <c r="D158" s="118" t="s">
        <v>188</v>
      </c>
      <c r="E158" s="306">
        <f>C72</f>
        <v>444.76681643835616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76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5588188</v>
      </c>
      <c r="F162" s="37"/>
      <c r="G162" s="201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-4411812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305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IF(E164&gt;0,E164*E166*B9/B10,0)</f>
        <v>0</v>
      </c>
      <c r="F168" s="37"/>
      <c r="G168" s="201"/>
      <c r="H168" s="164"/>
    </row>
    <row r="169" spans="1:8" ht="12.75">
      <c r="A169" s="171" t="s">
        <v>315</v>
      </c>
      <c r="B169" s="130"/>
      <c r="C169" s="112"/>
      <c r="D169" s="118" t="s">
        <v>188</v>
      </c>
      <c r="E169" s="308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493</v>
      </c>
      <c r="B172" s="130"/>
      <c r="C172" s="112"/>
      <c r="D172" s="118" t="s">
        <v>188</v>
      </c>
      <c r="E172" s="306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76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471">
        <f>IF((E120+G50)&gt;'Tax Rates'!E47,'Tax Rates'!F52-1.12%,IF((E120+G50)&gt;'Tax Rates'!D47,'Tax Rates'!E52-1.12%,IF((E120+G50)&gt;'Tax Rates'!C47,'Tax Rates'!D52,'Tax Rates'!C52-1.12%)))</f>
        <v>0.18</v>
      </c>
      <c r="F175" s="472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-13776.518147875637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482" t="s">
        <v>350</v>
      </c>
      <c r="B181" s="130"/>
      <c r="C181" s="112"/>
      <c r="D181" s="119" t="s">
        <v>189</v>
      </c>
      <c r="E181" s="484">
        <f>SUM(E177:E179)</f>
        <v>-13776.518147875637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494</v>
      </c>
      <c r="B183" s="130"/>
      <c r="C183" s="112"/>
      <c r="D183" s="119" t="s">
        <v>187</v>
      </c>
      <c r="E183" s="303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351</v>
      </c>
      <c r="B185" s="130"/>
      <c r="C185" s="112"/>
      <c r="D185" s="119" t="s">
        <v>189</v>
      </c>
      <c r="E185" s="303">
        <f>E181+E183</f>
        <v>-13776.518147875637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202571.81499999997</v>
      </c>
      <c r="F193" s="3"/>
      <c r="G193" s="123"/>
      <c r="H193" s="164"/>
    </row>
    <row r="194" spans="1:8" ht="12.75">
      <c r="A194" s="155" t="s">
        <v>495</v>
      </c>
      <c r="B194" s="127"/>
      <c r="C194" s="112"/>
      <c r="D194" s="120"/>
      <c r="E194" s="309">
        <f>REGINFO!D64</f>
        <v>162071.46983311936</v>
      </c>
      <c r="F194" s="481" t="s">
        <v>498</v>
      </c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40500.34516688061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253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155" t="s">
        <v>497</v>
      </c>
      <c r="B201" s="127"/>
      <c r="C201" s="112"/>
      <c r="D201" s="120"/>
      <c r="E201" s="309">
        <f>G37+G42</f>
        <v>0</v>
      </c>
      <c r="F201" s="3"/>
      <c r="G201" s="123"/>
      <c r="H201" s="164"/>
    </row>
    <row r="202" spans="1:8" ht="12.75">
      <c r="A202" s="155" t="s">
        <v>342</v>
      </c>
      <c r="B202" s="127"/>
      <c r="C202" s="112"/>
      <c r="D202" s="120"/>
      <c r="E202" s="309">
        <f>REGINFO!D62</f>
        <v>202571.81499999997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490</v>
      </c>
      <c r="B206" s="127"/>
      <c r="C206" s="112"/>
      <c r="D206" s="120"/>
      <c r="E206" s="473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40500.34516688061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15748031496062992" bottom="0.2362204724409449" header="0.5118110236220472" footer="0"/>
  <pageSetup fitToHeight="2" fitToWidth="1" horizontalDpi="600" verticalDpi="600" orientation="portrait" scale="49" r:id="rId1"/>
  <headerFooter alignWithMargins="0">
    <oddHeader>&amp;CPage &amp;P&amp;RSioux Lookout_HaltonModel_PILs-2001Q4_20111014_REVISED20120126</oddHeader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39">
      <selection activeCell="D143" sqref="D14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Sioux Lookout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7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Ratebase*REGINFO!D33*0.25%</f>
        <v>6985.235000000001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5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322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255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320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321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270</v>
      </c>
      <c r="B31" s="23" t="s">
        <v>187</v>
      </c>
      <c r="C31" s="286">
        <v>1799447</v>
      </c>
      <c r="D31" s="287"/>
      <c r="E31" s="285">
        <f>C31-D31</f>
        <v>1799447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/>
      <c r="D32" s="287"/>
      <c r="E32" s="285">
        <f>C32-D32</f>
        <v>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73571</v>
      </c>
      <c r="D33" s="287"/>
      <c r="E33" s="285">
        <f>C33-D33</f>
        <v>73571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1792588</v>
      </c>
      <c r="D39" s="287"/>
      <c r="E39" s="285">
        <f>C39-D39</f>
        <v>1792588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v>137711</v>
      </c>
      <c r="D40" s="287"/>
      <c r="E40" s="285">
        <f aca="true" t="shared" si="0" ref="E40:E48">C40-D40</f>
        <v>137711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286">
        <v>99807</v>
      </c>
      <c r="D42" s="287"/>
      <c r="E42" s="285">
        <f t="shared" si="0"/>
        <v>99807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286">
        <v>61376</v>
      </c>
      <c r="D43" s="287"/>
      <c r="E43" s="285">
        <f t="shared" si="0"/>
        <v>61376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286"/>
      <c r="D44" s="287"/>
      <c r="E44" s="285">
        <f t="shared" si="0"/>
        <v>0</v>
      </c>
      <c r="F44" s="11"/>
      <c r="G44" s="11"/>
      <c r="H44" s="6"/>
      <c r="I44" s="6"/>
    </row>
    <row r="45" spans="2:11" ht="12.75">
      <c r="B45" s="23" t="s">
        <v>188</v>
      </c>
      <c r="C45" s="2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-218464</v>
      </c>
      <c r="D50" s="282">
        <f>SUM(D31:D36)-SUM(D39:D49)</f>
        <v>0</v>
      </c>
      <c r="E50" s="282">
        <f>SUM(E31:E35)-SUM(E39:E48)</f>
        <v>-218464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/>
      <c r="D51" s="286"/>
      <c r="E51" s="283">
        <f>+C51-D51</f>
        <v>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/>
      <c r="D52" s="286"/>
      <c r="E52" s="284">
        <f>+C52-D52</f>
        <v>0</v>
      </c>
      <c r="F52" s="8"/>
    </row>
    <row r="53" spans="1:6" ht="12.75">
      <c r="A53" s="2" t="s">
        <v>131</v>
      </c>
      <c r="B53" s="8" t="s">
        <v>189</v>
      </c>
      <c r="C53" s="282">
        <f>C50-C51-C52</f>
        <v>-218464</v>
      </c>
      <c r="D53" s="282">
        <f>D50-D51-D52</f>
        <v>0</v>
      </c>
      <c r="E53" s="282">
        <f>E50-E51-E52</f>
        <v>-218464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0</v>
      </c>
      <c r="D59" s="288">
        <f>D52</f>
        <v>0</v>
      </c>
      <c r="E59" s="273">
        <f>+C59-D59</f>
        <v>0</v>
      </c>
      <c r="F59" s="8"/>
    </row>
    <row r="60" spans="1:6" ht="12.75">
      <c r="A60" s="4" t="s">
        <v>323</v>
      </c>
      <c r="B60" s="8" t="s">
        <v>187</v>
      </c>
      <c r="C60" s="319"/>
      <c r="D60" s="319"/>
      <c r="E60" s="273">
        <f>+C60-D60</f>
        <v>0</v>
      </c>
      <c r="F60" s="8"/>
    </row>
    <row r="61" spans="1:6" ht="12.75">
      <c r="A61" t="s">
        <v>4</v>
      </c>
      <c r="B61" s="8" t="s">
        <v>187</v>
      </c>
      <c r="C61" s="288">
        <f>C43</f>
        <v>61376</v>
      </c>
      <c r="D61" s="288">
        <f>D43</f>
        <v>0</v>
      </c>
      <c r="E61" s="273">
        <f>+C61-D61</f>
        <v>61376</v>
      </c>
      <c r="F61" s="8"/>
    </row>
    <row r="62" spans="1:6" ht="12.75">
      <c r="A62" t="s">
        <v>6</v>
      </c>
      <c r="B62" s="8" t="s">
        <v>187</v>
      </c>
      <c r="C62" s="319"/>
      <c r="D62" s="288">
        <v>0</v>
      </c>
      <c r="E62" s="273">
        <f>+C62-D62</f>
        <v>0</v>
      </c>
      <c r="F62" s="8"/>
    </row>
    <row r="63" spans="1:6" ht="12.75">
      <c r="A63" s="31" t="s">
        <v>275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439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9" t="s">
        <v>390</v>
      </c>
      <c r="B66" s="8"/>
      <c r="C66" s="448">
        <f>'TAXREC 3'!C47</f>
        <v>0</v>
      </c>
      <c r="D66" s="448">
        <f>'TAXREC 3'!D47</f>
        <v>0</v>
      </c>
      <c r="E66" s="273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541</v>
      </c>
      <c r="D68" s="251">
        <f>'TAXREC 2'!D78</f>
        <v>0</v>
      </c>
      <c r="E68" s="273">
        <f>+C68-D68</f>
        <v>541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61917</v>
      </c>
      <c r="D70" s="273">
        <f>SUM(D59:D68)</f>
        <v>0</v>
      </c>
      <c r="E70" s="273">
        <f>SUM(E59:E68)</f>
        <v>61917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5"/>
      <c r="D76" s="295"/>
      <c r="E76" s="273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61917</v>
      </c>
      <c r="D82" s="251">
        <f>D70+D80</f>
        <v>0</v>
      </c>
      <c r="E82" s="251">
        <f>E70+E80</f>
        <v>61917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427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/>
      <c r="D97" s="295"/>
      <c r="E97" s="273">
        <f>+C97-D97</f>
        <v>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/>
      <c r="D98" s="295"/>
      <c r="E98" s="273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20">
        <f>'Tax Reserves'!C50</f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9" t="s">
        <v>390</v>
      </c>
      <c r="B108" s="8"/>
      <c r="C108" s="254">
        <f>'TAXREC 3'!C73</f>
        <v>0</v>
      </c>
      <c r="D108" s="254">
        <f>'TAXREC 3'!D73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0</v>
      </c>
      <c r="D113" s="251">
        <f>SUM(D97:D111)</f>
        <v>0</v>
      </c>
      <c r="E113" s="251">
        <f>SUM(E97:E111)</f>
        <v>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0</v>
      </c>
      <c r="D122" s="251">
        <f>D113+D120</f>
        <v>0</v>
      </c>
      <c r="E122" s="251">
        <f>+E113+E120</f>
        <v>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-156547</v>
      </c>
      <c r="D134" s="251">
        <f>D53+D82-D122</f>
        <v>0</v>
      </c>
      <c r="E134" s="251">
        <f>E53+E82-E122</f>
        <v>-156547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95"/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-156547</v>
      </c>
      <c r="D139" s="252">
        <f>D134-D136-D137-D138</f>
        <v>0</v>
      </c>
      <c r="E139" s="252">
        <f>E134-E136-E137-E138</f>
        <v>-156547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187</v>
      </c>
      <c r="C142" s="299">
        <v>0</v>
      </c>
      <c r="D142" s="299"/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187</v>
      </c>
      <c r="C143" s="299">
        <v>1201</v>
      </c>
      <c r="D143" s="299"/>
      <c r="E143" s="293">
        <f>C143-D143</f>
        <v>1201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1201</v>
      </c>
      <c r="D144" s="252">
        <f>D142+D143</f>
        <v>0</v>
      </c>
      <c r="E144" s="252">
        <f>E142+E143</f>
        <v>1201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1201</v>
      </c>
      <c r="D146" s="252">
        <f>D144-D145</f>
        <v>0</v>
      </c>
      <c r="E146" s="252">
        <f>E144-E145</f>
        <v>1201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6">
        <v>0.1312</v>
      </c>
      <c r="D149" s="5"/>
      <c r="E149" s="407">
        <f>C149</f>
        <v>0.1312</v>
      </c>
      <c r="F149" s="8"/>
      <c r="G149" s="45" t="s">
        <v>465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06">
        <v>0.06</v>
      </c>
      <c r="D150" s="5"/>
      <c r="E150" s="407">
        <f>C150</f>
        <v>0.06</v>
      </c>
      <c r="F150" s="8"/>
      <c r="G150" s="45" t="s">
        <v>466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7">
        <f>SUM(C149:C150)</f>
        <v>0.1912</v>
      </c>
      <c r="D151" s="5"/>
      <c r="E151" s="407">
        <f>SUM(E149:E150)</f>
        <v>0.1912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331</v>
      </c>
      <c r="B155" s="8"/>
    </row>
    <row r="156" spans="1:5" ht="12.75">
      <c r="A156" t="s">
        <v>219</v>
      </c>
      <c r="B156" s="86" t="s">
        <v>187</v>
      </c>
      <c r="C156" s="251">
        <f>C146</f>
        <v>1201</v>
      </c>
      <c r="D156" s="251">
        <f>D146</f>
        <v>0</v>
      </c>
      <c r="E156" s="251">
        <f>E146</f>
        <v>1201</v>
      </c>
    </row>
    <row r="157" spans="1:5" ht="12.75">
      <c r="A157" t="s">
        <v>20</v>
      </c>
      <c r="B157" s="86" t="s">
        <v>187</v>
      </c>
      <c r="C157" s="251"/>
      <c r="D157" s="251"/>
      <c r="E157" s="251">
        <f>C157+D157</f>
        <v>0</v>
      </c>
    </row>
    <row r="158" spans="1:5" ht="12.75">
      <c r="A158" t="s">
        <v>218</v>
      </c>
      <c r="B158" s="86" t="s">
        <v>187</v>
      </c>
      <c r="C158" s="251"/>
      <c r="D158" s="251"/>
      <c r="E158" s="251">
        <f>C158+D158</f>
        <v>0</v>
      </c>
    </row>
    <row r="159" ht="12.75">
      <c r="B159" s="8"/>
    </row>
    <row r="160" spans="1:5" ht="12.75">
      <c r="A160" s="2" t="s">
        <v>299</v>
      </c>
      <c r="B160" s="66" t="s">
        <v>189</v>
      </c>
      <c r="C160" s="251">
        <f>C156+C157+C158</f>
        <v>1201</v>
      </c>
      <c r="D160" s="251">
        <f>D156+D157+D158</f>
        <v>0</v>
      </c>
      <c r="E160" s="251">
        <f>E156+E157+E158</f>
        <v>1201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5905511811023623" bottom="0.2362204724409449" header="0.2362204724409449" footer="0"/>
  <pageSetup fitToHeight="2" fitToWidth="1" horizontalDpi="600" verticalDpi="600" orientation="portrait" scale="65" r:id="rId1"/>
  <headerFooter alignWithMargins="0">
    <oddHeader>&amp;CPage &amp;P&amp;RSioux Lookout_HaltonModel_PILs-2001Q4_20111014_REVISED20120126</oddHeader>
    <oddFooter>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Sioux Lookout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269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277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278</v>
      </c>
      <c r="B15" s="61"/>
      <c r="C15" s="295"/>
      <c r="D15" s="295"/>
      <c r="E15" s="251">
        <f t="shared" si="0"/>
        <v>0</v>
      </c>
    </row>
    <row r="16" spans="1:5" ht="12.75">
      <c r="A16" s="61" t="s">
        <v>279</v>
      </c>
      <c r="B16" s="61"/>
      <c r="C16" s="295"/>
      <c r="D16" s="295"/>
      <c r="E16" s="251">
        <f t="shared" si="0"/>
        <v>0</v>
      </c>
    </row>
    <row r="17" spans="1:5" ht="12.75">
      <c r="A17" s="61" t="s">
        <v>280</v>
      </c>
      <c r="B17" s="61"/>
      <c r="C17" s="295"/>
      <c r="D17" s="295"/>
      <c r="E17" s="251">
        <f t="shared" si="0"/>
        <v>0</v>
      </c>
    </row>
    <row r="18" spans="1:5" ht="12.75">
      <c r="A18" s="61" t="s">
        <v>444</v>
      </c>
      <c r="B18" s="61"/>
      <c r="C18" s="295"/>
      <c r="D18" s="295"/>
      <c r="E18" s="251">
        <f t="shared" si="0"/>
        <v>0</v>
      </c>
    </row>
    <row r="19" spans="1:5" ht="12.75">
      <c r="A19" s="61" t="s">
        <v>444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268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277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278</v>
      </c>
      <c r="B27" s="61"/>
      <c r="C27" s="295"/>
      <c r="D27" s="295"/>
      <c r="E27" s="251">
        <f t="shared" si="1"/>
        <v>0</v>
      </c>
    </row>
    <row r="28" spans="1:5" ht="12.75">
      <c r="A28" s="61" t="s">
        <v>279</v>
      </c>
      <c r="B28" s="61"/>
      <c r="C28" s="295"/>
      <c r="D28" s="295"/>
      <c r="E28" s="251">
        <f t="shared" si="1"/>
        <v>0</v>
      </c>
    </row>
    <row r="29" spans="1:5" ht="12.75">
      <c r="A29" s="61" t="s">
        <v>280</v>
      </c>
      <c r="B29" s="61"/>
      <c r="C29" s="295"/>
      <c r="D29" s="295"/>
      <c r="E29" s="251">
        <f t="shared" si="1"/>
        <v>0</v>
      </c>
    </row>
    <row r="30" spans="1:5" ht="12.75">
      <c r="A30" s="61" t="s">
        <v>444</v>
      </c>
      <c r="B30" s="61"/>
      <c r="C30" s="295"/>
      <c r="D30" s="295"/>
      <c r="E30" s="251">
        <f t="shared" si="1"/>
        <v>0</v>
      </c>
    </row>
    <row r="31" spans="1:5" ht="12.75">
      <c r="A31" s="61" t="s">
        <v>444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269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263</v>
      </c>
      <c r="B43" s="61"/>
      <c r="C43" s="295"/>
      <c r="D43" s="295"/>
      <c r="E43" s="251">
        <f t="shared" si="2"/>
        <v>0</v>
      </c>
    </row>
    <row r="44" spans="1:5" ht="12.75">
      <c r="A44" s="61" t="s">
        <v>264</v>
      </c>
      <c r="B44" s="61"/>
      <c r="C44" s="295"/>
      <c r="D44" s="295"/>
      <c r="E44" s="251">
        <f t="shared" si="2"/>
        <v>0</v>
      </c>
    </row>
    <row r="45" spans="1:5" ht="12.75">
      <c r="A45" s="61" t="s">
        <v>265</v>
      </c>
      <c r="B45" s="61"/>
      <c r="C45" s="295"/>
      <c r="D45" s="295"/>
      <c r="E45" s="251">
        <f t="shared" si="2"/>
        <v>0</v>
      </c>
    </row>
    <row r="46" spans="1:5" ht="12.75">
      <c r="A46" s="61" t="s">
        <v>266</v>
      </c>
      <c r="B46" s="61"/>
      <c r="C46" s="295"/>
      <c r="D46" s="295"/>
      <c r="E46" s="251">
        <f t="shared" si="2"/>
        <v>0</v>
      </c>
    </row>
    <row r="47" spans="1:5" ht="12.75">
      <c r="A47" s="61" t="s">
        <v>444</v>
      </c>
      <c r="B47" s="61"/>
      <c r="C47" s="295"/>
      <c r="D47" s="295"/>
      <c r="E47" s="251">
        <f t="shared" si="2"/>
        <v>0</v>
      </c>
    </row>
    <row r="48" spans="1:5" ht="12.75">
      <c r="A48" s="61" t="s">
        <v>444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268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263</v>
      </c>
      <c r="B55" s="61"/>
      <c r="C55" s="295"/>
      <c r="D55" s="295"/>
      <c r="E55" s="251">
        <f t="shared" si="3"/>
        <v>0</v>
      </c>
    </row>
    <row r="56" spans="1:5" ht="12.75">
      <c r="A56" s="246" t="s">
        <v>264</v>
      </c>
      <c r="B56" s="61"/>
      <c r="C56" s="295"/>
      <c r="D56" s="295"/>
      <c r="E56" s="251">
        <f t="shared" si="3"/>
        <v>0</v>
      </c>
    </row>
    <row r="57" spans="1:5" ht="12.75">
      <c r="A57" s="246" t="s">
        <v>265</v>
      </c>
      <c r="B57" s="61"/>
      <c r="C57" s="295"/>
      <c r="D57" s="295"/>
      <c r="E57" s="251">
        <f t="shared" si="3"/>
        <v>0</v>
      </c>
    </row>
    <row r="58" spans="1:5" ht="12.75">
      <c r="A58" s="246" t="s">
        <v>266</v>
      </c>
      <c r="B58" s="61"/>
      <c r="C58" s="295"/>
      <c r="D58" s="295"/>
      <c r="E58" s="251">
        <f t="shared" si="3"/>
        <v>0</v>
      </c>
    </row>
    <row r="59" spans="1:5" ht="12.75">
      <c r="A59" s="61" t="s">
        <v>444</v>
      </c>
      <c r="B59" s="61"/>
      <c r="C59" s="295"/>
      <c r="D59" s="295"/>
      <c r="E59" s="251">
        <f t="shared" si="3"/>
        <v>0</v>
      </c>
    </row>
    <row r="60" spans="1:5" ht="12.75">
      <c r="A60" s="61" t="s">
        <v>444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086614173228347" bottom="0.2362204724409449" header="0.1968503937007874" footer="0"/>
  <pageSetup fitToHeight="1" fitToWidth="1" horizontalDpi="600" verticalDpi="600" orientation="portrait" scale="90" r:id="rId1"/>
  <headerFooter alignWithMargins="0">
    <oddHeader>&amp;CPage &amp;P&amp;RSioux Lookout_HaltonModel_PILs-2001Q4_20111014_REVISED20120126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2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22" sqref="D2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463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462</v>
      </c>
      <c r="B5" s="8"/>
      <c r="C5" s="8" t="s">
        <v>2</v>
      </c>
      <c r="D5" s="8"/>
      <c r="E5" s="8"/>
      <c r="F5" s="8"/>
    </row>
    <row r="6" spans="1:6" ht="12.75">
      <c r="A6" s="417" t="s">
        <v>441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Sioux Lookout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92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6985.235000000001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249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445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503</v>
      </c>
      <c r="B22" t="s">
        <v>187</v>
      </c>
      <c r="C22" s="296">
        <v>541</v>
      </c>
      <c r="D22" s="296"/>
      <c r="E22" s="314">
        <f t="shared" si="0"/>
        <v>541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250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/>
      <c r="B36" t="s">
        <v>187</v>
      </c>
      <c r="C36" s="296"/>
      <c r="D36" s="296"/>
      <c r="E36" s="314">
        <f t="shared" si="0"/>
        <v>0</v>
      </c>
    </row>
    <row r="37" spans="1:5" ht="12.75">
      <c r="A37" s="67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541</v>
      </c>
      <c r="D46" s="251">
        <f>SUM(D17:D45)</f>
        <v>0</v>
      </c>
      <c r="E46" s="251">
        <f>SUM(E17:E45)</f>
        <v>541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541</v>
      </c>
      <c r="D78" s="316">
        <f>D46-D77</f>
        <v>0</v>
      </c>
      <c r="E78" s="316">
        <f>E46-E77</f>
        <v>541</v>
      </c>
    </row>
    <row r="79" spans="1:5" ht="12.75">
      <c r="A79" s="277" t="s">
        <v>170</v>
      </c>
      <c r="B79" s="278"/>
      <c r="C79" s="316">
        <f>C77+C78</f>
        <v>541</v>
      </c>
      <c r="D79" s="316">
        <f>D77+D78</f>
        <v>0</v>
      </c>
      <c r="E79" s="316">
        <f>E77+E78</f>
        <v>541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251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374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/>
      <c r="B96" s="8" t="s">
        <v>188</v>
      </c>
      <c r="C96" s="295"/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5905511811023623" bottom="0.2362204724409449" header="0.15748031496062992" footer="0"/>
  <pageSetup fitToHeight="2" fitToWidth="1" horizontalDpi="600" verticalDpi="600" orientation="portrait" scale="78" r:id="rId1"/>
  <headerFooter alignWithMargins="0">
    <oddHeader>&amp;CPage &amp;P&amp;RSioux Lookout_HaltonModel_PILs-2001Q4_20111014_REVISED20120126</oddHeader>
    <oddFooter>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2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32" sqref="C3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382</v>
      </c>
      <c r="E3" s="92"/>
    </row>
    <row r="4" spans="1:6" ht="15.75">
      <c r="A4" s="466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8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Sioux Lookout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92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385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449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388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389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450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433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387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386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428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429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446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447</v>
      </c>
      <c r="B35" t="s">
        <v>187</v>
      </c>
      <c r="C35" s="296"/>
      <c r="D35" s="296"/>
      <c r="E35" s="314"/>
    </row>
    <row r="36" spans="1:5" ht="12.75">
      <c r="A36" s="67" t="s">
        <v>430</v>
      </c>
      <c r="B36" t="s">
        <v>187</v>
      </c>
      <c r="C36" s="296"/>
      <c r="D36" s="296"/>
      <c r="E36" s="314"/>
    </row>
    <row r="37" spans="1:5" ht="12.75">
      <c r="A37" s="67" t="s">
        <v>431</v>
      </c>
      <c r="B37" t="s">
        <v>187</v>
      </c>
      <c r="C37" s="296"/>
      <c r="D37" s="296"/>
      <c r="E37" s="314"/>
    </row>
    <row r="38" spans="1:5" ht="12.75">
      <c r="A38" s="81" t="s">
        <v>486</v>
      </c>
      <c r="B38" t="s">
        <v>187</v>
      </c>
      <c r="C38" s="296"/>
      <c r="D38" s="296"/>
      <c r="E38" s="314"/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384</v>
      </c>
      <c r="B40" t="s">
        <v>187</v>
      </c>
      <c r="C40" s="296"/>
      <c r="D40" s="296"/>
      <c r="E40" s="314">
        <f t="shared" si="0"/>
        <v>0</v>
      </c>
    </row>
    <row r="41" spans="1:5" ht="12.75">
      <c r="A41" s="67" t="s">
        <v>453</v>
      </c>
      <c r="B41" t="s">
        <v>187</v>
      </c>
      <c r="C41" s="296"/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t="s">
        <v>485</v>
      </c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1" t="s">
        <v>392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449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386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432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440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452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448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451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1:5" ht="12.75">
      <c r="A60" s="470" t="s">
        <v>487</v>
      </c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1:5" ht="12.75">
      <c r="A62" s="470" t="s">
        <v>384</v>
      </c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2:5" ht="12.75"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2:5" ht="12.75"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 t="s">
        <v>488</v>
      </c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50" t="s">
        <v>391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5905511811023623" bottom="0.2362204724409449" header="0.1968503937007874" footer="0"/>
  <pageSetup fitToHeight="1" fitToWidth="1" horizontalDpi="600" verticalDpi="600" orientation="portrait" scale="71" r:id="rId1"/>
  <headerFooter alignWithMargins="0">
    <oddHeader>&amp;CPage &amp;P&amp;RSioux Lookout_HaltonModel_PILs-2001Q4_20111014_REVISED20120126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3">
      <selection activeCell="A59" sqref="A59:F60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EB-2008-381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303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Sioux Lookout Hydro Inc.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3" t="s">
        <v>478</v>
      </c>
      <c r="B8" s="494"/>
      <c r="C8" s="494"/>
      <c r="D8" s="494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50000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464</v>
      </c>
      <c r="B10" s="328"/>
      <c r="C10" s="377" t="s">
        <v>111</v>
      </c>
      <c r="D10" s="377"/>
      <c r="E10" s="377" t="s">
        <v>111</v>
      </c>
      <c r="F10" s="378" t="s">
        <v>473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50000</v>
      </c>
      <c r="D11" s="379"/>
      <c r="E11" s="379">
        <v>175000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296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295</v>
      </c>
      <c r="B14" s="245"/>
      <c r="C14" s="329">
        <v>0.1312</v>
      </c>
      <c r="D14" s="329"/>
      <c r="E14" s="330">
        <v>0.2812</v>
      </c>
      <c r="F14" s="330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300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256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328</v>
      </c>
      <c r="B21" s="408" t="s">
        <v>474</v>
      </c>
      <c r="C21" s="363"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329</v>
      </c>
      <c r="B22" s="409" t="s">
        <v>475</v>
      </c>
      <c r="C22" s="364"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87" t="s">
        <v>472</v>
      </c>
      <c r="B23" s="488"/>
      <c r="C23" s="488"/>
      <c r="D23" s="488"/>
      <c r="E23" s="488"/>
      <c r="F23" s="488"/>
      <c r="G23" s="440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493" t="s">
        <v>476</v>
      </c>
      <c r="B26" s="494"/>
      <c r="C26" s="494"/>
      <c r="D26" s="494"/>
      <c r="E26" s="494"/>
      <c r="F26" s="49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50000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436</v>
      </c>
      <c r="B28" s="328"/>
      <c r="C28" s="371" t="s">
        <v>111</v>
      </c>
      <c r="D28" s="371"/>
      <c r="E28" s="371" t="s">
        <v>111</v>
      </c>
      <c r="F28" s="372" t="s">
        <v>473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50000</v>
      </c>
      <c r="D29" s="373"/>
      <c r="E29" s="373">
        <v>175000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295</v>
      </c>
      <c r="B32" s="411">
        <v>2001</v>
      </c>
      <c r="C32" s="329">
        <v>0.1312</v>
      </c>
      <c r="D32" s="329"/>
      <c r="E32" s="330">
        <v>0.2812</v>
      </c>
      <c r="F32" s="330">
        <v>0.2812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2001</v>
      </c>
      <c r="C33" s="331">
        <v>0.06</v>
      </c>
      <c r="D33" s="331"/>
      <c r="E33" s="332">
        <v>0.06</v>
      </c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256</v>
      </c>
      <c r="B34" s="411">
        <v>2001</v>
      </c>
      <c r="C34" s="333">
        <f>SUM(C32:C33)</f>
        <v>0.1912</v>
      </c>
      <c r="D34" s="333"/>
      <c r="E34" s="334">
        <f>SUM(E32:E33)</f>
        <v>0.3412</v>
      </c>
      <c r="F34" s="334">
        <f>SUM(F32:F33)</f>
        <v>0.4062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2001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2001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2001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479</v>
      </c>
      <c r="B39" s="408" t="s">
        <v>474</v>
      </c>
      <c r="C39" s="363"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480</v>
      </c>
      <c r="B40" s="409" t="s">
        <v>475</v>
      </c>
      <c r="C40" s="364"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89" t="s">
        <v>332</v>
      </c>
      <c r="B41" s="488"/>
      <c r="C41" s="488"/>
      <c r="D41" s="488"/>
      <c r="E41" s="488"/>
      <c r="F41" s="488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0"/>
      <c r="B42" s="490"/>
      <c r="C42" s="490"/>
      <c r="D42" s="490"/>
      <c r="E42" s="490"/>
      <c r="F42" s="490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477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50000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473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50000</v>
      </c>
      <c r="D47" s="373"/>
      <c r="E47" s="373">
        <v>175000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295</v>
      </c>
      <c r="B50" s="245"/>
      <c r="C50" s="353">
        <v>0.1312</v>
      </c>
      <c r="D50" s="353"/>
      <c r="E50" s="354">
        <v>0.2212</v>
      </c>
      <c r="F50" s="354">
        <v>0.2812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0.0975</v>
      </c>
      <c r="F51" s="356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256</v>
      </c>
      <c r="B52" s="245"/>
      <c r="C52" s="333">
        <f>SUM(C50:C51)</f>
        <v>0.1912</v>
      </c>
      <c r="D52" s="333"/>
      <c r="E52" s="334">
        <f>SUM(E50:E51)</f>
        <v>0.3187</v>
      </c>
      <c r="F52" s="334">
        <f>SUM(F50:F51)</f>
        <v>0.4062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346</v>
      </c>
      <c r="B57" s="408" t="s">
        <v>474</v>
      </c>
      <c r="C57" s="363">
        <v>5000000</v>
      </c>
      <c r="D57" s="361"/>
      <c r="E57" s="362"/>
      <c r="F57" s="362"/>
      <c r="G57" s="194"/>
      <c r="H57" s="194">
        <v>29611572</v>
      </c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347</v>
      </c>
      <c r="B58" s="409" t="s">
        <v>475</v>
      </c>
      <c r="C58" s="364">
        <v>10000000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87" t="s">
        <v>348</v>
      </c>
      <c r="B59" s="491"/>
      <c r="C59" s="491"/>
      <c r="D59" s="491"/>
      <c r="E59" s="491"/>
      <c r="F59" s="491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492"/>
      <c r="B60" s="492"/>
      <c r="C60" s="492"/>
      <c r="D60" s="492"/>
      <c r="E60" s="492"/>
      <c r="F60" s="492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15748031496062992" bottom="0.984251968503937" header="0.5118110236220472" footer="0"/>
  <pageSetup fitToHeight="1" fitToWidth="1" horizontalDpi="600" verticalDpi="600" orientation="portrait" scale="73" r:id="rId1"/>
  <headerFooter alignWithMargins="0">
    <oddHeader>&amp;CPage &amp;P&amp;RSioux Lookout_HaltonModel_PILs-2001Q4_20111014_REVISED20120126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250"/>
  <sheetViews>
    <sheetView zoomScale="90" zoomScaleNormal="90" zoomScalePageLayoutView="0" workbookViewId="0" topLeftCell="A19">
      <selection activeCell="C33" sqref="C3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460</v>
      </c>
      <c r="H1" s="210"/>
    </row>
    <row r="2" spans="1:8" ht="12.75">
      <c r="A2" s="211" t="s">
        <v>459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461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496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Sioux Lookout Hydro Inc.</v>
      </c>
      <c r="B6" s="115"/>
      <c r="D6" s="137"/>
      <c r="E6" s="115"/>
      <c r="G6" s="115"/>
      <c r="H6" s="467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67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1">
        <f>REGINFO!B6</f>
        <v>92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252</v>
      </c>
      <c r="B10" s="431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f>REGINFO!E54/4</f>
        <v>87071.5</v>
      </c>
      <c r="D16" s="17"/>
      <c r="E16" s="268">
        <f>G16-C16</f>
        <v>-305535.5</v>
      </c>
      <c r="F16" s="3"/>
      <c r="G16" s="268">
        <f>TAXREC!E50</f>
        <v>-218464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f>TAXCALC!C20</f>
        <v>62374</v>
      </c>
      <c r="D20" s="18"/>
      <c r="E20" s="268">
        <f>G20-C20</f>
        <v>-998</v>
      </c>
      <c r="F20" s="6"/>
      <c r="G20" s="268">
        <f>TAXREC!E61</f>
        <v>61376</v>
      </c>
      <c r="H20" s="151"/>
    </row>
    <row r="21" spans="1:8" ht="12.75">
      <c r="A21" s="158" t="s">
        <v>56</v>
      </c>
      <c r="B21" s="127">
        <v>3</v>
      </c>
      <c r="C21" s="262">
        <f>TAXCALC!C21</f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260</v>
      </c>
      <c r="B22" s="127">
        <v>4</v>
      </c>
      <c r="C22" s="262">
        <f>TAXCALC!C22</f>
        <v>0</v>
      </c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259</v>
      </c>
      <c r="B23" s="127">
        <v>4</v>
      </c>
      <c r="C23" s="262">
        <f>TAXCALC!C23</f>
        <v>0</v>
      </c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261</v>
      </c>
      <c r="B24" s="127">
        <v>5</v>
      </c>
      <c r="C24" s="262">
        <f>TAXCALC!C24</f>
        <v>0</v>
      </c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>
        <f>TAXCALC!C26</f>
        <v>0</v>
      </c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>
        <f>TAXCALC!C27</f>
        <v>0</v>
      </c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>
        <f>TAXCALC!C28</f>
        <v>0</v>
      </c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>
        <f>TAXCALC!C29</f>
        <v>0</v>
      </c>
      <c r="D29" s="18"/>
      <c r="E29" s="268">
        <f>G29-C29</f>
        <v>541</v>
      </c>
      <c r="F29" s="6"/>
      <c r="G29" s="268">
        <f>TAXREC!E68</f>
        <v>541</v>
      </c>
      <c r="H29" s="151"/>
    </row>
    <row r="30" spans="1:8" ht="12.75">
      <c r="A30" s="405" t="s">
        <v>390</v>
      </c>
      <c r="B30" s="127"/>
      <c r="C30" s="260"/>
      <c r="D30" s="18"/>
      <c r="E30" s="268">
        <f>G30-C30</f>
        <v>0</v>
      </c>
      <c r="F30" s="6"/>
      <c r="G30" s="268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f>TAXCALC!C33</f>
        <v>33616</v>
      </c>
      <c r="D33" s="132"/>
      <c r="E33" s="268">
        <f aca="true" t="shared" si="0" ref="E33:E42">G33-C33</f>
        <v>-33616</v>
      </c>
      <c r="F33" s="6"/>
      <c r="G33" s="268">
        <f>TAXREC!E97+TAXREC!E98</f>
        <v>0</v>
      </c>
      <c r="H33" s="151"/>
    </row>
    <row r="34" spans="1:8" ht="12.75">
      <c r="A34" s="158" t="s">
        <v>57</v>
      </c>
      <c r="B34" s="127">
        <v>8</v>
      </c>
      <c r="C34" s="262">
        <f>TAXCALC!C34</f>
        <v>0</v>
      </c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f>TAXCALC!C35</f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262</v>
      </c>
      <c r="B36" s="127">
        <v>10</v>
      </c>
      <c r="C36" s="262">
        <f>TAXCALC!C36</f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REGINFO!D64/4</f>
        <v>40517.86745827984</v>
      </c>
      <c r="D37" s="132"/>
      <c r="E37" s="268">
        <f t="shared" si="0"/>
        <v>-40517.86745827984</v>
      </c>
      <c r="F37" s="6"/>
      <c r="G37" s="268">
        <f>TAXREC!E51</f>
        <v>0</v>
      </c>
      <c r="H37" s="151"/>
    </row>
    <row r="38" spans="1:8" ht="12.75">
      <c r="A38" s="155" t="s">
        <v>258</v>
      </c>
      <c r="B38" s="125">
        <v>4</v>
      </c>
      <c r="C38" s="262">
        <f>TAXCALC!C38</f>
        <v>0</v>
      </c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257</v>
      </c>
      <c r="B39" s="125">
        <v>4</v>
      </c>
      <c r="C39" s="262">
        <f>TAXCALC!C39</f>
        <v>0</v>
      </c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>
        <f>TAXCALC!C40</f>
        <v>0</v>
      </c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>
        <f>TAXCALC!C41</f>
        <v>0</v>
      </c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>
        <f>TAXCALC!C42</f>
        <v>0</v>
      </c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>
        <f>TAXCALC!C44</f>
        <v>0</v>
      </c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>
        <f>TAXCALC!C45</f>
        <v>0</v>
      </c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>
        <f>TAXCALC!C46</f>
        <v>0</v>
      </c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>
        <f>TAXCALC!C47</f>
        <v>0</v>
      </c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2.75">
      <c r="A48" s="405" t="s">
        <v>390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4">
        <f>C16+SUM(C20:C30)-SUM(C33:C48)</f>
        <v>75311.63254172016</v>
      </c>
      <c r="D50" s="102"/>
      <c r="E50" s="264">
        <f>E16+SUM(E20:E30)-SUM(E33:E48)</f>
        <v>-231858.63254172017</v>
      </c>
      <c r="F50" s="433" t="s">
        <v>364</v>
      </c>
      <c r="G50" s="264">
        <f>G16+SUM(G20:G30)-SUM(G33:G48)</f>
        <v>-156547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f>IF($C$50&gt;'Tax Rates'!$E$11,'Tax Rates'!$F$16,IF($C$50&gt;'Tax Rates'!$C$11,'Tax Rates'!$E$16,'Tax Rates'!$C$16))</f>
        <v>0.3412</v>
      </c>
      <c r="D53" s="102"/>
      <c r="E53" s="269">
        <f>+G53-C53</f>
        <v>-0.15</v>
      </c>
      <c r="F53" s="114"/>
      <c r="G53" s="475">
        <f>TAXREC!E151</f>
        <v>0.1912</v>
      </c>
      <c r="H53" s="151"/>
      <c r="I53" s="472" t="s">
        <v>481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25696.329023234917</v>
      </c>
      <c r="D55" s="102"/>
      <c r="E55" s="268">
        <f>G55-C55</f>
        <v>-24495.329023234917</v>
      </c>
      <c r="F55" s="433" t="s">
        <v>365</v>
      </c>
      <c r="G55" s="265">
        <f>TAXREC!E144</f>
        <v>1201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2">
        <f>TAXCALC!C58</f>
        <v>0</v>
      </c>
      <c r="D58" s="132"/>
      <c r="E58" s="268">
        <f>+G58-C58</f>
        <v>0</v>
      </c>
      <c r="F58" s="433" t="s">
        <v>365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25696.329023234917</v>
      </c>
      <c r="D60" s="133"/>
      <c r="E60" s="270">
        <f>+E55-E58</f>
        <v>-24495.329023234917</v>
      </c>
      <c r="F60" s="433" t="s">
        <v>365</v>
      </c>
      <c r="G60" s="270">
        <f>+G55-G58</f>
        <v>1201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5588188</v>
      </c>
      <c r="D66" s="102"/>
      <c r="E66" s="268">
        <f>G66-C66</f>
        <v>999894</v>
      </c>
      <c r="F66" s="6"/>
      <c r="G66" s="477">
        <f>TAXCALC!G66</f>
        <v>6588082</v>
      </c>
      <c r="H66" s="151"/>
      <c r="I66" s="478" t="s">
        <v>482</v>
      </c>
    </row>
    <row r="67" spans="1:10" ht="12.75">
      <c r="A67" s="152" t="s">
        <v>357</v>
      </c>
      <c r="B67" s="125">
        <v>16</v>
      </c>
      <c r="C67" s="261">
        <f>IF(C66&gt;0,'Tax Rates'!C21,0)</f>
        <v>5000000</v>
      </c>
      <c r="D67" s="102"/>
      <c r="E67" s="268">
        <f>G67-C67</f>
        <v>-5000000</v>
      </c>
      <c r="F67" s="6"/>
      <c r="G67" s="268">
        <f>'Tax Rates 2003'!C57</f>
        <v>0</v>
      </c>
      <c r="H67" s="151"/>
      <c r="I67" s="478" t="s">
        <v>482</v>
      </c>
      <c r="J67" s="479" t="s">
        <v>483</v>
      </c>
    </row>
    <row r="68" spans="1:8" ht="12.75">
      <c r="A68" s="152" t="s">
        <v>42</v>
      </c>
      <c r="B68" s="125"/>
      <c r="C68" s="265">
        <f>IF((C66-C67)&gt;0,C66-C67,0)</f>
        <v>588188</v>
      </c>
      <c r="D68" s="102"/>
      <c r="E68" s="268">
        <f>SUM(E66:E67)</f>
        <v>-4000106</v>
      </c>
      <c r="F68" s="114"/>
      <c r="G68" s="265">
        <f>G66-G67</f>
        <v>6588082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312</v>
      </c>
      <c r="B72" s="125"/>
      <c r="C72" s="265">
        <f>IF(C68&gt;0,C68*C70,0)*REGINFO!$B$6/REGINFO!$B$7</f>
        <v>444.76681643835616</v>
      </c>
      <c r="D72" s="101"/>
      <c r="E72" s="268">
        <f>+G72-C72</f>
        <v>4536.906147945206</v>
      </c>
      <c r="F72" s="480" t="s">
        <v>484</v>
      </c>
      <c r="G72" s="265">
        <f>IF(G68&gt;0,G68*G70,0)*REGINFO!$B$6/REGINFO!$B$7</f>
        <v>4981.6729643835615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5588188</v>
      </c>
      <c r="D75" s="102"/>
      <c r="E75" s="268">
        <f>+G75-C75</f>
        <v>-5588188</v>
      </c>
      <c r="F75" s="6"/>
      <c r="G75" s="477">
        <f>TAXCALC!G75</f>
        <v>0</v>
      </c>
      <c r="H75" s="151"/>
      <c r="I75" s="478" t="s">
        <v>482</v>
      </c>
    </row>
    <row r="76" spans="1:9" ht="12.75">
      <c r="A76" s="152" t="s">
        <v>357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268">
        <f>'Tax Rates 2003'!C58</f>
        <v>10000000</v>
      </c>
      <c r="H76" s="151"/>
      <c r="I76" s="478" t="s">
        <v>482</v>
      </c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-5588188</v>
      </c>
      <c r="F77" s="114"/>
      <c r="G77" s="265">
        <f>G75-G76</f>
        <v>-10000000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5">
        <f>IF(C77&gt;0,C77*C79,0)*REGINFO!$B$6/REGINFO!$B$7</f>
        <v>0</v>
      </c>
      <c r="D81" s="102"/>
      <c r="E81" s="268">
        <f>+G81-C81</f>
        <v>-5671.232876712329</v>
      </c>
      <c r="F81" s="6"/>
      <c r="G81" s="265">
        <f>G77*G79*B9/B10</f>
        <v>-5671.232876712329</v>
      </c>
      <c r="H81" s="151"/>
    </row>
    <row r="82" spans="1:8" ht="12.75">
      <c r="A82" s="152" t="s">
        <v>314</v>
      </c>
      <c r="B82" s="125">
        <v>21</v>
      </c>
      <c r="C82" s="301">
        <f>IF(C77&gt;0,IF(C60&gt;0,C50*'Tax Rates'!C20,0),0)</f>
        <v>0</v>
      </c>
      <c r="D82" s="102"/>
      <c r="E82" s="268">
        <f>+G82-C82</f>
        <v>0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-5671.232876712329</v>
      </c>
      <c r="F84" s="103"/>
      <c r="G84" s="265">
        <f>G81-G82</f>
        <v>-5671.232876712329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5">
        <f>C60/(1-C88)</f>
        <v>38352.72988542525</v>
      </c>
      <c r="D90" s="20"/>
      <c r="E90" s="139"/>
      <c r="F90" s="432" t="s">
        <v>470</v>
      </c>
      <c r="G90" s="271">
        <f>TAXREC!E156</f>
        <v>1201</v>
      </c>
      <c r="H90" s="151"/>
    </row>
    <row r="91" spans="1:8" ht="12.75">
      <c r="A91" s="158" t="s">
        <v>367</v>
      </c>
      <c r="B91" s="127">
        <v>23</v>
      </c>
      <c r="C91" s="265">
        <f>C84/(1-C88)</f>
        <v>0</v>
      </c>
      <c r="D91" s="20"/>
      <c r="E91" s="139"/>
      <c r="F91" s="432" t="s">
        <v>470</v>
      </c>
      <c r="G91" s="271">
        <f>TAXREC!E158</f>
        <v>0</v>
      </c>
      <c r="H91" s="151"/>
    </row>
    <row r="92" spans="1:8" ht="12.75">
      <c r="A92" s="158" t="s">
        <v>345</v>
      </c>
      <c r="B92" s="127">
        <v>24</v>
      </c>
      <c r="C92" s="265">
        <f>C72</f>
        <v>444.76681643835616</v>
      </c>
      <c r="D92" s="20"/>
      <c r="E92" s="139"/>
      <c r="F92" s="432" t="s">
        <v>470</v>
      </c>
      <c r="G92" s="271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471</v>
      </c>
      <c r="B95" s="125">
        <v>25</v>
      </c>
      <c r="C95" s="270">
        <f>SUM(C90:C93)</f>
        <v>38797.49670186361</v>
      </c>
      <c r="D95" s="6"/>
      <c r="E95" s="139"/>
      <c r="F95" s="432" t="s">
        <v>470</v>
      </c>
      <c r="G95" s="415">
        <f>SUM(G90:G94)</f>
        <v>1201</v>
      </c>
      <c r="H95" s="164"/>
    </row>
    <row r="96" spans="1:8" ht="12.75">
      <c r="A96" s="405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360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316</v>
      </c>
      <c r="B112" s="127">
        <v>11</v>
      </c>
      <c r="C112" s="112"/>
      <c r="D112" s="3"/>
      <c r="E112" s="474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489</v>
      </c>
      <c r="B122" s="127"/>
      <c r="C122" s="112"/>
      <c r="D122" s="3" t="s">
        <v>231</v>
      </c>
      <c r="E122" s="471">
        <f>IF((E120+G50)&gt;'Tax Rates'!$E$47,'Tax Rates'!$F$52-1.12%,IF((E120+G50)&gt;'Tax Rates'!$D$47,'Tax Rates'!$E$52-1.12%,IF((E120+G50)&gt;'Tax Rates'!$C$47,'Tax Rates'!$D$52-1.12%,'Tax Rates'!$C$52-1.12%)))</f>
        <v>0.18</v>
      </c>
      <c r="F122" s="472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IF((E120+C50)&gt;'Tax Rates 2003'!$E$29,'Tax Rates'!$F$34-1.12%,IF((E120+C50)&gt;'Tax Rates 2003'!$D$29,'Tax Rates 2003'!$E$34-1.12%,IF((E120+C50)&gt;'Tax Rates 2003'!$C$29,'Tax Rates 2003'!$D$342-1.12%,'Tax Rates 2003'!$C$34-1.12%)))</f>
        <v>0.33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349</v>
      </c>
      <c r="B132" s="130"/>
      <c r="C132" s="112"/>
      <c r="D132" s="3"/>
      <c r="E132" s="264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352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75311.63254172016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IF((E120+E136)&gt;'Tax Rates 2003'!E47,'Tax Rates 2003'!F52,IF((E120+E136)&gt;'Tax Rates 2003'!D47,'Tax Rates 2003'!E52,IF((E120+E136)&gt;'Tax Rates 2003'!C47,'Tax Rates 2003'!D52,'Tax Rates 2003'!C52)))</f>
        <v>0.3187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24001.817291046213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24001.817291046213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491</v>
      </c>
      <c r="B146" s="130"/>
      <c r="C146" s="112"/>
      <c r="D146" s="118" t="s">
        <v>188</v>
      </c>
      <c r="E146" s="303">
        <f>C60</f>
        <v>25696.329023234917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-1694.5117321887046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305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5588188</v>
      </c>
      <c r="F151" s="37"/>
      <c r="G151" s="201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6">
        <f>IF(E151&gt;0,'Tax Rates 2003'!C39,0)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588188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356</v>
      </c>
      <c r="B155" s="130"/>
      <c r="C155" s="112"/>
      <c r="D155" s="119" t="s">
        <v>231</v>
      </c>
      <c r="E155" s="307">
        <f>'Tax Rates 2003'!C54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444.76681643835616</v>
      </c>
      <c r="F157" s="37"/>
      <c r="G157" s="201"/>
      <c r="H157" s="164"/>
    </row>
    <row r="158" spans="1:8" ht="25.5">
      <c r="A158" s="171" t="s">
        <v>492</v>
      </c>
      <c r="B158" s="130"/>
      <c r="C158" s="112"/>
      <c r="D158" s="118" t="s">
        <v>188</v>
      </c>
      <c r="E158" s="306">
        <f>C72</f>
        <v>444.76681643835616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76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5588188</v>
      </c>
      <c r="F162" s="37"/>
      <c r="G162" s="201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6">
        <f>IF(E162&gt;0,'Tax Rates 2003'!C40,0)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-4411812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305</v>
      </c>
      <c r="B166" s="130"/>
      <c r="C166" s="112"/>
      <c r="D166" s="119"/>
      <c r="E166" s="307">
        <f>'Tax Rates 2003'!C55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IF(E164&gt;0,E164*E166*B9/B10,0)</f>
        <v>0</v>
      </c>
      <c r="F168" s="37"/>
      <c r="G168" s="201"/>
      <c r="H168" s="164"/>
    </row>
    <row r="169" spans="1:8" ht="12.75">
      <c r="A169" s="171" t="s">
        <v>315</v>
      </c>
      <c r="B169" s="130"/>
      <c r="C169" s="112"/>
      <c r="D169" s="118" t="s">
        <v>188</v>
      </c>
      <c r="E169" s="308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493</v>
      </c>
      <c r="B172" s="130"/>
      <c r="C172" s="112"/>
      <c r="D172" s="118" t="s">
        <v>188</v>
      </c>
      <c r="E172" s="306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76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471">
        <f>IF((E120+G50)&gt;'Tax Rates'!E47,'Tax Rates'!F52-1.12%,IF((E120+G50)&gt;'Tax Rates'!D47,'Tax Rates'!E52-1.12%,IF((E120+G50)&gt;'Tax Rates'!C47,'Tax Rates'!D52,'Tax Rates'!C52-1.12%)))</f>
        <v>0.18</v>
      </c>
      <c r="F175" s="472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-2066.477722181347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350</v>
      </c>
      <c r="B181" s="130"/>
      <c r="C181" s="112"/>
      <c r="D181" s="119" t="s">
        <v>189</v>
      </c>
      <c r="E181" s="303">
        <f>SUM(E177:E179)</f>
        <v>-2066.477722181347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494</v>
      </c>
      <c r="B183" s="130"/>
      <c r="C183" s="112"/>
      <c r="D183" s="119" t="s">
        <v>187</v>
      </c>
      <c r="E183" s="303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351</v>
      </c>
      <c r="B185" s="130"/>
      <c r="C185" s="112"/>
      <c r="D185" s="119" t="s">
        <v>189</v>
      </c>
      <c r="E185" s="303">
        <f>E181+E183</f>
        <v>-2066.477722181347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202571.81499999997</v>
      </c>
      <c r="F193" s="3"/>
      <c r="G193" s="123"/>
      <c r="H193" s="164"/>
    </row>
    <row r="194" spans="1:8" ht="12.75">
      <c r="A194" s="155" t="s">
        <v>495</v>
      </c>
      <c r="B194" s="127"/>
      <c r="C194" s="112"/>
      <c r="D194" s="120"/>
      <c r="E194" s="309">
        <f>REGINFO!D64</f>
        <v>162071.46983311936</v>
      </c>
      <c r="F194" s="481" t="s">
        <v>498</v>
      </c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40500.34516688061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253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155" t="s">
        <v>497</v>
      </c>
      <c r="B201" s="127"/>
      <c r="C201" s="112"/>
      <c r="D201" s="120"/>
      <c r="E201" s="309">
        <f>G37+G42</f>
        <v>0</v>
      </c>
      <c r="F201" s="3"/>
      <c r="G201" s="123"/>
      <c r="H201" s="164"/>
    </row>
    <row r="202" spans="1:8" ht="12.75">
      <c r="A202" s="155" t="s">
        <v>342</v>
      </c>
      <c r="B202" s="127"/>
      <c r="C202" s="112"/>
      <c r="D202" s="120"/>
      <c r="E202" s="309">
        <f>REGINFO!D62</f>
        <v>202571.81499999997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490</v>
      </c>
      <c r="B206" s="127"/>
      <c r="C206" s="112"/>
      <c r="D206" s="120"/>
      <c r="E206" s="473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40500.34516688061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4724409448818898" bottom="0.2362204724409449" header="0.15748031496062992" footer="0"/>
  <pageSetup fitToHeight="2" fitToWidth="1" horizontalDpi="600" verticalDpi="600" orientation="portrait" scale="48" r:id="rId1"/>
  <headerFooter alignWithMargins="0">
    <oddHeader>&amp;CPage &amp;P&amp;RSioux Lookout_HaltonModel_PILs-2001Q4_20111014_REVISED20120126</oddHeader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98"/>
  <sheetViews>
    <sheetView zoomScalePageLayoutView="0" workbookViewId="0" topLeftCell="A49">
      <selection activeCell="C9" sqref="C9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8515625" style="8" customWidth="1"/>
    <col min="4" max="4" width="5.7109375" style="8" customWidth="1"/>
    <col min="5" max="5" width="9.7109375" style="8" customWidth="1"/>
    <col min="6" max="6" width="10.421875" style="8" customWidth="1"/>
    <col min="7" max="7" width="2.421875" style="0" customWidth="1"/>
    <col min="8" max="8" width="10.28125" style="0" customWidth="1"/>
    <col min="9" max="9" width="1.1484375" style="0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EB-2008-381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303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Sioux Lookout Hydro Inc.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3" t="s">
        <v>478</v>
      </c>
      <c r="B8" s="494"/>
      <c r="C8" s="494"/>
      <c r="D8" s="494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50000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464</v>
      </c>
      <c r="B10" s="328"/>
      <c r="C10" s="377" t="s">
        <v>111</v>
      </c>
      <c r="D10" s="377"/>
      <c r="E10" s="377" t="s">
        <v>111</v>
      </c>
      <c r="F10" s="378" t="s">
        <v>473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50000</v>
      </c>
      <c r="D11" s="379"/>
      <c r="E11" s="379">
        <v>175000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296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295</v>
      </c>
      <c r="B14" s="245"/>
      <c r="C14" s="329">
        <v>0.1312</v>
      </c>
      <c r="D14" s="329"/>
      <c r="E14" s="330">
        <v>0.2812</v>
      </c>
      <c r="F14" s="330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300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256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328</v>
      </c>
      <c r="B21" s="408" t="s">
        <v>474</v>
      </c>
      <c r="C21" s="363"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329</v>
      </c>
      <c r="B22" s="409" t="s">
        <v>475</v>
      </c>
      <c r="C22" s="364"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87" t="s">
        <v>472</v>
      </c>
      <c r="B23" s="488"/>
      <c r="C23" s="488"/>
      <c r="D23" s="488"/>
      <c r="E23" s="488"/>
      <c r="F23" s="488"/>
      <c r="G23" s="440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495" t="s">
        <v>499</v>
      </c>
      <c r="B26" s="496"/>
      <c r="C26" s="496"/>
      <c r="D26" s="496"/>
      <c r="E26" s="496"/>
      <c r="F26" s="496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50000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436</v>
      </c>
      <c r="B28" s="328"/>
      <c r="C28" s="371" t="s">
        <v>111</v>
      </c>
      <c r="D28" s="371"/>
      <c r="E28" s="371" t="s">
        <v>111</v>
      </c>
      <c r="F28" s="372" t="s">
        <v>473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50000</v>
      </c>
      <c r="D29" s="373"/>
      <c r="E29" s="373">
        <v>175000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295</v>
      </c>
      <c r="B32" s="411">
        <v>2002</v>
      </c>
      <c r="C32" s="329">
        <v>0.1312</v>
      </c>
      <c r="D32" s="329"/>
      <c r="E32" s="330">
        <v>0.2812</v>
      </c>
      <c r="F32" s="330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2002</v>
      </c>
      <c r="C33" s="331">
        <v>0.06</v>
      </c>
      <c r="D33" s="331"/>
      <c r="E33" s="332">
        <v>0.06</v>
      </c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256</v>
      </c>
      <c r="B34" s="411">
        <v>2002</v>
      </c>
      <c r="C34" s="333">
        <f>SUM(C32:C33)</f>
        <v>0.1912</v>
      </c>
      <c r="D34" s="333"/>
      <c r="E34" s="334">
        <f>SUM(E32:E33)</f>
        <v>0.3412</v>
      </c>
      <c r="F34" s="334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2002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2002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2002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479</v>
      </c>
      <c r="B39" s="408" t="s">
        <v>474</v>
      </c>
      <c r="C39" s="363"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480</v>
      </c>
      <c r="B40" s="409" t="s">
        <v>475</v>
      </c>
      <c r="C40" s="364"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89" t="s">
        <v>332</v>
      </c>
      <c r="B41" s="488"/>
      <c r="C41" s="488"/>
      <c r="D41" s="488"/>
      <c r="E41" s="488"/>
      <c r="F41" s="488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0"/>
      <c r="B42" s="490"/>
      <c r="C42" s="490"/>
      <c r="D42" s="490"/>
      <c r="E42" s="490"/>
      <c r="F42" s="490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477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50000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473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50000</v>
      </c>
      <c r="D47" s="373"/>
      <c r="E47" s="373">
        <v>175000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295</v>
      </c>
      <c r="B50" s="245"/>
      <c r="C50" s="353">
        <v>0.1312</v>
      </c>
      <c r="D50" s="353"/>
      <c r="E50" s="354">
        <v>0.2212</v>
      </c>
      <c r="F50" s="354">
        <v>0.2812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0.0975</v>
      </c>
      <c r="F51" s="356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256</v>
      </c>
      <c r="B52" s="245"/>
      <c r="C52" s="333">
        <f>SUM(C50:C51)</f>
        <v>0.1912</v>
      </c>
      <c r="D52" s="333"/>
      <c r="E52" s="334">
        <f>SUM(E50:E51)</f>
        <v>0.3187</v>
      </c>
      <c r="F52" s="334">
        <f>SUM(F50:F51)</f>
        <v>0.4062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346</v>
      </c>
      <c r="B57" s="408" t="s">
        <v>474</v>
      </c>
      <c r="C57" s="363">
        <v>0</v>
      </c>
      <c r="D57" s="361"/>
      <c r="E57" s="362"/>
      <c r="F57" s="362"/>
      <c r="G57" s="194"/>
      <c r="H57" s="194">
        <v>29611572</v>
      </c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347</v>
      </c>
      <c r="B58" s="409" t="s">
        <v>475</v>
      </c>
      <c r="C58" s="364">
        <v>10000000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87" t="s">
        <v>348</v>
      </c>
      <c r="B59" s="491"/>
      <c r="C59" s="491"/>
      <c r="D59" s="491"/>
      <c r="E59" s="491"/>
      <c r="F59" s="491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492"/>
      <c r="B60" s="492"/>
      <c r="C60" s="492"/>
      <c r="D60" s="492"/>
      <c r="E60" s="492"/>
      <c r="F60" s="492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086614173228347" bottom="0.2362204724409449" header="0.2755905511811024" footer="0"/>
  <pageSetup fitToHeight="1" fitToWidth="1" horizontalDpi="600" verticalDpi="600" orientation="portrait" scale="74" r:id="rId1"/>
  <headerFooter alignWithMargins="0">
    <oddHeader>&amp;CPage &amp;P&amp;RSioux Lookout_HaltonModel_PILs-2001Q4_20111014_REVISED20120126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Deanne</cp:lastModifiedBy>
  <cp:lastPrinted>2012-01-31T15:39:07Z</cp:lastPrinted>
  <dcterms:created xsi:type="dcterms:W3CDTF">2001-11-07T16:15:53Z</dcterms:created>
  <dcterms:modified xsi:type="dcterms:W3CDTF">2012-01-31T15:39:31Z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