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<sst xmlns="http://schemas.openxmlformats.org/spreadsheetml/2006/main" count="878" uniqueCount="502">
  <si>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</si>
  <si>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</si>
  <si>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</si>
  <si>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</si>
  <si>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</si>
  <si>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</si>
  <si>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</si>
  <si>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</si>
  <si>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</si>
  <si>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</si>
  <si>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</si>
  <si>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</si>
  <si>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</si>
  <si>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</si>
  <si>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</si>
  <si>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</si>
  <si>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</si>
  <si>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</si>
  <si>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</si>
  <si>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</si>
  <si>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</si>
  <si>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</si>
  <si>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</si>
  <si>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</si>
  <si>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</si>
  <si>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</si>
  <si>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</si>
  <si>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</si>
  <si>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</si>
  <si>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</si>
  <si>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</si>
  <si>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</si>
  <si>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</si>
  <si>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</si>
  <si>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</si>
  <si>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</si>
  <si>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</si>
  <si>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</si>
  <si>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</si>
  <si>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</si>
  <si>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</si>
  <si>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</si>
  <si>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</si>
  <si>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</si>
  <si>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</si>
  <si>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</si>
  <si>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</si>
  <si>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</si>
  <si>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</si>
  <si>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</si>
  <si>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</si>
  <si>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</si>
  <si>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</si>
  <si>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</si>
  <si>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</si>
  <si>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</si>
  <si>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</si>
  <si>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</si>
  <si>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</si>
  <si>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</si>
  <si>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</si>
  <si>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</si>
  <si>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</si>
  <si>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</si>
  <si>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</si>
  <si>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</si>
  <si>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</si>
  <si>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</si>
  <si>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</si>
  <si>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</si>
  <si>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</si>
  <si>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</si>
  <si>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</si>
  <si>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</si>
  <si>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</si>
  <si>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</si>
  <si>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</si>
  <si>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</si>
  <si>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</si>
  <si>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</si>
  <si>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</si>
  <si>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</si>
  <si>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</si>
  <si>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</si>
  <si>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</si>
  <si>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</si>
  <si>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</si>
  <si>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</si>
  <si>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</si>
  <si>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</si>
  <si>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</si>
  <si>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</si>
  <si>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</si>
  <si>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</si>
  <si>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</si>
  <si>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</si>
  <si>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</si>
  <si>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</si>
  <si>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</si>
  <si>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</si>
  <si>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</si>
  <si>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</si>
  <si>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</si>
  <si>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</si>
  <si>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</si>
  <si>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</si>
  <si>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</si>
  <si>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</si>
  <si>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</si>
  <si>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</si>
  <si>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</si>
  <si>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</si>
  <si>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</si>
  <si>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</si>
  <si>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</si>
  <si>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</si>
  <si>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</si>
  <si>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</si>
  <si>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</si>
  <si>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</si>
  <si>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</si>
  <si>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</si>
  <si>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</si>
  <si>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</si>
  <si>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</si>
  <si>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</si>
  <si>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</si>
  <si>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</si>
  <si>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</si>
  <si>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</si>
  <si>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</si>
  <si>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</si>
  <si>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</si>
  <si>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</si>
  <si>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</si>
  <si>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</si>
  <si>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</si>
  <si>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</si>
  <si>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</si>
  <si>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</si>
  <si>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</si>
  <si>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</si>
  <si>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</si>
  <si>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</si>
  <si>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</si>
  <si>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</si>
  <si>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</si>
  <si>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</si>
  <si>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</si>
  <si>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</si>
  <si>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</si>
  <si>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</si>
  <si>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</si>
  <si>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</si>
  <si>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</si>
  <si>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</si>
  <si>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</si>
  <si>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</si>
  <si>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</si>
  <si>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</si>
  <si>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</si>
  <si>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</si>
  <si>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</si>
  <si>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</si>
  <si>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</si>
  <si>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</si>
  <si>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</si>
  <si>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</si>
  <si>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</si>
  <si>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</si>
  <si>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</si>
  <si>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</si>
  <si>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</si>
  <si>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</si>
  <si>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</si>
  <si>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</si>
  <si>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</si>
  <si>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</si>
  <si>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</si>
  <si>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</si>
  <si>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</si>
  <si>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</si>
  <si>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</si>
  <si>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</si>
  <si>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</si>
  <si>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</si>
  <si>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</si>
  <si>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</si>
  <si>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</si>
  <si>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</si>
  <si>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</si>
  <si>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</si>
  <si>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</si>
  <si>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</si>
  <si>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</si>
  <si>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</si>
  <si>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</si>
  <si>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</si>
  <si>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</si>
  <si>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</si>
  <si>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</si>
  <si>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</si>
  <si>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</si>
  <si>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</si>
  <si>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</si>
  <si>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</si>
  <si>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</si>
  <si>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</si>
  <si>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</si>
  <si>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</si>
  <si>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</si>
  <si>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</si>
  <si>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</si>
  <si>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</si>
  <si>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</si>
  <si>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</si>
  <si>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</si>
  <si>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</si>
  <si>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</si>
  <si>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</si>
  <si>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</si>
  <si>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</si>
  <si>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</si>
  <si>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</si>
  <si>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</si>
  <si>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</si>
  <si>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</si>
  <si>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</si>
  <si>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</si>
  <si>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</si>
  <si>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</si>
  <si>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</si>
  <si>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</si>
  <si>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</si>
  <si>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</si>
  <si>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</si>
  <si>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</si>
  <si>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</si>
  <si>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</si>
  <si>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</si>
  <si>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</si>
  <si>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</si>
  <si>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</si>
  <si>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</si>
  <si>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</si>
  <si>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</si>
  <si>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</si>
  <si>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</si>
  <si>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</si>
  <si>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</si>
  <si>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</si>
  <si>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</si>
  <si>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</si>
  <si>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</si>
  <si>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</si>
  <si>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</si>
  <si>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</si>
  <si>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</si>
  <si>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</si>
  <si>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</si>
  <si>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</si>
  <si>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</si>
  <si>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</si>
  <si>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</si>
  <si>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</si>
  <si>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</si>
  <si>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</si>
  <si>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</si>
  <si>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</si>
  <si>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</si>
  <si>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</si>
  <si>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</si>
  <si>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</si>
  <si>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</si>
  <si>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</si>
  <si>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</si>
  <si>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</si>
  <si>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</si>
  <si>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</si>
  <si>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</si>
  <si>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</si>
  <si>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</si>
  <si>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</si>
  <si>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</si>
  <si>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</si>
  <si>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</si>
  <si>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</si>
  <si>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</si>
  <si>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</si>
  <si>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</si>
  <si>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</si>
  <si>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</si>
  <si>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</si>
  <si>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</si>
  <si>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</si>
  <si>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</si>
  <si>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</si>
  <si>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</si>
  <si>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</si>
  <si>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</si>
  <si>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</si>
  <si>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</si>
  <si>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</si>
  <si>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</si>
  <si>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</si>
  <si>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</si>
  <si>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</si>
  <si>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</si>
  <si>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</si>
  <si>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</si>
  <si>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</si>
  <si>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</si>
  <si>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</si>
  <si>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</si>
  <si>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</si>
  <si>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</si>
  <si>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</si>
  <si>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</si>
  <si>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</si>
  <si>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</si>
  <si>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</si>
  <si>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</si>
  <si>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</si>
  <si>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</si>
  <si>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</si>
  <si>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</si>
  <si>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</si>
  <si>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</si>
  <si>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</si>
  <si>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</si>
  <si>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</si>
  <si>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</si>
  <si>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</si>
  <si>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</si>
  <si>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</si>
  <si>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</si>
  <si>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</si>
  <si>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</si>
  <si>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</si>
  <si>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</si>
  <si>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</si>
  <si>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</si>
  <si>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</si>
  <si>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</si>
  <si>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</si>
  <si>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</si>
  <si>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</si>
  <si>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</si>
  <si>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</si>
  <si>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</si>
  <si>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</si>
  <si>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</si>
  <si>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</si>
  <si>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</si>
  <si>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</si>
  <si>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</si>
  <si>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</si>
  <si>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</si>
  <si>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</si>
  <si>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</si>
  <si>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</si>
  <si>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</si>
  <si>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</si>
  <si>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</si>
  <si>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</si>
  <si>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</si>
  <si>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</si>
  <si>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</si>
  <si>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</si>
  <si>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</si>
  <si>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</si>
  <si>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</si>
  <si>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</si>
  <si>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</si>
  <si>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</si>
  <si>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</si>
  <si>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</si>
  <si>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</si>
  <si>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</si>
  <si>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</si>
  <si>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</si>
  <si>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</si>
  <si>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</si>
  <si>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</si>
  <si>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</si>
  <si>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</si>
  <si>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</si>
  <si>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</si>
  <si>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</si>
  <si>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</si>
  <si>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</si>
  <si>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</si>
  <si>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</si>
  <si>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</si>
  <si>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</si>
  <si>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</si>
  <si>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</si>
  <si>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</si>
  <si>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</si>
  <si>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</si>
  <si>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</si>
  <si>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</si>
  <si>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</si>
  <si>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</si>
  <si>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</si>
  <si>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</si>
  <si>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</si>
  <si>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</si>
  <si>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</si>
  <si>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</si>
  <si>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</si>
  <si>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</si>
  <si>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</si>
  <si>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</si>
  <si>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</si>
  <si>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</si>
  <si>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</si>
  <si>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</si>
  <si>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</si>
  <si>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</si>
  <si>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</si>
  <si>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</si>
  <si>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</si>
  <si>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</si>
  <si>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</si>
  <si>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</si>
  <si>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</si>
  <si>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</si>
  <si>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</si>
  <si>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</si>
  <si>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</si>
  <si>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</si>
  <si>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</si>
  <si>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</si>
  <si>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</si>
  <si>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</si>
  <si>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</si>
  <si>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</si>
  <si>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</si>
  <si>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</si>
  <si>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</si>
  <si>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</si>
  <si>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</si>
  <si>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</si>
  <si>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</si>
  <si>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</si>
  <si>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</si>
  <si>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</si>
  <si>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</si>
  <si>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</si>
  <si>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</si>
  <si>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</si>
  <si>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</si>
  <si>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</si>
  <si>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</si>
  <si>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</si>
  <si>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</si>
  <si>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</si>
  <si>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</si>
  <si>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</si>
  <si>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</si>
  <si>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</si>
  <si>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</si>
  <si>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</si>
  <si>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</si>
  <si>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</si>
  <si>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</si>
  <si>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</si>
  <si>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</si>
  <si>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</si>
  <si>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</si>
  <si>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</si>
  <si>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</si>
  <si>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</si>
  <si>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</si>
  <si>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</si>
  <si>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</si>
  <si>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</si>
  <si>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</si>
  <si>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No entry on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</si>
  <si>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</si>
  <si>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</si>
  <si>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</si>
  <si>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</si>
  <si>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</si>
  <si>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</si>
  <si>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</si>
  <si>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</si>
  <si>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</si>
  <si>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</si>
  <si>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</si>
  <si>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</si>
  <si>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</si>
  <si>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</si>
  <si>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</si>
  <si>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</si>
  <si>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</si>
  <si>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</si>
  <si>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</si>
  <si>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Utility Name: Sioux Lookout Hydro Inc.</t>
  </si>
  <si>
    <t>Y</t>
  </si>
  <si>
    <t>N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</si>
</sst>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1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44" borderId="24" xfId="0" applyFont="1" applyFill="1" applyBorder="1" applyAlignment="1" applyProtection="1">
      <alignment vertical="top"/>
      <protection/>
    </xf>
    <xf numFmtId="37" fontId="0" fillId="44" borderId="14" xfId="0" applyNumberFormat="1" applyFill="1" applyBorder="1" applyAlignment="1" applyProtection="1">
      <alignment vertical="top"/>
      <protection/>
    </xf>
    <xf numFmtId="37" fontId="0" fillId="44" borderId="14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465</v>
      </c>
      <c r="C1" s="8"/>
      <c r="E1" s="2" t="s">
        <v>466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499</v>
      </c>
      <c r="C3" s="8"/>
      <c r="D3" s="455" t="s">
        <v>451</v>
      </c>
      <c r="E3" s="8"/>
      <c r="F3" s="8"/>
      <c r="G3" s="8"/>
      <c r="H3" s="8"/>
    </row>
    <row r="4" spans="1:8" ht="12.75">
      <c r="A4" s="2" t="s">
        <v>481</v>
      </c>
      <c r="C4" s="8"/>
      <c r="D4" s="454" t="s">
        <v>446</v>
      </c>
      <c r="E4" s="428"/>
      <c r="H4" s="8"/>
    </row>
    <row r="5" spans="1:8" ht="12.75">
      <c r="A5" s="52"/>
      <c r="C5" s="8"/>
      <c r="D5" s="453" t="s">
        <v>447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9" t="s">
        <v>500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9" t="s">
        <v>501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89" t="s">
        <v>501</v>
      </c>
    </row>
    <row r="18" spans="1:4" ht="15" customHeight="1">
      <c r="A18" s="389" t="s">
        <v>315</v>
      </c>
      <c r="C18" s="8"/>
      <c r="D18" s="8"/>
    </row>
    <row r="19" spans="1:4" ht="15" customHeight="1">
      <c r="A19" s="495" t="s">
        <v>316</v>
      </c>
      <c r="B19" s="8" t="s">
        <v>313</v>
      </c>
      <c r="C19" s="8" t="s">
        <v>64</v>
      </c>
      <c r="D19" s="490" t="s">
        <v>501</v>
      </c>
    </row>
    <row r="20" spans="1:4" ht="13.5" thickBot="1">
      <c r="A20" s="496"/>
      <c r="B20" s="8" t="s">
        <v>314</v>
      </c>
      <c r="C20" s="8" t="s">
        <v>64</v>
      </c>
      <c r="D20" s="489" t="s">
        <v>501</v>
      </c>
    </row>
    <row r="21" spans="1:4" ht="12.75">
      <c r="A21" s="495" t="s">
        <v>312</v>
      </c>
      <c r="B21" s="8" t="s">
        <v>313</v>
      </c>
      <c r="C21" s="8"/>
      <c r="D21" s="423">
        <v>1</v>
      </c>
    </row>
    <row r="22" spans="1:4" ht="12.75">
      <c r="A22" s="495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482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5588188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0.0833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435319.8452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348286</v>
      </c>
      <c r="E43" s="387">
        <f>D43</f>
        <v>348286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87033.84519999998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0</v>
      </c>
      <c r="E47" s="387">
        <f aca="true" t="shared" si="0" ref="E47:E53">D47</f>
        <v>0</v>
      </c>
      <c r="H47" s="40"/>
      <c r="J47" s="5"/>
      <c r="K47" s="5"/>
    </row>
    <row r="48" spans="1:11" ht="12.75">
      <c r="A48" t="s">
        <v>290</v>
      </c>
      <c r="D48" s="426">
        <v>43447</v>
      </c>
      <c r="E48" s="387">
        <f>D48</f>
        <v>43447</v>
      </c>
      <c r="F48" s="22"/>
      <c r="H48" s="40"/>
      <c r="J48" s="5"/>
      <c r="K48" s="5"/>
    </row>
    <row r="49" spans="1:11" ht="12.75">
      <c r="A49" t="s">
        <v>291</v>
      </c>
      <c r="D49" s="427"/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443</v>
      </c>
      <c r="D51" s="428">
        <v>43447</v>
      </c>
      <c r="E51" s="387">
        <v>0</v>
      </c>
      <c r="H51" s="40"/>
      <c r="J51" s="5"/>
      <c r="K51" s="5"/>
    </row>
    <row r="52" spans="1:11" ht="12.75">
      <c r="A52" t="s">
        <v>467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391733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2794094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232748.0302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2794094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202571.81499999997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162071.46983311936</v>
      </c>
      <c r="F64" s="5"/>
      <c r="H64" s="32"/>
      <c r="J64" s="5"/>
      <c r="K64" s="5"/>
    </row>
    <row r="65" spans="1:11" ht="12.75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182289.10462130935</v>
      </c>
      <c r="F66" s="5"/>
      <c r="H66" s="32"/>
      <c r="J66" s="5"/>
      <c r="K66" s="5"/>
    </row>
    <row r="67" spans="1:11" ht="12.75">
      <c r="A67" s="33" t="s">
        <v>383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182289.10462130935</v>
      </c>
      <c r="F68" s="5"/>
      <c r="H68" s="32"/>
      <c r="J68" s="5"/>
    </row>
    <row r="69" spans="1:10" ht="12.75">
      <c r="A69" s="33" t="s">
        <v>384</v>
      </c>
      <c r="B69" s="5"/>
      <c r="C69" s="5"/>
      <c r="D69" s="5"/>
      <c r="F69" s="5"/>
      <c r="H69" s="32"/>
      <c r="J69" s="5"/>
    </row>
    <row r="70" spans="1:10" ht="12.75">
      <c r="A70" s="45" t="s">
        <v>452</v>
      </c>
      <c r="B70" s="5"/>
      <c r="C70" s="5"/>
      <c r="D70" s="253">
        <f>D62</f>
        <v>202571.81499999997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&amp;CPage &amp;P&amp;RSioux Lookout_HaltonModel_2002_PILs_Revised20110708_20111014_REVISED20120126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75" zoomScaleNormal="75" zoomScalePageLayoutView="0" workbookViewId="0" topLeftCell="A174">
      <selection activeCell="I53" sqref="I5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469</v>
      </c>
      <c r="H1" s="210"/>
    </row>
    <row r="2" spans="1:8" ht="12.75">
      <c r="A2" s="211" t="s">
        <v>468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470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Sioux Lookout Hydro Inc.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343</v>
      </c>
      <c r="B16" s="125">
        <v>1</v>
      </c>
      <c r="C16" s="259">
        <f>REGINFO!E54</f>
        <v>391733</v>
      </c>
      <c r="D16" s="17"/>
      <c r="E16" s="267">
        <f>G16-C16</f>
        <v>38918</v>
      </c>
      <c r="F16" s="3"/>
      <c r="G16" s="267">
        <f>TAXREC!E50</f>
        <v>430651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249495</v>
      </c>
      <c r="D20" s="18"/>
      <c r="E20" s="267">
        <f>G20-C20</f>
        <v>-5423</v>
      </c>
      <c r="F20" s="6"/>
      <c r="G20" s="267">
        <f>TAXREC!E61</f>
        <v>244072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2885</v>
      </c>
      <c r="F29" s="6"/>
      <c r="G29" s="267">
        <f>TAXREC!E68</f>
        <v>2885</v>
      </c>
      <c r="H29" s="151"/>
    </row>
    <row r="30" spans="1:8" ht="15.75">
      <c r="A30" s="484" t="s">
        <v>399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264683</v>
      </c>
      <c r="D33" s="132"/>
      <c r="E33" s="267">
        <f aca="true" t="shared" si="0" ref="E33:E42">G33-C33</f>
        <v>23091</v>
      </c>
      <c r="F33" s="6"/>
      <c r="G33" s="267">
        <f>TAXREC!E97+TAXREC!E98</f>
        <v>287774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v>182347</v>
      </c>
      <c r="D37" s="132"/>
      <c r="E37" s="267">
        <f t="shared" si="0"/>
        <v>-79353</v>
      </c>
      <c r="F37" s="6"/>
      <c r="G37" s="267">
        <f>TAXREC!E51</f>
        <v>102994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4" t="s">
        <v>399</v>
      </c>
      <c r="B48" s="127"/>
      <c r="C48" s="259"/>
      <c r="D48" s="132"/>
      <c r="E48" s="267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330</v>
      </c>
      <c r="B50" s="125"/>
      <c r="C50" s="263">
        <f>C16+SUM(C20:C30)-SUM(C33:C48)</f>
        <v>194198</v>
      </c>
      <c r="D50" s="102"/>
      <c r="E50" s="263">
        <f>E16+SUM(E20:E30)-SUM(E33:E48)</f>
        <v>92642</v>
      </c>
      <c r="F50" s="431" t="s">
        <v>371</v>
      </c>
      <c r="G50" s="263">
        <f>G16+SUM(G20:G30)-SUM(G33:G48)</f>
        <v>286840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342</v>
      </c>
      <c r="B53" s="127">
        <v>13</v>
      </c>
      <c r="C53" s="262">
        <v>0.3862</v>
      </c>
      <c r="D53" s="102"/>
      <c r="E53" s="268">
        <f>+G53-C53</f>
        <v>-0.19499999999999998</v>
      </c>
      <c r="F53" s="114"/>
      <c r="G53" s="473">
        <v>0.1912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74999.26759999999</v>
      </c>
      <c r="D55" s="102"/>
      <c r="E55" s="267">
        <f>G55-C55</f>
        <v>-50087.26759999999</v>
      </c>
      <c r="F55" s="431" t="s">
        <v>372</v>
      </c>
      <c r="G55" s="264">
        <f>TAXREC!E144</f>
        <v>24912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5940</v>
      </c>
      <c r="F58" s="431" t="s">
        <v>372</v>
      </c>
      <c r="G58" s="270">
        <f>TAXREC!E145</f>
        <v>5940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74999.26759999999</v>
      </c>
      <c r="D60" s="133"/>
      <c r="E60" s="269">
        <f>+E55-E58</f>
        <v>-56027.26759999999</v>
      </c>
      <c r="F60" s="431" t="s">
        <v>372</v>
      </c>
      <c r="G60" s="269">
        <f>+G55-G58</f>
        <v>18972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5588188</v>
      </c>
      <c r="D66" s="102"/>
      <c r="E66" s="267">
        <f>G66-C66</f>
        <v>1391825</v>
      </c>
      <c r="F66" s="6"/>
      <c r="G66" s="475">
        <v>6980013</v>
      </c>
      <c r="H66" s="151"/>
      <c r="I66" s="476" t="s">
        <v>478</v>
      </c>
    </row>
    <row r="67" spans="1:10" ht="12.75">
      <c r="A67" s="152" t="s">
        <v>364</v>
      </c>
      <c r="B67" s="125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475">
        <v>5000000</v>
      </c>
      <c r="H67" s="151"/>
      <c r="I67" s="476" t="s">
        <v>478</v>
      </c>
      <c r="J67" s="477" t="s">
        <v>479</v>
      </c>
    </row>
    <row r="68" spans="1:8" ht="12.75">
      <c r="A68" s="152" t="s">
        <v>42</v>
      </c>
      <c r="B68" s="125"/>
      <c r="C68" s="264">
        <f>IF((C66-C67)&gt;0,C66-C67,0)</f>
        <v>588188</v>
      </c>
      <c r="D68" s="102"/>
      <c r="E68" s="267">
        <f>SUM(E66:E67)</f>
        <v>1391825</v>
      </c>
      <c r="F68" s="114"/>
      <c r="G68" s="264">
        <f>G66-G67</f>
        <v>1980013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365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1764.5639999999999</v>
      </c>
      <c r="D72" s="101"/>
      <c r="E72" s="267">
        <f>+G72-C72</f>
        <v>4175.475</v>
      </c>
      <c r="F72" s="478" t="s">
        <v>480</v>
      </c>
      <c r="G72" s="264">
        <f>IF(G68&gt;0,G68*G70,0)*REGINFO!$B$6/REGINFO!$B$7</f>
        <v>5940.039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5588188</v>
      </c>
      <c r="D75" s="102"/>
      <c r="E75" s="267">
        <f>+G75-C75</f>
        <v>-5588188</v>
      </c>
      <c r="F75" s="6"/>
      <c r="G75" s="475"/>
      <c r="H75" s="151"/>
      <c r="I75" s="476" t="s">
        <v>478</v>
      </c>
    </row>
    <row r="76" spans="1:9" ht="12.75">
      <c r="A76" s="152" t="s">
        <v>364</v>
      </c>
      <c r="B76" s="125">
        <v>19</v>
      </c>
      <c r="C76" s="260">
        <f>IF(C75&gt;0,'Tax Rates'!C22,0)</f>
        <v>10000000</v>
      </c>
      <c r="D76" s="18"/>
      <c r="E76" s="267">
        <f>+G76-C76</f>
        <v>-10000000</v>
      </c>
      <c r="F76" s="6"/>
      <c r="G76" s="475"/>
      <c r="H76" s="151"/>
      <c r="I76" s="476" t="s">
        <v>478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-15588188</v>
      </c>
      <c r="F77" s="114"/>
      <c r="G77" s="264">
        <f>G75-G76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365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0.18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373</v>
      </c>
      <c r="B90" s="127">
        <v>22</v>
      </c>
      <c r="C90" s="264">
        <v>122189</v>
      </c>
      <c r="D90" s="20"/>
      <c r="E90" s="139"/>
      <c r="F90" s="430" t="s">
        <v>491</v>
      </c>
      <c r="G90" s="270">
        <f>TAXREC!E156</f>
        <v>18972</v>
      </c>
      <c r="H90" s="151"/>
    </row>
    <row r="91" spans="1:8" ht="12.75">
      <c r="A91" s="158" t="s">
        <v>374</v>
      </c>
      <c r="B91" s="127">
        <v>23</v>
      </c>
      <c r="C91" s="264">
        <f>C84/(1-C88)</f>
        <v>0</v>
      </c>
      <c r="D91" s="20"/>
      <c r="E91" s="139"/>
      <c r="F91" s="430" t="s">
        <v>491</v>
      </c>
      <c r="G91" s="270">
        <f>TAXREC!E158</f>
        <v>0</v>
      </c>
      <c r="H91" s="151"/>
    </row>
    <row r="92" spans="1:8" ht="12.75">
      <c r="A92" s="158" t="s">
        <v>352</v>
      </c>
      <c r="B92" s="127">
        <v>24</v>
      </c>
      <c r="C92" s="264">
        <f>C72</f>
        <v>1764.5639999999999</v>
      </c>
      <c r="D92" s="20"/>
      <c r="E92" s="139"/>
      <c r="F92" s="430" t="s">
        <v>491</v>
      </c>
      <c r="G92" s="270">
        <f>TAXREC!E157</f>
        <v>6252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492</v>
      </c>
      <c r="B95" s="125">
        <v>25</v>
      </c>
      <c r="C95" s="269">
        <f>SUM(C90:C93)</f>
        <v>123953.564</v>
      </c>
      <c r="D95" s="6"/>
      <c r="E95" s="139"/>
      <c r="F95" s="430" t="s">
        <v>491</v>
      </c>
      <c r="G95" s="413">
        <f>SUM(G90:G94)</f>
        <v>25224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350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367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368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366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322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369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370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494</v>
      </c>
      <c r="B122" s="127"/>
      <c r="C122" s="112"/>
      <c r="D122" s="3" t="s">
        <v>231</v>
      </c>
      <c r="E122" s="469">
        <v>0.1912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5940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-5940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9">
        <v>0.18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492" t="s">
        <v>356</v>
      </c>
      <c r="B132" s="130"/>
      <c r="C132" s="112"/>
      <c r="D132" s="3"/>
      <c r="E132" s="493">
        <f>E128/(1-E130)</f>
        <v>-7243.902439024389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359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194198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9">
        <v>0.1912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37130.6576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5940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31190.6576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74999.26759999999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-43808.60999999999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3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5588188</v>
      </c>
      <c r="F151" s="37"/>
      <c r="G151" s="201"/>
      <c r="H151" s="164"/>
    </row>
    <row r="152" spans="1:8" ht="12.75">
      <c r="A152" s="171" t="s">
        <v>362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588188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363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1764.5639999999999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1764.5639999999999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5588188</v>
      </c>
      <c r="F162" s="37"/>
      <c r="G162" s="201"/>
      <c r="H162" s="164"/>
    </row>
    <row r="163" spans="1:8" ht="12.75">
      <c r="A163" s="171" t="s">
        <v>361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-4411812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351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348</v>
      </c>
      <c r="B175" s="130"/>
      <c r="C175" s="112"/>
      <c r="D175" s="119"/>
      <c r="E175" s="469">
        <v>0.18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-53425.13414634145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492" t="s">
        <v>357</v>
      </c>
      <c r="B181" s="130"/>
      <c r="C181" s="112"/>
      <c r="D181" s="119" t="s">
        <v>189</v>
      </c>
      <c r="E181" s="494">
        <f>SUM(E177:E179)</f>
        <v>-53425.13414634145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349</v>
      </c>
      <c r="B183" s="130"/>
      <c r="C183" s="112"/>
      <c r="D183" s="119" t="s">
        <v>187</v>
      </c>
      <c r="E183" s="302">
        <f>E132</f>
        <v>-7243.902439024389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358</v>
      </c>
      <c r="B185" s="130"/>
      <c r="C185" s="112"/>
      <c r="D185" s="119" t="s">
        <v>189</v>
      </c>
      <c r="E185" s="302">
        <f>E181+E183</f>
        <v>-60669.03658536584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202571.81499999997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182289.10462130935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345</v>
      </c>
      <c r="B196" s="127"/>
      <c r="C196" s="112"/>
      <c r="D196" s="120"/>
      <c r="E196" s="308">
        <f>E193-E194</f>
        <v>20282.710378690623</v>
      </c>
      <c r="F196" s="3"/>
      <c r="G196" s="123"/>
      <c r="H196" s="164"/>
    </row>
    <row r="197" spans="1:8" ht="12.75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7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102994</v>
      </c>
      <c r="F201" s="3"/>
      <c r="G201" s="487"/>
      <c r="H201" s="164"/>
    </row>
    <row r="202" spans="1:8" ht="12.75">
      <c r="A202" s="155" t="s">
        <v>347</v>
      </c>
      <c r="B202" s="127"/>
      <c r="C202" s="112"/>
      <c r="D202" s="120"/>
      <c r="E202" s="308">
        <f>REGINFO!D62</f>
        <v>202571.81499999997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20282.710378690623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&amp;CPage &amp;P&amp;RSioux Lookout_HaltonModel_2002_PILs_Revised20110708_20111014_REVISED20120126</oddHeader>
    <oddFooter>&amp;C&amp;A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Layout" workbookViewId="0" topLeftCell="A49">
      <selection activeCell="C51" sqref="C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16.003906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Sioux Lookout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v>6948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91" t="s">
        <v>500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491" t="s">
        <v>501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328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326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327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7402290</v>
      </c>
      <c r="D31" s="286"/>
      <c r="E31" s="284">
        <f>C31-D31</f>
        <v>7402290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/>
      <c r="D32" s="286"/>
      <c r="E32" s="284">
        <f>C32-D32</f>
        <v>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85225</v>
      </c>
      <c r="D33" s="286"/>
      <c r="E33" s="284">
        <f>C33-D33</f>
        <v>85225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6113884</v>
      </c>
      <c r="D39" s="286"/>
      <c r="E39" s="284">
        <f>C39-D39</f>
        <v>6113884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375137</v>
      </c>
      <c r="D40" s="286"/>
      <c r="E40" s="284">
        <f aca="true" t="shared" si="0" ref="E40:E48">C40-D40</f>
        <v>375137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368186</v>
      </c>
      <c r="D42" s="286"/>
      <c r="E42" s="284">
        <f t="shared" si="0"/>
        <v>368186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199657</v>
      </c>
      <c r="D43" s="286"/>
      <c r="E43" s="284">
        <f t="shared" si="0"/>
        <v>199657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" t="s">
        <v>498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430651</v>
      </c>
      <c r="D50" s="281">
        <f>SUM(D31:D36)-SUM(D39:D49)</f>
        <v>0</v>
      </c>
      <c r="E50" s="281">
        <f>SUM(E31:E35)-SUM(E39:E48)</f>
        <v>430651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102994</v>
      </c>
      <c r="D51" s="285"/>
      <c r="E51" s="282">
        <f>+C51-D51</f>
        <v>102994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>
        <v>32230</v>
      </c>
      <c r="D52" s="285"/>
      <c r="E52" s="283">
        <f>+C52-D52</f>
        <v>32230</v>
      </c>
      <c r="F52" s="8"/>
    </row>
    <row r="53" spans="1:6" ht="12.75">
      <c r="A53" s="2" t="s">
        <v>131</v>
      </c>
      <c r="B53" s="8" t="s">
        <v>189</v>
      </c>
      <c r="C53" s="281">
        <f>C50-C51-C52</f>
        <v>295427</v>
      </c>
      <c r="D53" s="281">
        <f>D50-D51-D52</f>
        <v>0</v>
      </c>
      <c r="E53" s="281">
        <f>E50-E51-E52</f>
        <v>295427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C52</f>
        <v>32230</v>
      </c>
      <c r="D59" s="287">
        <f>D52</f>
        <v>0</v>
      </c>
      <c r="E59" s="272">
        <f>+C59-D59</f>
        <v>32230</v>
      </c>
      <c r="F59" s="8"/>
    </row>
    <row r="60" spans="1:6" ht="12.75">
      <c r="A60" s="4" t="s">
        <v>329</v>
      </c>
      <c r="B60" s="8" t="s">
        <v>187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479">
        <v>244072</v>
      </c>
      <c r="D61" s="287">
        <f>D43</f>
        <v>0</v>
      </c>
      <c r="E61" s="272">
        <f>+C61-D61</f>
        <v>244072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2">
        <f>+C64-D64</f>
        <v>0</v>
      </c>
      <c r="F64" s="8"/>
    </row>
    <row r="65" spans="1:6" ht="12.75">
      <c r="A65" t="s">
        <v>448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399</v>
      </c>
      <c r="B66" s="8"/>
      <c r="C66" s="446">
        <f>'TAXREC 3 No True-up'!C47</f>
        <v>0</v>
      </c>
      <c r="D66" s="446">
        <f>'TAXREC 3 No True-up'!D47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2885</v>
      </c>
      <c r="D68" s="251">
        <f>'TAXREC 2'!D78</f>
        <v>0</v>
      </c>
      <c r="E68" s="272">
        <f>+C68-D68</f>
        <v>2885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279187</v>
      </c>
      <c r="D70" s="272">
        <f>SUM(D59:D68)</f>
        <v>0</v>
      </c>
      <c r="E70" s="272">
        <f>SUM(E59:E68)</f>
        <v>279187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485</v>
      </c>
      <c r="B76" s="8" t="s">
        <v>187</v>
      </c>
      <c r="C76" s="480"/>
      <c r="D76" s="294"/>
      <c r="E76" s="48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279187</v>
      </c>
      <c r="D82" s="251">
        <f>D70+D80</f>
        <v>0</v>
      </c>
      <c r="E82" s="251">
        <f>E70+E80</f>
        <v>279187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436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271779</v>
      </c>
      <c r="D97" s="294"/>
      <c r="E97" s="272">
        <f>+C97-D97</f>
        <v>271779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15995</v>
      </c>
      <c r="D98" s="294"/>
      <c r="E98" s="272">
        <f>+C98-D98</f>
        <v>15995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399</v>
      </c>
      <c r="B108" s="8"/>
      <c r="C108" s="254">
        <f>'TAXREC 3 No True-up'!C73</f>
        <v>0</v>
      </c>
      <c r="D108" s="254">
        <f>'TAXREC 3 No True-up'!D73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287774</v>
      </c>
      <c r="D113" s="251">
        <f>SUM(D97:D111)</f>
        <v>0</v>
      </c>
      <c r="E113" s="251">
        <f>SUM(E97:E111)</f>
        <v>287774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287774</v>
      </c>
      <c r="D122" s="251">
        <f>D113+D120</f>
        <v>0</v>
      </c>
      <c r="E122" s="251">
        <f>+E113+E120</f>
        <v>287774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286840</v>
      </c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286840</v>
      </c>
      <c r="D134" s="251">
        <f>D53+D82-D122</f>
        <v>0</v>
      </c>
      <c r="E134" s="251">
        <f>E53+E82-E122</f>
        <v>286840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86">
        <f>I133-I134</f>
        <v>-1259954</v>
      </c>
      <c r="J135" s="45" t="s">
        <v>314</v>
      </c>
      <c r="K135" s="45"/>
    </row>
    <row r="136" spans="1:11" ht="12.75">
      <c r="A136" s="12" t="s">
        <v>379</v>
      </c>
      <c r="B136" s="8" t="s">
        <v>188</v>
      </c>
      <c r="C136" s="294">
        <v>156547</v>
      </c>
      <c r="D136" s="294"/>
      <c r="E136" s="264">
        <f>C136-D136</f>
        <v>156547</v>
      </c>
      <c r="F136" s="8"/>
      <c r="G136" s="45"/>
      <c r="H136" s="45"/>
      <c r="I136" s="45"/>
      <c r="J136" s="45"/>
      <c r="K136" s="45"/>
    </row>
    <row r="137" spans="1:11" ht="12.75">
      <c r="A137" s="46" t="s">
        <v>380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130293</v>
      </c>
      <c r="D139" s="252">
        <f>D134-D136-D137-D138</f>
        <v>0</v>
      </c>
      <c r="E139" s="252">
        <f>E134-E136-E137-E138</f>
        <v>130293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298">
        <v>17094</v>
      </c>
      <c r="D142" s="298"/>
      <c r="E142" s="252">
        <f>C142-D142</f>
        <v>17094</v>
      </c>
      <c r="F142" s="8"/>
      <c r="G142" s="45"/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298">
        <v>7818</v>
      </c>
      <c r="D143" s="298"/>
      <c r="E143" s="292">
        <f>C143-D143</f>
        <v>7818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24912</v>
      </c>
      <c r="D144" s="252">
        <f>D142+D143</f>
        <v>0</v>
      </c>
      <c r="E144" s="252">
        <f>E142+E143</f>
        <v>24912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298">
        <v>5940</v>
      </c>
      <c r="D145" s="298"/>
      <c r="E145" s="293">
        <f>C145-D145</f>
        <v>5940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18972</v>
      </c>
      <c r="D146" s="252">
        <f>D144-D145</f>
        <v>0</v>
      </c>
      <c r="E146" s="252">
        <f>E144-E145</f>
        <v>18972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4">
        <v>0.1312</v>
      </c>
      <c r="D149" s="5"/>
      <c r="E149" s="405">
        <f>C149</f>
        <v>0.1312</v>
      </c>
      <c r="F149" s="8"/>
      <c r="G149" s="45"/>
      <c r="H149" s="45"/>
      <c r="I149" s="45"/>
      <c r="J149" s="45"/>
      <c r="K149" s="45"/>
    </row>
    <row r="150" spans="1:11" ht="12.75">
      <c r="A150" s="46" t="s">
        <v>332</v>
      </c>
      <c r="B150" s="8"/>
      <c r="C150" s="404">
        <v>0.06</v>
      </c>
      <c r="D150" s="5"/>
      <c r="E150" s="405">
        <f>C150</f>
        <v>0.06</v>
      </c>
      <c r="F150" s="8"/>
      <c r="G150" s="45" t="s">
        <v>474</v>
      </c>
      <c r="H150" s="45"/>
      <c r="I150" s="45"/>
      <c r="J150" s="45"/>
      <c r="K150" s="45"/>
    </row>
    <row r="151" spans="1:11" ht="12.75">
      <c r="A151" t="s">
        <v>333</v>
      </c>
      <c r="B151" s="8"/>
      <c r="C151" s="405">
        <f>SUM(C149:C150)</f>
        <v>0.1912</v>
      </c>
      <c r="D151" s="485" t="s">
        <v>493</v>
      </c>
      <c r="E151" s="405">
        <f>SUM(E149:E150)</f>
        <v>0.1912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360</v>
      </c>
      <c r="B153" s="8"/>
    </row>
    <row r="154" spans="1:2" ht="12.75">
      <c r="A154" s="14"/>
      <c r="B154" s="8"/>
    </row>
    <row r="155" spans="1:2" ht="12.75">
      <c r="A155" s="2" t="s">
        <v>490</v>
      </c>
      <c r="B155" s="8"/>
    </row>
    <row r="156" spans="1:5" ht="12.75">
      <c r="A156" t="s">
        <v>219</v>
      </c>
      <c r="B156" s="86" t="s">
        <v>187</v>
      </c>
      <c r="C156" s="251">
        <f>C146</f>
        <v>18972</v>
      </c>
      <c r="D156" s="251">
        <f>D146</f>
        <v>0</v>
      </c>
      <c r="E156" s="251">
        <f>E146</f>
        <v>18972</v>
      </c>
    </row>
    <row r="157" spans="1:5" ht="12.75">
      <c r="A157" t="s">
        <v>20</v>
      </c>
      <c r="B157" s="86" t="s">
        <v>187</v>
      </c>
      <c r="C157" s="482">
        <v>6252</v>
      </c>
      <c r="D157" s="251"/>
      <c r="E157" s="251">
        <f>C157+D157</f>
        <v>6252</v>
      </c>
    </row>
    <row r="158" spans="1:5" ht="12.75">
      <c r="A158" t="s">
        <v>218</v>
      </c>
      <c r="B158" s="86" t="s">
        <v>187</v>
      </c>
      <c r="C158" s="482"/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25224</v>
      </c>
      <c r="D160" s="251">
        <f>D156+D157+D158</f>
        <v>0</v>
      </c>
      <c r="E160" s="251">
        <f>E156+E157+E158</f>
        <v>25224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7480314960629921" top="0.6692913385826772" bottom="0.35433070866141736" header="0.1968503937007874" footer="0"/>
  <pageSetup fitToHeight="2" horizontalDpi="600" verticalDpi="600" orientation="portrait" scale="60" r:id="rId1"/>
  <headerFooter alignWithMargins="0">
    <oddHeader>&amp;CPage &amp;P&amp;RSioux Lookout_HaltonModel_2002_PILs_Revised20110708_20111014_REVISED20120126</oddHeader>
    <oddFooter>&amp;C&amp;A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43">
      <selection activeCell="B3" sqref="B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Sioux Lookout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453</v>
      </c>
      <c r="B18" s="61"/>
      <c r="C18" s="294"/>
      <c r="D18" s="294"/>
      <c r="E18" s="251">
        <f t="shared" si="0"/>
        <v>0</v>
      </c>
    </row>
    <row r="19" spans="1:5" ht="12.75">
      <c r="A19" s="61" t="s">
        <v>453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453</v>
      </c>
      <c r="B30" s="61"/>
      <c r="C30" s="294"/>
      <c r="D30" s="294"/>
      <c r="E30" s="251">
        <f t="shared" si="1"/>
        <v>0</v>
      </c>
    </row>
    <row r="31" spans="1:5" ht="12.75">
      <c r="A31" s="61" t="s">
        <v>453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453</v>
      </c>
      <c r="B47" s="61"/>
      <c r="C47" s="294"/>
      <c r="D47" s="294"/>
      <c r="E47" s="251">
        <f t="shared" si="2"/>
        <v>0</v>
      </c>
    </row>
    <row r="48" spans="1:5" ht="12.75">
      <c r="A48" s="61" t="s">
        <v>453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453</v>
      </c>
      <c r="B59" s="61"/>
      <c r="C59" s="294"/>
      <c r="D59" s="294"/>
      <c r="E59" s="251">
        <f t="shared" si="3"/>
        <v>0</v>
      </c>
    </row>
    <row r="60" spans="1:5" ht="12.75">
      <c r="A60" s="61" t="s">
        <v>453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&amp;CPage &amp;P&amp;RSioux Lookout_HaltonModel_2002_PILs_Revised20110708_20111014_REVISED20120126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9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20" sqref="C2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471</v>
      </c>
      <c r="B5" s="8"/>
      <c r="C5" s="8" t="s">
        <v>2</v>
      </c>
      <c r="D5" s="8"/>
      <c r="E5" s="8"/>
      <c r="F5" s="8"/>
    </row>
    <row r="6" spans="1:6" ht="12.75">
      <c r="A6" s="415" t="s">
        <v>450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Sioux Lookout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6948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>
        <v>2885</v>
      </c>
      <c r="D19" s="295"/>
      <c r="E19" s="312">
        <f t="shared" si="0"/>
        <v>2885</v>
      </c>
    </row>
    <row r="20" spans="1:5" ht="12.75">
      <c r="A20" s="67" t="s">
        <v>454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483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2885</v>
      </c>
      <c r="D46" s="251">
        <f>SUM(D17:D45)</f>
        <v>0</v>
      </c>
      <c r="E46" s="251">
        <f>SUM(E17:E45)</f>
        <v>2885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4">
        <f>C46-C77</f>
        <v>2885</v>
      </c>
      <c r="D78" s="314">
        <f>D46-D77</f>
        <v>0</v>
      </c>
      <c r="E78" s="314">
        <f>E46-E77</f>
        <v>2885</v>
      </c>
    </row>
    <row r="79" spans="1:5" ht="12.75">
      <c r="A79" s="276" t="s">
        <v>170</v>
      </c>
      <c r="B79" s="277"/>
      <c r="C79" s="314">
        <f>C77+C78</f>
        <v>2885</v>
      </c>
      <c r="D79" s="314">
        <f>D77+D78</f>
        <v>0</v>
      </c>
      <c r="E79" s="314">
        <f>E77+E78</f>
        <v>2885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381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484</v>
      </c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60" r:id="rId1"/>
  <headerFooter alignWithMargins="0">
    <oddHeader>&amp;CPage &amp;P&amp;RSioux Lookout_HaltonModel_2002_PILs_Revised20110708_20111014_REVISED20120126</oddHeader>
    <oddFooter>&amp;C&amp;A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4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5" sqref="C3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389</v>
      </c>
      <c r="E3" s="92"/>
    </row>
    <row r="4" spans="1:6" ht="15.75">
      <c r="A4" s="464" t="s">
        <v>450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Sioux Lookout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392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395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396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459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442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393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437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438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455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456</v>
      </c>
      <c r="C35" s="295"/>
      <c r="D35" s="295"/>
      <c r="E35" s="312">
        <f t="shared" si="0"/>
        <v>0</v>
      </c>
    </row>
    <row r="36" spans="1:5" ht="12.75">
      <c r="A36" s="67" t="s">
        <v>439</v>
      </c>
      <c r="C36" s="295"/>
      <c r="D36" s="295"/>
      <c r="E36" s="312">
        <f t="shared" si="0"/>
        <v>0</v>
      </c>
    </row>
    <row r="37" spans="1:5" ht="12.75">
      <c r="A37" s="67" t="s">
        <v>440</v>
      </c>
      <c r="C37" s="295"/>
      <c r="D37" s="295"/>
      <c r="E37" s="312">
        <f t="shared" si="0"/>
        <v>0</v>
      </c>
    </row>
    <row r="38" spans="1:5" ht="12.75">
      <c r="A38" s="67" t="s">
        <v>462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397</v>
      </c>
      <c r="B40" t="s">
        <v>187</v>
      </c>
      <c r="C40" s="295"/>
      <c r="D40" s="295"/>
      <c r="E40" s="312">
        <f t="shared" si="0"/>
        <v>0</v>
      </c>
    </row>
    <row r="41" spans="1:5" ht="12.75">
      <c r="A41" s="81" t="s">
        <v>391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9" t="s">
        <v>401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392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458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393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441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449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461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457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460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8" t="s">
        <v>398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8" t="s">
        <v>391</v>
      </c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8" t="s">
        <v>400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&amp;CPage &amp;P&amp;RSioux Lookout_HaltonModel_2002_PILs_Revised20110708_20111014_REVISED20120126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25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Sioux Lookout Hydro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3" t="s">
        <v>495</v>
      </c>
      <c r="B8" s="504"/>
      <c r="C8" s="504"/>
      <c r="D8" s="504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473</v>
      </c>
      <c r="B10" s="326"/>
      <c r="C10" s="375" t="s">
        <v>111</v>
      </c>
      <c r="D10" s="375"/>
      <c r="E10" s="375" t="s">
        <v>111</v>
      </c>
      <c r="F10" s="376" t="s">
        <v>496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334</v>
      </c>
      <c r="B21" s="406" t="s">
        <v>476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335</v>
      </c>
      <c r="B22" s="407" t="s">
        <v>477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7" t="s">
        <v>497</v>
      </c>
      <c r="B23" s="498"/>
      <c r="C23" s="498"/>
      <c r="D23" s="498"/>
      <c r="E23" s="498"/>
      <c r="F23" s="498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5" t="s">
        <v>489</v>
      </c>
      <c r="B26" s="506"/>
      <c r="C26" s="506"/>
      <c r="D26" s="506"/>
      <c r="E26" s="506"/>
      <c r="F26" s="506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445</v>
      </c>
      <c r="B28" s="326"/>
      <c r="C28" s="369" t="s">
        <v>111</v>
      </c>
      <c r="D28" s="369"/>
      <c r="E28" s="369" t="s">
        <v>111</v>
      </c>
      <c r="F28" s="370" t="s">
        <v>496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486</v>
      </c>
      <c r="B39" s="406" t="s">
        <v>476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487</v>
      </c>
      <c r="B40" s="407" t="s">
        <v>477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9" t="s">
        <v>337</v>
      </c>
      <c r="B41" s="498"/>
      <c r="C41" s="498"/>
      <c r="D41" s="498"/>
      <c r="E41" s="498"/>
      <c r="F41" s="498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0"/>
      <c r="B42" s="500"/>
      <c r="C42" s="500"/>
      <c r="D42" s="500"/>
      <c r="E42" s="500"/>
      <c r="F42" s="500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488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496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/>
      <c r="E50" s="352">
        <v>0.2212</v>
      </c>
      <c r="F50" s="352">
        <v>0.2612</v>
      </c>
      <c r="G50" s="194"/>
      <c r="H50" s="488">
        <v>0.2612</v>
      </c>
      <c r="I50" s="488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0.0975</v>
      </c>
      <c r="F51" s="354">
        <v>0.125</v>
      </c>
      <c r="G51" s="194"/>
      <c r="H51" s="488">
        <v>0.125</v>
      </c>
      <c r="I51" s="488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0.1912</v>
      </c>
      <c r="D52" s="331"/>
      <c r="E52" s="332">
        <f>SUM(E50:E51)</f>
        <v>0.3187</v>
      </c>
      <c r="F52" s="332">
        <f>SUM(F50:F51)</f>
        <v>0.3862</v>
      </c>
      <c r="G52" s="194"/>
      <c r="H52" s="488">
        <f>+H51+H50</f>
        <v>0.3862</v>
      </c>
      <c r="I52" s="488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353</v>
      </c>
      <c r="B57" s="406" t="s">
        <v>476</v>
      </c>
      <c r="C57" s="361">
        <v>5000000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354</v>
      </c>
      <c r="B58" s="407" t="s">
        <v>477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7" t="s">
        <v>355</v>
      </c>
      <c r="B59" s="501"/>
      <c r="C59" s="501"/>
      <c r="D59" s="501"/>
      <c r="E59" s="501"/>
      <c r="F59" s="501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2"/>
      <c r="B60" s="502"/>
      <c r="C60" s="502"/>
      <c r="D60" s="502"/>
      <c r="E60" s="502"/>
      <c r="F60" s="502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&amp;CPage &amp;P&amp;RSioux Lookout_HaltonModel_2002_PILs_Revised20110708_20111014_REVISED20120126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M17" sqref="M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463</v>
      </c>
      <c r="B2" s="2"/>
    </row>
    <row r="3" spans="1:15" ht="12.75">
      <c r="A3" s="2" t="str">
        <f>REGINFO!A3</f>
        <v>Utility Name: Sioux Lookout Hydro Inc.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323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402</v>
      </c>
      <c r="B12" s="66" t="s">
        <v>190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444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403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404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-7243.902439024389</v>
      </c>
      <c r="N15" s="391"/>
      <c r="O15" s="396">
        <f t="shared" si="0"/>
        <v>-7243.902439024389</v>
      </c>
    </row>
    <row r="16" spans="1:15" ht="27" customHeight="1">
      <c r="A16" s="81" t="s">
        <v>405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406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-53425.13414634145</v>
      </c>
      <c r="N17" s="391"/>
      <c r="O17" s="396">
        <f t="shared" si="0"/>
        <v>-53425.13414634145</v>
      </c>
    </row>
    <row r="18" spans="1:15" ht="25.5">
      <c r="A18" s="81" t="s">
        <v>407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408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475</v>
      </c>
      <c r="B20" s="66" t="s">
        <v>188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378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-60669.03658536584</v>
      </c>
      <c r="N22" s="390"/>
      <c r="O22" s="450">
        <f>SUM(O11:O20)</f>
        <v>-60669.03658536584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409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410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411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412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8" t="s">
        <v>413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420"/>
      <c r="Q33" s="420"/>
      <c r="R33" s="420"/>
      <c r="S33" s="420"/>
    </row>
    <row r="34" spans="1:19" ht="12.75">
      <c r="A34" s="507" t="s">
        <v>414</v>
      </c>
      <c r="B34" s="510"/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420"/>
      <c r="Q34" s="420"/>
      <c r="R34" s="420"/>
      <c r="S34" s="420"/>
    </row>
    <row r="35" spans="1:19" ht="12.75">
      <c r="A35" s="507" t="s">
        <v>435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420"/>
      <c r="Q35" s="420"/>
      <c r="R35" s="420"/>
      <c r="S35" s="420"/>
    </row>
    <row r="36" spans="1:19" ht="12.75">
      <c r="A36" s="507" t="s">
        <v>415</v>
      </c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420"/>
      <c r="Q36" s="420"/>
      <c r="R36" s="420"/>
      <c r="S36" s="420"/>
    </row>
    <row r="37" spans="1:19" ht="12.75">
      <c r="A37" s="437" t="s">
        <v>375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376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416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417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418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419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420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421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422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423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424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421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425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426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427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428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429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385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430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431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387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386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388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432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433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434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07" t="s">
        <v>464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</row>
    <row r="75" spans="1:15" ht="12.75">
      <c r="A75" s="434" t="s">
        <v>377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07"/>
      <c r="D92" s="507"/>
      <c r="E92" s="507"/>
      <c r="F92" s="507"/>
      <c r="G92" s="507"/>
      <c r="H92" s="507"/>
      <c r="I92" s="507"/>
      <c r="J92" s="507"/>
      <c r="K92" s="507"/>
      <c r="L92" s="507"/>
      <c r="M92" s="507"/>
      <c r="N92" s="507"/>
      <c r="O92" s="507"/>
      <c r="P92" s="507"/>
      <c r="Q92" s="507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Header>&amp;CPage &amp;P&amp;RSioux Lookout_HaltonModel_2002_PILs_Revised20110708_20111014_REVISED20120126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Deanne</cp:lastModifiedBy>
  <cp:lastPrinted>2012-01-31T15:40:58Z</cp:lastPrinted>
  <dcterms:created xsi:type="dcterms:W3CDTF">2001-11-07T16:15:53Z</dcterms:created>
  <dcterms:modified xsi:type="dcterms:W3CDTF">2012-01-31T15:41:39Z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