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1562 Continuity Schedule" sheetId="1" r:id="rId1"/>
    <sheet name="Total Billings" sheetId="2" r:id="rId2"/>
    <sheet name="Billing kW kWh" sheetId="3" r:id="rId3"/>
    <sheet name="Billing Service Charge " sheetId="4" r:id="rId4"/>
  </sheets>
  <definedNames>
    <definedName name="aprsix">'1562 Continuity Schedule'!$A$195</definedName>
    <definedName name="end">'1562 Continuity Schedule'!$A$416</definedName>
    <definedName name="_xlnm.Print_Titles" localSheetId="0">'1562 Continuity Schedule'!$1:$9</definedName>
    <definedName name="_xlnm.Print_Titles" localSheetId="2">'Billing kW kWh'!$1:$4</definedName>
    <definedName name="_xlnm.Print_Titles" localSheetId="1">'Total Billings'!$1:$4</definedName>
  </definedNames>
  <calcPr fullCalcOnLoad="1"/>
</workbook>
</file>

<file path=xl/sharedStrings.xml><?xml version="1.0" encoding="utf-8"?>
<sst xmlns="http://schemas.openxmlformats.org/spreadsheetml/2006/main" count="983" uniqueCount="176">
  <si>
    <t>WATERLOO NORTH HYDRO INC.</t>
  </si>
  <si>
    <t>Alternative 1</t>
  </si>
  <si>
    <t>Date</t>
  </si>
  <si>
    <t>Description</t>
  </si>
  <si>
    <t>DR(CR)</t>
  </si>
  <si>
    <t>Balance</t>
  </si>
  <si>
    <t>Interest Receivable</t>
  </si>
  <si>
    <t>BALANCE SHEET</t>
  </si>
  <si>
    <t xml:space="preserve">    Deferred PILs -</t>
  </si>
  <si>
    <t>INCOME STATEMENT</t>
  </si>
  <si>
    <t>PILs monthly accrual (1)</t>
  </si>
  <si>
    <t>(1)</t>
  </si>
  <si>
    <t>2001 Amount included in PILs in RAM</t>
  </si>
  <si>
    <t>/</t>
  </si>
  <si>
    <t>months =</t>
  </si>
  <si>
    <t>PILs monthly accrual (2)</t>
  </si>
  <si>
    <t>(2)</t>
  </si>
  <si>
    <t>Billed to Customers (3)</t>
  </si>
  <si>
    <t>(3)</t>
  </si>
  <si>
    <t>April</t>
  </si>
  <si>
    <t>RES</t>
  </si>
  <si>
    <t>&lt;50</t>
  </si>
  <si>
    <t>&gt;50</t>
  </si>
  <si>
    <t>LU</t>
  </si>
  <si>
    <t>ST LT</t>
  </si>
  <si>
    <t>Total</t>
  </si>
  <si>
    <t xml:space="preserve">                  kWh</t>
  </si>
  <si>
    <t>kW</t>
  </si>
  <si>
    <t>June</t>
  </si>
  <si>
    <t>July</t>
  </si>
  <si>
    <t>August</t>
  </si>
  <si>
    <t>September</t>
  </si>
  <si>
    <t>October</t>
  </si>
  <si>
    <t>November</t>
  </si>
  <si>
    <t>December</t>
  </si>
  <si>
    <t>Rate</t>
  </si>
  <si>
    <t>Unbilled Dec/02</t>
  </si>
  <si>
    <t>PILs $ for kWh</t>
  </si>
  <si>
    <t>Schedule of Billings for PILs - kWh</t>
  </si>
  <si>
    <t>May (b)</t>
  </si>
  <si>
    <t xml:space="preserve">March </t>
  </si>
  <si>
    <t xml:space="preserve">May </t>
  </si>
  <si>
    <t>Distrib Serv Rev</t>
  </si>
  <si>
    <t xml:space="preserve">   # 1562 Sub-Acct</t>
  </si>
  <si>
    <t>Oct 31</t>
  </si>
  <si>
    <t>Nov 28</t>
  </si>
  <si>
    <t>Dec 31</t>
  </si>
  <si>
    <t>Jan 31</t>
  </si>
  <si>
    <t>Feb 28</t>
  </si>
  <si>
    <t>Mar 31</t>
  </si>
  <si>
    <t>Apr 30</t>
  </si>
  <si>
    <t>May 31</t>
  </si>
  <si>
    <t>June 30</t>
  </si>
  <si>
    <t>July 31</t>
  </si>
  <si>
    <t>Aug 31</t>
  </si>
  <si>
    <t>Sept 30</t>
  </si>
  <si>
    <t>Nov 30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</si>
  <si>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</si>
  <si>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</si>
  <si>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</si>
  <si>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</si>
  <si>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</si>
  <si>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</si>
  <si>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</si>
  <si>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</si>
  <si>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</si>
  <si>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</si>
  <si>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</si>
  <si>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</si>
  <si>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</si>
  <si>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</si>
  <si>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(4)</t>
  </si>
  <si>
    <t>PILs monthly accrual (4)</t>
  </si>
  <si>
    <t>Unbilled Dec/03</t>
  </si>
  <si>
    <t>Unbilled</t>
  </si>
  <si>
    <t>Unbilled Rev Dec/02</t>
  </si>
  <si>
    <t>Jan 1/03</t>
  </si>
  <si>
    <t>2003 Amount included in PILs in RAM</t>
  </si>
  <si>
    <t>Unbilled Dec/03v4</t>
  </si>
  <si>
    <t>Unbilled Dec/04</t>
  </si>
  <si>
    <t>Jan 1/04</t>
  </si>
  <si>
    <t>Feb 29</t>
  </si>
  <si>
    <t>2004 Entitlement in Rates = 2002</t>
  </si>
  <si>
    <t>Unbilled Rev Dec/03 V4</t>
  </si>
  <si>
    <t>Pre-Apr 1</t>
  </si>
  <si>
    <t>Post-Apr 1</t>
  </si>
  <si>
    <t>Post Apr 1</t>
  </si>
  <si>
    <t>PILs $ for kWh / kW</t>
  </si>
  <si>
    <t>#1100</t>
  </si>
  <si>
    <t xml:space="preserve"> #1562</t>
  </si>
  <si>
    <t>#4080</t>
  </si>
  <si>
    <t>#4080 Sub-Acct</t>
  </si>
  <si>
    <t>Sub - Acct</t>
  </si>
  <si>
    <t xml:space="preserve">Distrib Serv Rev - </t>
  </si>
  <si>
    <t>#4405</t>
  </si>
  <si>
    <t>Interest and</t>
  </si>
  <si>
    <t>Dividend Income</t>
  </si>
  <si>
    <t>Accounts Receivable</t>
  </si>
  <si>
    <t xml:space="preserve"> Deferred PILs</t>
  </si>
  <si>
    <t>(5)</t>
  </si>
  <si>
    <t>Unbilled Dec/04 v3</t>
  </si>
  <si>
    <t>Unbilled Rev Dec/04 V3</t>
  </si>
  <si>
    <t>Jan 1/05</t>
  </si>
  <si>
    <t>Unbilled Dec/04v3</t>
  </si>
  <si>
    <t>Unbilled Rev Dec/05</t>
  </si>
  <si>
    <t>Unbilled Dec/05 v3</t>
  </si>
  <si>
    <t>Unbilled Dec/05v3</t>
  </si>
  <si>
    <t>Unbilled Dec/06</t>
  </si>
  <si>
    <t>Pre-May 1</t>
  </si>
  <si>
    <t>2005 Entitlement in Rates Apr/05-Apr/06</t>
  </si>
  <si>
    <t>Jan 1/06</t>
  </si>
  <si>
    <t>Jan 31/07</t>
  </si>
  <si>
    <t>.</t>
  </si>
  <si>
    <t>Jan 31/08</t>
  </si>
  <si>
    <t>Jan 31/09</t>
  </si>
  <si>
    <t>Jan 31/10</t>
  </si>
  <si>
    <t>Jan 31/11</t>
  </si>
  <si>
    <t>Jan 31/12</t>
  </si>
  <si>
    <t>Carrying Charge Rate to April 30, 2006</t>
  </si>
  <si>
    <t>Carrying Charge Rate May 1, 2006  - June 30, 2006</t>
  </si>
  <si>
    <t>Carrying Charge Rate July 1, 2006  - September 30, 2006</t>
  </si>
  <si>
    <t>Carrying Charge Rate October 1, 2006  - September 30, 2007</t>
  </si>
  <si>
    <t>Carrying Charge Rate October 1, 2007 - March 31, 2008</t>
  </si>
  <si>
    <t>Carrying Charge Rate April 1, 2008 - June 30, 2008</t>
  </si>
  <si>
    <t>Carrying Charge Rate July 1, 2009 - June 30, 2010</t>
  </si>
  <si>
    <t>Res</t>
  </si>
  <si>
    <t>Lg User</t>
  </si>
  <si>
    <t>St Lt</t>
  </si>
  <si>
    <t># Service Charges</t>
  </si>
  <si>
    <t># Service Charges x $ in Rates</t>
  </si>
  <si>
    <t>March/April</t>
  </si>
  <si>
    <t>Billed kWh</t>
  </si>
  <si>
    <t>Billed Service Chg</t>
  </si>
  <si>
    <t>Mar/April</t>
  </si>
  <si>
    <t>Schedule of Billings for PILs- Total of kWh, kWh and Service Charges</t>
  </si>
  <si>
    <t>Unbilled Dec/Mar/04</t>
  </si>
  <si>
    <t>Unbilled Dec/05</t>
  </si>
  <si>
    <t>Total of Apr-Sept = Apr Accrual</t>
  </si>
  <si>
    <t xml:space="preserve">2 True up amounts for 2004 </t>
  </si>
  <si>
    <t>2 True up amounts for 2003</t>
  </si>
  <si>
    <t>2 True up amounts for 2005</t>
  </si>
  <si>
    <t>Jan-Dec/06</t>
  </si>
  <si>
    <t>Jan-Apr/06</t>
  </si>
  <si>
    <t>PILs 1562</t>
  </si>
  <si>
    <t>Rate-Pre Apr 1</t>
  </si>
  <si>
    <t>Rate-Post Apr 1</t>
  </si>
  <si>
    <t xml:space="preserve">            kWh</t>
  </si>
  <si>
    <t>Rate-Pre May 1</t>
  </si>
  <si>
    <t>Schedule of Billings for PILs - Service Charge</t>
  </si>
  <si>
    <t xml:space="preserve">2002 Amount included in PILs in RAM &amp; </t>
  </si>
  <si>
    <t>PILs monthly accrual</t>
  </si>
  <si>
    <t>2001 True Up Variance</t>
  </si>
  <si>
    <t>2002 True Up Variance</t>
  </si>
  <si>
    <t>PILs monthly accrual (5)</t>
  </si>
  <si>
    <t>Billed to Customers</t>
  </si>
  <si>
    <t>Billed to Customers (3) &amp; Accruall My-Sept</t>
  </si>
  <si>
    <t>Transfer PILs Billed from Revenue</t>
  </si>
  <si>
    <t>Transfer PILs Unilled from Revenue</t>
  </si>
  <si>
    <t>Reverse Dec/02 Unbilled Revenue</t>
  </si>
  <si>
    <t>Reverse Dec/03 Unbilled Revenue</t>
  </si>
  <si>
    <t>Reverse Dec/04 Unbilled Revenue</t>
  </si>
  <si>
    <t>Reverse Transfer PILs Unbilled from Revenue</t>
  </si>
  <si>
    <t>Transfer PILs Unbilled from Revenue</t>
  </si>
  <si>
    <t>Reverse Transfer Dec/05 Unbill Revenue</t>
  </si>
  <si>
    <t>See Backup Schedules for Details</t>
  </si>
  <si>
    <t>Footnotes:</t>
  </si>
  <si>
    <t>Annual Billing to Customers</t>
  </si>
  <si>
    <t>Annual Proxy</t>
  </si>
  <si>
    <t>Annual Carry Charge</t>
  </si>
  <si>
    <t>Carrying Charge Rate July 1, 2008 - December 31, 2008</t>
  </si>
  <si>
    <t>Carrying Charge Rate January 1, 2009 - March 31, 2009</t>
  </si>
  <si>
    <t>Carrying Charge Rate April 1, 2009 - June 30, 2009</t>
  </si>
  <si>
    <t>Carrying Charge Rate July 1, 2010 - September 30, 2010</t>
  </si>
  <si>
    <t>Carrying Charge Rate October 1, 2010 - December 31, 2010</t>
  </si>
  <si>
    <t xml:space="preserve">Carrying Charge Rate January 1, 2011 - </t>
  </si>
  <si>
    <t>Reply Submission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</si>
</sst>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_);_(@_)"/>
    <numFmt numFmtId="175" formatCode="_(* #,##0.00_);_(* \(#,##0.00\);_(* &quot;-&quot;_);_(@_)"/>
    <numFmt numFmtId="176" formatCode="_(* #,##0.000_);_(* \(#,##0.000\);_(* &quot;-&quot;_);_(@_)"/>
    <numFmt numFmtId="177" formatCode="_(* #,##0.0000_);_(* \(#,##0.0000\);_(* &quot;-&quot;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mmmm\-yy"/>
    <numFmt numFmtId="185" formatCode="_(* #,##0.000000_);_(* \(#,##0.000000\);_(* &quot;-&quot;??_);_(@_)"/>
    <numFmt numFmtId="186" formatCode="#,##0;\(#,##0\)"/>
    <numFmt numFmtId="187" formatCode="0.0000"/>
    <numFmt numFmtId="188" formatCode="#,##0.0000"/>
    <numFmt numFmtId="189" formatCode="0.0000%"/>
    <numFmt numFmtId="190" formatCode="_(* #,##0.00000_);_(* \(#,##0.00000\);_(* &quot;-&quot;_);_(@_)"/>
    <numFmt numFmtId="191" formatCode="_(* #,##0.000000_);_(* \(#,##0.000000\);_(* &quot;-&quot;_);_(@_)"/>
    <numFmt numFmtId="192" formatCode="0.0000000"/>
    <numFmt numFmtId="193" formatCode="0.00000000"/>
    <numFmt numFmtId="194" formatCode="0.0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_(&quot;$&quot;* #,##0.0000_);_(&quot;$&quot;* \(#,##0.0000\);_(&quot;$&quot;* &quot;-&quot;????_);_(@_)"/>
  </numFmts>
  <fonts count="8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9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3"/>
      <name val="Times New Roman"/>
      <family val="1"/>
    </font>
    <font>
      <sz val="12"/>
      <color indexed="10"/>
      <name val="Times New Roman"/>
      <family val="1"/>
    </font>
    <font>
      <b/>
      <sz val="12"/>
      <color indexed="5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50"/>
      <name val="Times New Roman"/>
      <family val="1"/>
    </font>
    <font>
      <strike/>
      <sz val="12"/>
      <color indexed="10"/>
      <name val="Times New Roman"/>
      <family val="1"/>
    </font>
    <font>
      <b/>
      <sz val="10"/>
      <color indexed="17"/>
      <name val="Times New Roman"/>
      <family val="1"/>
    </font>
    <font>
      <b/>
      <strike/>
      <sz val="12"/>
      <color indexed="17"/>
      <name val="Times New Roman"/>
      <family val="1"/>
    </font>
    <font>
      <b/>
      <sz val="10"/>
      <color indexed="53"/>
      <name val="Times New Roman"/>
      <family val="1"/>
    </font>
    <font>
      <b/>
      <strike/>
      <sz val="12"/>
      <color indexed="5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i/>
      <sz val="12"/>
      <color indexed="10"/>
      <name val="Arial"/>
      <family val="2"/>
    </font>
    <font>
      <i/>
      <sz val="11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b/>
      <sz val="14"/>
      <color indexed="9"/>
      <name val="Arial"/>
      <family val="2"/>
    </font>
    <font>
      <i/>
      <u val="single"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4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FF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2" fontId="1" fillId="0" borderId="0" xfId="42" applyNumberFormat="1" applyFont="1" applyAlignment="1">
      <alignment/>
    </xf>
    <xf numFmtId="173" fontId="1" fillId="0" borderId="0" xfId="0" applyNumberFormat="1" applyFont="1" applyAlignment="1">
      <alignment/>
    </xf>
    <xf numFmtId="41" fontId="1" fillId="0" borderId="14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173" fontId="1" fillId="0" borderId="14" xfId="42" applyNumberFormat="1" applyFont="1" applyBorder="1" applyAlignment="1">
      <alignment/>
    </xf>
    <xf numFmtId="42" fontId="1" fillId="0" borderId="15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14" xfId="0" applyNumberFormat="1" applyFont="1" applyBorder="1" applyAlignment="1">
      <alignment/>
    </xf>
    <xf numFmtId="41" fontId="9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41" fontId="1" fillId="0" borderId="14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11" fillId="0" borderId="11" xfId="0" applyFont="1" applyBorder="1" applyAlignment="1">
      <alignment/>
    </xf>
    <xf numFmtId="41" fontId="11" fillId="0" borderId="14" xfId="0" applyNumberFormat="1" applyFont="1" applyBorder="1" applyAlignment="1">
      <alignment/>
    </xf>
    <xf numFmtId="41" fontId="12" fillId="0" borderId="14" xfId="0" applyNumberFormat="1" applyFont="1" applyBorder="1" applyAlignment="1">
      <alignment/>
    </xf>
    <xf numFmtId="0" fontId="12" fillId="0" borderId="11" xfId="0" applyFont="1" applyBorder="1" applyAlignment="1">
      <alignment/>
    </xf>
    <xf numFmtId="41" fontId="6" fillId="0" borderId="10" xfId="0" applyNumberFormat="1" applyFont="1" applyBorder="1" applyAlignment="1">
      <alignment horizontal="center"/>
    </xf>
    <xf numFmtId="41" fontId="2" fillId="0" borderId="14" xfId="0" applyNumberFormat="1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 quotePrefix="1">
      <alignment horizontal="left"/>
    </xf>
    <xf numFmtId="49" fontId="1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8" fillId="0" borderId="0" xfId="0" applyFont="1" applyAlignment="1">
      <alignment/>
    </xf>
    <xf numFmtId="10" fontId="18" fillId="0" borderId="0" xfId="59" applyNumberFormat="1" applyFont="1" applyAlignment="1">
      <alignment/>
    </xf>
    <xf numFmtId="10" fontId="10" fillId="0" borderId="0" xfId="59" applyNumberFormat="1" applyFont="1" applyAlignment="1">
      <alignment/>
    </xf>
    <xf numFmtId="43" fontId="1" fillId="0" borderId="14" xfId="42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0" fontId="20" fillId="0" borderId="0" xfId="59" applyNumberFormat="1" applyFont="1" applyAlignment="1">
      <alignment/>
    </xf>
    <xf numFmtId="0" fontId="2" fillId="32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11" fillId="0" borderId="14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10" fontId="2" fillId="0" borderId="0" xfId="59" applyNumberFormat="1" applyFont="1" applyFill="1" applyAlignment="1">
      <alignment/>
    </xf>
    <xf numFmtId="10" fontId="2" fillId="0" borderId="0" xfId="59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10" fillId="0" borderId="0" xfId="0" applyFont="1" applyFill="1" applyBorder="1" applyAlignment="1" quotePrefix="1">
      <alignment horizontal="center"/>
    </xf>
    <xf numFmtId="42" fontId="1" fillId="0" borderId="0" xfId="42" applyNumberFormat="1" applyFont="1" applyFill="1" applyBorder="1" applyAlignment="1">
      <alignment/>
    </xf>
    <xf numFmtId="42" fontId="1" fillId="0" borderId="0" xfId="42" applyNumberFormat="1" applyFont="1" applyFill="1" applyAlignment="1">
      <alignment/>
    </xf>
    <xf numFmtId="42" fontId="6" fillId="0" borderId="0" xfId="42" applyNumberFormat="1" applyFont="1" applyFill="1" applyBorder="1" applyAlignment="1">
      <alignment horizontal="center"/>
    </xf>
    <xf numFmtId="41" fontId="16" fillId="0" borderId="10" xfId="0" applyNumberFormat="1" applyFont="1" applyBorder="1" applyAlignment="1">
      <alignment/>
    </xf>
    <xf numFmtId="0" fontId="17" fillId="0" borderId="16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17" fillId="0" borderId="0" xfId="0" applyFont="1" applyFill="1" applyAlignment="1">
      <alignment/>
    </xf>
    <xf numFmtId="41" fontId="17" fillId="0" borderId="16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41" fontId="17" fillId="0" borderId="1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41" fontId="10" fillId="0" borderId="16" xfId="0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41" fontId="16" fillId="0" borderId="10" xfId="0" applyNumberFormat="1" applyFont="1" applyBorder="1" applyAlignment="1">
      <alignment/>
    </xf>
    <xf numFmtId="49" fontId="2" fillId="0" borderId="11" xfId="0" applyNumberFormat="1" applyFont="1" applyBorder="1" applyAlignment="1" quotePrefix="1">
      <alignment horizontal="left"/>
    </xf>
    <xf numFmtId="41" fontId="1" fillId="33" borderId="10" xfId="0" applyNumberFormat="1" applyFont="1" applyFill="1" applyBorder="1" applyAlignment="1">
      <alignment/>
    </xf>
    <xf numFmtId="41" fontId="8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17" xfId="0" applyFont="1" applyBorder="1" applyAlignment="1">
      <alignment horizontal="center"/>
    </xf>
    <xf numFmtId="0" fontId="29" fillId="0" borderId="16" xfId="0" applyFont="1" applyFill="1" applyBorder="1" applyAlignment="1">
      <alignment horizontal="left"/>
    </xf>
    <xf numFmtId="43" fontId="28" fillId="0" borderId="11" xfId="42" applyFont="1" applyFill="1" applyBorder="1" applyAlignment="1">
      <alignment horizontal="center"/>
    </xf>
    <xf numFmtId="43" fontId="28" fillId="0" borderId="0" xfId="42" applyFont="1" applyFill="1" applyBorder="1" applyAlignment="1">
      <alignment horizontal="center"/>
    </xf>
    <xf numFmtId="0" fontId="29" fillId="0" borderId="11" xfId="0" applyFont="1" applyBorder="1" applyAlignment="1">
      <alignment/>
    </xf>
    <xf numFmtId="0" fontId="28" fillId="0" borderId="16" xfId="0" applyFont="1" applyFill="1" applyBorder="1" applyAlignment="1">
      <alignment horizontal="center"/>
    </xf>
    <xf numFmtId="177" fontId="28" fillId="0" borderId="1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9" fillId="0" borderId="16" xfId="0" applyFont="1" applyBorder="1" applyAlignment="1">
      <alignment horizontal="left"/>
    </xf>
    <xf numFmtId="173" fontId="28" fillId="0" borderId="11" xfId="42" applyNumberFormat="1" applyFont="1" applyFill="1" applyBorder="1" applyAlignment="1">
      <alignment horizontal="center"/>
    </xf>
    <xf numFmtId="173" fontId="28" fillId="0" borderId="0" xfId="42" applyNumberFormat="1" applyFont="1" applyFill="1" applyBorder="1" applyAlignment="1">
      <alignment horizontal="center"/>
    </xf>
    <xf numFmtId="41" fontId="29" fillId="0" borderId="11" xfId="0" applyNumberFormat="1" applyFont="1" applyBorder="1" applyAlignment="1">
      <alignment/>
    </xf>
    <xf numFmtId="0" fontId="29" fillId="0" borderId="16" xfId="0" applyFont="1" applyBorder="1" applyAlignment="1">
      <alignment/>
    </xf>
    <xf numFmtId="173" fontId="29" fillId="0" borderId="11" xfId="42" applyNumberFormat="1" applyFont="1" applyBorder="1" applyAlignment="1">
      <alignment/>
    </xf>
    <xf numFmtId="173" fontId="29" fillId="0" borderId="0" xfId="42" applyNumberFormat="1" applyFont="1" applyBorder="1" applyAlignment="1">
      <alignment/>
    </xf>
    <xf numFmtId="41" fontId="29" fillId="0" borderId="18" xfId="0" applyNumberFormat="1" applyFont="1" applyBorder="1" applyAlignment="1">
      <alignment/>
    </xf>
    <xf numFmtId="41" fontId="29" fillId="0" borderId="0" xfId="0" applyNumberFormat="1" applyFont="1" applyBorder="1" applyAlignment="1">
      <alignment/>
    </xf>
    <xf numFmtId="0" fontId="29" fillId="0" borderId="19" xfId="0" applyFont="1" applyBorder="1" applyAlignment="1">
      <alignment/>
    </xf>
    <xf numFmtId="41" fontId="29" fillId="0" borderId="12" xfId="0" applyNumberFormat="1" applyFont="1" applyBorder="1" applyAlignment="1">
      <alignment/>
    </xf>
    <xf numFmtId="41" fontId="29" fillId="0" borderId="20" xfId="0" applyNumberFormat="1" applyFont="1" applyBorder="1" applyAlignment="1">
      <alignment/>
    </xf>
    <xf numFmtId="41" fontId="29" fillId="0" borderId="0" xfId="0" applyNumberFormat="1" applyFont="1" applyAlignment="1">
      <alignment/>
    </xf>
    <xf numFmtId="43" fontId="29" fillId="0" borderId="0" xfId="42" applyFont="1" applyAlignment="1">
      <alignment/>
    </xf>
    <xf numFmtId="169" fontId="29" fillId="0" borderId="0" xfId="0" applyNumberFormat="1" applyFont="1" applyAlignment="1">
      <alignment/>
    </xf>
    <xf numFmtId="173" fontId="29" fillId="0" borderId="0" xfId="42" applyNumberFormat="1" applyFont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Fill="1" applyAlignment="1">
      <alignment horizontal="center"/>
    </xf>
    <xf numFmtId="41" fontId="28" fillId="0" borderId="0" xfId="0" applyNumberFormat="1" applyFont="1" applyFill="1" applyAlignment="1">
      <alignment horizontal="center"/>
    </xf>
    <xf numFmtId="41" fontId="29" fillId="0" borderId="0" xfId="0" applyNumberFormat="1" applyFont="1" applyFill="1" applyAlignment="1">
      <alignment/>
    </xf>
    <xf numFmtId="41" fontId="27" fillId="0" borderId="0" xfId="0" applyNumberFormat="1" applyFont="1" applyAlignment="1">
      <alignment/>
    </xf>
    <xf numFmtId="41" fontId="27" fillId="0" borderId="0" xfId="0" applyNumberFormat="1" applyFont="1" applyFill="1" applyAlignment="1">
      <alignment/>
    </xf>
    <xf numFmtId="41" fontId="27" fillId="0" borderId="15" xfId="0" applyNumberFormat="1" applyFont="1" applyBorder="1" applyAlignment="1">
      <alignment/>
    </xf>
    <xf numFmtId="0" fontId="34" fillId="0" borderId="0" xfId="0" applyFont="1" applyAlignment="1">
      <alignment/>
    </xf>
    <xf numFmtId="41" fontId="3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29" fillId="0" borderId="0" xfId="0" applyFont="1" applyFill="1" applyAlignment="1">
      <alignment/>
    </xf>
    <xf numFmtId="0" fontId="28" fillId="32" borderId="21" xfId="0" applyFont="1" applyFill="1" applyBorder="1" applyAlignment="1">
      <alignment horizontal="center"/>
    </xf>
    <xf numFmtId="0" fontId="29" fillId="32" borderId="22" xfId="0" applyFont="1" applyFill="1" applyBorder="1" applyAlignment="1">
      <alignment/>
    </xf>
    <xf numFmtId="0" fontId="29" fillId="32" borderId="21" xfId="0" applyFont="1" applyFill="1" applyBorder="1" applyAlignment="1">
      <alignment/>
    </xf>
    <xf numFmtId="0" fontId="29" fillId="32" borderId="23" xfId="0" applyFont="1" applyFill="1" applyBorder="1" applyAlignment="1">
      <alignment/>
    </xf>
    <xf numFmtId="0" fontId="29" fillId="0" borderId="24" xfId="0" applyFont="1" applyBorder="1" applyAlignment="1">
      <alignment/>
    </xf>
    <xf numFmtId="0" fontId="28" fillId="3" borderId="17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177" fontId="28" fillId="0" borderId="16" xfId="0" applyNumberFormat="1" applyFont="1" applyFill="1" applyBorder="1" applyAlignment="1">
      <alignment horizontal="center"/>
    </xf>
    <xf numFmtId="177" fontId="28" fillId="0" borderId="10" xfId="0" applyNumberFormat="1" applyFont="1" applyFill="1" applyBorder="1" applyAlignment="1">
      <alignment horizontal="center"/>
    </xf>
    <xf numFmtId="41" fontId="27" fillId="0" borderId="16" xfId="0" applyNumberFormat="1" applyFont="1" applyBorder="1" applyAlignment="1">
      <alignment/>
    </xf>
    <xf numFmtId="41" fontId="27" fillId="0" borderId="10" xfId="0" applyNumberFormat="1" applyFont="1" applyBorder="1" applyAlignment="1">
      <alignment/>
    </xf>
    <xf numFmtId="41" fontId="27" fillId="0" borderId="0" xfId="0" applyNumberFormat="1" applyFont="1" applyBorder="1" applyAlignment="1">
      <alignment/>
    </xf>
    <xf numFmtId="41" fontId="27" fillId="0" borderId="11" xfId="0" applyNumberFormat="1" applyFont="1" applyBorder="1" applyAlignment="1">
      <alignment/>
    </xf>
    <xf numFmtId="41" fontId="27" fillId="0" borderId="26" xfId="0" applyNumberFormat="1" applyFont="1" applyBorder="1" applyAlignment="1">
      <alignment/>
    </xf>
    <xf numFmtId="41" fontId="27" fillId="0" borderId="27" xfId="0" applyNumberFormat="1" applyFont="1" applyBorder="1" applyAlignment="1">
      <alignment/>
    </xf>
    <xf numFmtId="41" fontId="27" fillId="0" borderId="18" xfId="0" applyNumberFormat="1" applyFont="1" applyBorder="1" applyAlignment="1">
      <alignment/>
    </xf>
    <xf numFmtId="41" fontId="34" fillId="0" borderId="0" xfId="0" applyNumberFormat="1" applyFont="1" applyAlignment="1">
      <alignment/>
    </xf>
    <xf numFmtId="41" fontId="34" fillId="0" borderId="0" xfId="0" applyNumberFormat="1" applyFont="1" applyFill="1" applyAlignment="1">
      <alignment/>
    </xf>
    <xf numFmtId="179" fontId="38" fillId="0" borderId="0" xfId="44" applyNumberFormat="1" applyFont="1" applyFill="1" applyBorder="1" applyAlignment="1">
      <alignment/>
    </xf>
    <xf numFmtId="179" fontId="28" fillId="0" borderId="0" xfId="44" applyNumberFormat="1" applyFont="1" applyFill="1" applyBorder="1" applyAlignment="1">
      <alignment/>
    </xf>
    <xf numFmtId="0" fontId="28" fillId="0" borderId="0" xfId="0" applyFont="1" applyBorder="1" applyAlignment="1">
      <alignment horizontal="center"/>
    </xf>
    <xf numFmtId="41" fontId="28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182" fontId="0" fillId="0" borderId="0" xfId="42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8" fillId="3" borderId="19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41" fontId="27" fillId="0" borderId="0" xfId="0" applyNumberFormat="1" applyFont="1" applyFill="1" applyBorder="1" applyAlignment="1">
      <alignment/>
    </xf>
    <xf numFmtId="41" fontId="40" fillId="0" borderId="0" xfId="0" applyNumberFormat="1" applyFont="1" applyBorder="1" applyAlignment="1">
      <alignment horizontal="center"/>
    </xf>
    <xf numFmtId="41" fontId="34" fillId="0" borderId="0" xfId="0" applyNumberFormat="1" applyFont="1" applyBorder="1" applyAlignment="1">
      <alignment horizontal="center"/>
    </xf>
    <xf numFmtId="41" fontId="34" fillId="0" borderId="0" xfId="0" applyNumberFormat="1" applyFont="1" applyFill="1" applyBorder="1" applyAlignment="1">
      <alignment horizontal="center"/>
    </xf>
    <xf numFmtId="0" fontId="28" fillId="3" borderId="24" xfId="0" applyFont="1" applyFill="1" applyBorder="1" applyAlignment="1">
      <alignment horizontal="center"/>
    </xf>
    <xf numFmtId="0" fontId="28" fillId="34" borderId="28" xfId="0" applyFont="1" applyFill="1" applyBorder="1" applyAlignment="1">
      <alignment horizontal="center"/>
    </xf>
    <xf numFmtId="0" fontId="28" fillId="34" borderId="24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4" borderId="29" xfId="0" applyFont="1" applyFill="1" applyBorder="1" applyAlignment="1">
      <alignment horizontal="center"/>
    </xf>
    <xf numFmtId="173" fontId="29" fillId="0" borderId="0" xfId="42" applyNumberFormat="1" applyFont="1" applyFill="1" applyBorder="1" applyAlignment="1">
      <alignment/>
    </xf>
    <xf numFmtId="179" fontId="26" fillId="0" borderId="0" xfId="44" applyNumberFormat="1" applyFont="1" applyFill="1" applyBorder="1" applyAlignment="1">
      <alignment/>
    </xf>
    <xf numFmtId="0" fontId="28" fillId="32" borderId="29" xfId="0" applyFont="1" applyFill="1" applyBorder="1" applyAlignment="1">
      <alignment horizontal="center"/>
    </xf>
    <xf numFmtId="173" fontId="29" fillId="0" borderId="11" xfId="42" applyNumberFormat="1" applyFont="1" applyFill="1" applyBorder="1" applyAlignment="1">
      <alignment horizontal="center"/>
    </xf>
    <xf numFmtId="173" fontId="29" fillId="0" borderId="0" xfId="42" applyNumberFormat="1" applyFont="1" applyFill="1" applyBorder="1" applyAlignment="1">
      <alignment horizontal="center"/>
    </xf>
    <xf numFmtId="173" fontId="29" fillId="35" borderId="11" xfId="42" applyNumberFormat="1" applyFont="1" applyFill="1" applyBorder="1" applyAlignment="1">
      <alignment horizontal="center"/>
    </xf>
    <xf numFmtId="173" fontId="29" fillId="35" borderId="29" xfId="0" applyNumberFormat="1" applyFont="1" applyFill="1" applyBorder="1" applyAlignment="1">
      <alignment/>
    </xf>
    <xf numFmtId="41" fontId="29" fillId="0" borderId="29" xfId="0" applyNumberFormat="1" applyFont="1" applyBorder="1" applyAlignment="1">
      <alignment/>
    </xf>
    <xf numFmtId="41" fontId="17" fillId="0" borderId="0" xfId="0" applyNumberFormat="1" applyFont="1" applyFill="1" applyAlignment="1">
      <alignment/>
    </xf>
    <xf numFmtId="41" fontId="29" fillId="0" borderId="11" xfId="0" applyNumberFormat="1" applyFont="1" applyFill="1" applyBorder="1" applyAlignment="1">
      <alignment/>
    </xf>
    <xf numFmtId="41" fontId="29" fillId="0" borderId="18" xfId="0" applyNumberFormat="1" applyFont="1" applyFill="1" applyBorder="1" applyAlignment="1">
      <alignment/>
    </xf>
    <xf numFmtId="0" fontId="28" fillId="4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0" fontId="0" fillId="0" borderId="31" xfId="59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0" xfId="59" applyNumberFormat="1" applyFont="1" applyFill="1" applyBorder="1" applyAlignment="1">
      <alignment/>
    </xf>
    <xf numFmtId="173" fontId="0" fillId="0" borderId="0" xfId="42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3" fontId="0" fillId="0" borderId="20" xfId="42" applyNumberFormat="1" applyFont="1" applyFill="1" applyBorder="1" applyAlignment="1">
      <alignment/>
    </xf>
    <xf numFmtId="10" fontId="0" fillId="0" borderId="25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1" fillId="0" borderId="0" xfId="0" applyFont="1" applyFill="1" applyBorder="1" applyAlignment="1" quotePrefix="1">
      <alignment/>
    </xf>
    <xf numFmtId="10" fontId="6" fillId="0" borderId="0" xfId="59" applyNumberFormat="1" applyFont="1" applyFill="1" applyAlignment="1">
      <alignment/>
    </xf>
    <xf numFmtId="10" fontId="19" fillId="0" borderId="0" xfId="59" applyNumberFormat="1" applyFont="1" applyFill="1" applyAlignment="1">
      <alignment/>
    </xf>
    <xf numFmtId="0" fontId="2" fillId="0" borderId="16" xfId="0" applyFont="1" applyFill="1" applyBorder="1" applyAlignment="1">
      <alignment/>
    </xf>
    <xf numFmtId="173" fontId="6" fillId="36" borderId="29" xfId="42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1" fontId="2" fillId="0" borderId="29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179" fontId="28" fillId="4" borderId="29" xfId="44" applyNumberFormat="1" applyFont="1" applyFill="1" applyBorder="1" applyAlignment="1">
      <alignment/>
    </xf>
    <xf numFmtId="0" fontId="28" fillId="0" borderId="16" xfId="0" applyFont="1" applyBorder="1" applyAlignment="1">
      <alignment horizontal="center"/>
    </xf>
    <xf numFmtId="179" fontId="26" fillId="4" borderId="29" xfId="44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41" fontId="3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8" fillId="32" borderId="28" xfId="0" applyFont="1" applyFill="1" applyBorder="1" applyAlignment="1">
      <alignment horizontal="center"/>
    </xf>
    <xf numFmtId="0" fontId="28" fillId="32" borderId="20" xfId="0" applyFont="1" applyFill="1" applyBorder="1" applyAlignment="1">
      <alignment horizontal="center"/>
    </xf>
    <xf numFmtId="0" fontId="28" fillId="37" borderId="28" xfId="0" applyFont="1" applyFill="1" applyBorder="1" applyAlignment="1">
      <alignment horizontal="center"/>
    </xf>
    <xf numFmtId="0" fontId="28" fillId="37" borderId="20" xfId="0" applyFont="1" applyFill="1" applyBorder="1" applyAlignment="1">
      <alignment horizontal="center"/>
    </xf>
    <xf numFmtId="0" fontId="28" fillId="37" borderId="17" xfId="0" applyFont="1" applyFill="1" applyBorder="1" applyAlignment="1">
      <alignment horizontal="center"/>
    </xf>
    <xf numFmtId="0" fontId="28" fillId="2" borderId="28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37" borderId="19" xfId="0" applyFont="1" applyFill="1" applyBorder="1" applyAlignment="1">
      <alignment horizontal="center"/>
    </xf>
    <xf numFmtId="194" fontId="28" fillId="0" borderId="0" xfId="0" applyNumberFormat="1" applyFont="1" applyFill="1" applyBorder="1" applyAlignment="1">
      <alignment horizontal="center"/>
    </xf>
    <xf numFmtId="41" fontId="34" fillId="0" borderId="0" xfId="0" applyNumberFormat="1" applyFont="1" applyBorder="1" applyAlignment="1">
      <alignment/>
    </xf>
    <xf numFmtId="41" fontId="34" fillId="0" borderId="0" xfId="0" applyNumberFormat="1" applyFont="1" applyFill="1" applyBorder="1" applyAlignment="1">
      <alignment/>
    </xf>
    <xf numFmtId="41" fontId="39" fillId="0" borderId="0" xfId="0" applyNumberFormat="1" applyFont="1" applyBorder="1" applyAlignment="1">
      <alignment/>
    </xf>
    <xf numFmtId="41" fontId="39" fillId="0" borderId="0" xfId="0" applyNumberFormat="1" applyFont="1" applyFill="1" applyBorder="1" applyAlignment="1">
      <alignment/>
    </xf>
    <xf numFmtId="41" fontId="29" fillId="0" borderId="0" xfId="0" applyNumberFormat="1" applyFont="1" applyFill="1" applyBorder="1" applyAlignment="1">
      <alignment/>
    </xf>
    <xf numFmtId="173" fontId="0" fillId="0" borderId="0" xfId="42" applyNumberFormat="1" applyFont="1" applyBorder="1" applyAlignment="1">
      <alignment horizontal="right"/>
    </xf>
    <xf numFmtId="173" fontId="0" fillId="0" borderId="0" xfId="42" applyNumberFormat="1" applyFont="1" applyFill="1" applyBorder="1" applyAlignment="1">
      <alignment horizontal="right"/>
    </xf>
    <xf numFmtId="41" fontId="29" fillId="0" borderId="16" xfId="0" applyNumberFormat="1" applyFont="1" applyBorder="1" applyAlignment="1">
      <alignment/>
    </xf>
    <xf numFmtId="0" fontId="29" fillId="0" borderId="10" xfId="0" applyFont="1" applyBorder="1" applyAlignment="1">
      <alignment/>
    </xf>
    <xf numFmtId="41" fontId="29" fillId="0" borderId="10" xfId="0" applyNumberFormat="1" applyFont="1" applyBorder="1" applyAlignment="1">
      <alignment/>
    </xf>
    <xf numFmtId="41" fontId="29" fillId="0" borderId="26" xfId="0" applyNumberFormat="1" applyFont="1" applyBorder="1" applyAlignment="1">
      <alignment/>
    </xf>
    <xf numFmtId="41" fontId="29" fillId="0" borderId="27" xfId="0" applyNumberFormat="1" applyFont="1" applyBorder="1" applyAlignment="1">
      <alignment/>
    </xf>
    <xf numFmtId="0" fontId="29" fillId="0" borderId="17" xfId="0" applyFont="1" applyBorder="1" applyAlignment="1">
      <alignment/>
    </xf>
    <xf numFmtId="0" fontId="28" fillId="0" borderId="16" xfId="0" applyFont="1" applyFill="1" applyBorder="1" applyAlignment="1">
      <alignment horizontal="left"/>
    </xf>
    <xf numFmtId="0" fontId="28" fillId="4" borderId="16" xfId="0" applyFont="1" applyFill="1" applyBorder="1" applyAlignment="1">
      <alignment horizontal="center"/>
    </xf>
    <xf numFmtId="41" fontId="28" fillId="0" borderId="0" xfId="0" applyNumberFormat="1" applyFont="1" applyFill="1" applyBorder="1" applyAlignment="1">
      <alignment horizontal="center"/>
    </xf>
    <xf numFmtId="41" fontId="28" fillId="0" borderId="10" xfId="0" applyNumberFormat="1" applyFont="1" applyFill="1" applyBorder="1" applyAlignment="1">
      <alignment horizontal="center"/>
    </xf>
    <xf numFmtId="41" fontId="29" fillId="0" borderId="10" xfId="0" applyNumberFormat="1" applyFont="1" applyFill="1" applyBorder="1" applyAlignment="1">
      <alignment/>
    </xf>
    <xf numFmtId="41" fontId="29" fillId="0" borderId="25" xfId="0" applyNumberFormat="1" applyFont="1" applyBorder="1" applyAlignment="1">
      <alignment/>
    </xf>
    <xf numFmtId="41" fontId="28" fillId="0" borderId="16" xfId="0" applyNumberFormat="1" applyFont="1" applyFill="1" applyBorder="1" applyAlignment="1">
      <alignment horizontal="center"/>
    </xf>
    <xf numFmtId="41" fontId="29" fillId="0" borderId="19" xfId="0" applyNumberFormat="1" applyFont="1" applyBorder="1" applyAlignment="1">
      <alignment/>
    </xf>
    <xf numFmtId="41" fontId="29" fillId="0" borderId="16" xfId="0" applyNumberFormat="1" applyFont="1" applyFill="1" applyBorder="1" applyAlignment="1">
      <alignment/>
    </xf>
    <xf numFmtId="194" fontId="28" fillId="0" borderId="16" xfId="0" applyNumberFormat="1" applyFont="1" applyFill="1" applyBorder="1" applyAlignment="1">
      <alignment horizontal="center"/>
    </xf>
    <xf numFmtId="0" fontId="27" fillId="0" borderId="16" xfId="0" applyFont="1" applyBorder="1" applyAlignment="1">
      <alignment horizontal="left"/>
    </xf>
    <xf numFmtId="0" fontId="27" fillId="0" borderId="19" xfId="0" applyFont="1" applyBorder="1" applyAlignment="1">
      <alignment/>
    </xf>
    <xf numFmtId="41" fontId="27" fillId="0" borderId="25" xfId="0" applyNumberFormat="1" applyFont="1" applyBorder="1" applyAlignment="1">
      <alignment/>
    </xf>
    <xf numFmtId="41" fontId="27" fillId="0" borderId="16" xfId="0" applyNumberFormat="1" applyFont="1" applyFill="1" applyBorder="1" applyAlignment="1">
      <alignment/>
    </xf>
    <xf numFmtId="41" fontId="27" fillId="0" borderId="1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28" fillId="32" borderId="17" xfId="0" applyFont="1" applyFill="1" applyBorder="1" applyAlignment="1">
      <alignment horizontal="center"/>
    </xf>
    <xf numFmtId="0" fontId="28" fillId="32" borderId="19" xfId="0" applyFont="1" applyFill="1" applyBorder="1" applyAlignment="1">
      <alignment horizontal="center"/>
    </xf>
    <xf numFmtId="0" fontId="30" fillId="0" borderId="16" xfId="0" applyFont="1" applyBorder="1" applyAlignment="1">
      <alignment/>
    </xf>
    <xf numFmtId="41" fontId="28" fillId="0" borderId="11" xfId="0" applyNumberFormat="1" applyFont="1" applyFill="1" applyBorder="1" applyAlignment="1">
      <alignment horizontal="center"/>
    </xf>
    <xf numFmtId="41" fontId="27" fillId="0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/>
    </xf>
    <xf numFmtId="0" fontId="28" fillId="32" borderId="24" xfId="0" applyFont="1" applyFill="1" applyBorder="1" applyAlignment="1">
      <alignment horizontal="center"/>
    </xf>
    <xf numFmtId="0" fontId="28" fillId="32" borderId="12" xfId="0" applyFont="1" applyFill="1" applyBorder="1" applyAlignment="1">
      <alignment horizontal="center"/>
    </xf>
    <xf numFmtId="0" fontId="30" fillId="0" borderId="11" xfId="0" applyFont="1" applyBorder="1" applyAlignment="1">
      <alignment/>
    </xf>
    <xf numFmtId="0" fontId="28" fillId="37" borderId="24" xfId="0" applyFont="1" applyFill="1" applyBorder="1" applyAlignment="1">
      <alignment horizontal="center"/>
    </xf>
    <xf numFmtId="0" fontId="28" fillId="37" borderId="12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8" fillId="4" borderId="11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41" fontId="41" fillId="0" borderId="0" xfId="0" applyNumberFormat="1" applyFont="1" applyBorder="1" applyAlignment="1" quotePrefix="1">
      <alignment/>
    </xf>
    <xf numFmtId="41" fontId="41" fillId="0" borderId="0" xfId="0" applyNumberFormat="1" applyFont="1" applyBorder="1" applyAlignment="1">
      <alignment horizontal="right"/>
    </xf>
    <xf numFmtId="41" fontId="41" fillId="0" borderId="0" xfId="0" applyNumberFormat="1" applyFont="1" applyBorder="1" applyAlignment="1">
      <alignment/>
    </xf>
    <xf numFmtId="173" fontId="39" fillId="0" borderId="0" xfId="42" applyNumberFormat="1" applyFont="1" applyBorder="1" applyAlignment="1">
      <alignment/>
    </xf>
    <xf numFmtId="41" fontId="41" fillId="0" borderId="0" xfId="0" applyNumberFormat="1" applyFont="1" applyBorder="1" applyAlignment="1" quotePrefix="1">
      <alignment horizontal="center"/>
    </xf>
    <xf numFmtId="41" fontId="41" fillId="0" borderId="0" xfId="0" applyNumberFormat="1" applyFont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41" fontId="34" fillId="0" borderId="0" xfId="0" applyNumberFormat="1" applyFont="1" applyFill="1" applyBorder="1" applyAlignment="1">
      <alignment/>
    </xf>
    <xf numFmtId="41" fontId="34" fillId="0" borderId="28" xfId="0" applyNumberFormat="1" applyFont="1" applyBorder="1" applyAlignment="1">
      <alignment/>
    </xf>
    <xf numFmtId="173" fontId="29" fillId="0" borderId="0" xfId="0" applyNumberFormat="1" applyFont="1" applyAlignment="1">
      <alignment/>
    </xf>
    <xf numFmtId="173" fontId="29" fillId="0" borderId="15" xfId="0" applyNumberFormat="1" applyFont="1" applyBorder="1" applyAlignment="1">
      <alignment/>
    </xf>
    <xf numFmtId="0" fontId="33" fillId="0" borderId="0" xfId="0" applyFont="1" applyAlignment="1">
      <alignment/>
    </xf>
    <xf numFmtId="0" fontId="28" fillId="0" borderId="16" xfId="0" applyFont="1" applyBorder="1" applyAlignment="1">
      <alignment/>
    </xf>
    <xf numFmtId="173" fontId="29" fillId="0" borderId="10" xfId="42" applyNumberFormat="1" applyFont="1" applyBorder="1" applyAlignment="1">
      <alignment/>
    </xf>
    <xf numFmtId="173" fontId="29" fillId="0" borderId="10" xfId="42" applyNumberFormat="1" applyFont="1" applyFill="1" applyBorder="1" applyAlignment="1">
      <alignment/>
    </xf>
    <xf numFmtId="173" fontId="29" fillId="0" borderId="0" xfId="0" applyNumberFormat="1" applyFont="1" applyBorder="1" applyAlignment="1">
      <alignment/>
    </xf>
    <xf numFmtId="173" fontId="29" fillId="0" borderId="10" xfId="0" applyNumberFormat="1" applyFont="1" applyBorder="1" applyAlignment="1">
      <alignment/>
    </xf>
    <xf numFmtId="173" fontId="29" fillId="0" borderId="27" xfId="0" applyNumberFormat="1" applyFont="1" applyBorder="1" applyAlignment="1">
      <alignment/>
    </xf>
    <xf numFmtId="182" fontId="29" fillId="0" borderId="16" xfId="42" applyNumberFormat="1" applyFont="1" applyBorder="1" applyAlignment="1">
      <alignment/>
    </xf>
    <xf numFmtId="182" fontId="29" fillId="0" borderId="0" xfId="42" applyNumberFormat="1" applyFont="1" applyBorder="1" applyAlignment="1">
      <alignment/>
    </xf>
    <xf numFmtId="173" fontId="29" fillId="0" borderId="16" xfId="42" applyNumberFormat="1" applyFont="1" applyBorder="1" applyAlignment="1">
      <alignment/>
    </xf>
    <xf numFmtId="173" fontId="29" fillId="0" borderId="26" xfId="0" applyNumberFormat="1" applyFont="1" applyBorder="1" applyAlignment="1">
      <alignment/>
    </xf>
    <xf numFmtId="196" fontId="28" fillId="3" borderId="19" xfId="44" applyNumberFormat="1" applyFont="1" applyFill="1" applyBorder="1" applyAlignment="1">
      <alignment/>
    </xf>
    <xf numFmtId="196" fontId="28" fillId="37" borderId="20" xfId="44" applyNumberFormat="1" applyFont="1" applyFill="1" applyBorder="1" applyAlignment="1">
      <alignment/>
    </xf>
    <xf numFmtId="196" fontId="28" fillId="34" borderId="20" xfId="44" applyNumberFormat="1" applyFont="1" applyFill="1" applyBorder="1" applyAlignment="1">
      <alignment/>
    </xf>
    <xf numFmtId="173" fontId="29" fillId="0" borderId="16" xfId="0" applyNumberFormat="1" applyFont="1" applyBorder="1" applyAlignment="1">
      <alignment/>
    </xf>
    <xf numFmtId="173" fontId="29" fillId="0" borderId="11" xfId="0" applyNumberFormat="1" applyFont="1" applyBorder="1" applyAlignment="1">
      <alignment/>
    </xf>
    <xf numFmtId="173" fontId="29" fillId="0" borderId="18" xfId="0" applyNumberFormat="1" applyFont="1" applyBorder="1" applyAlignment="1">
      <alignment/>
    </xf>
    <xf numFmtId="196" fontId="28" fillId="32" borderId="12" xfId="44" applyNumberFormat="1" applyFont="1" applyFill="1" applyBorder="1" applyAlignment="1">
      <alignment/>
    </xf>
    <xf numFmtId="182" fontId="29" fillId="0" borderId="11" xfId="42" applyNumberFormat="1" applyFont="1" applyBorder="1" applyAlignment="1">
      <alignment/>
    </xf>
    <xf numFmtId="196" fontId="28" fillId="2" borderId="12" xfId="44" applyNumberFormat="1" applyFont="1" applyFill="1" applyBorder="1" applyAlignment="1">
      <alignment/>
    </xf>
    <xf numFmtId="173" fontId="28" fillId="4" borderId="18" xfId="0" applyNumberFormat="1" applyFont="1" applyFill="1" applyBorder="1" applyAlignment="1">
      <alignment/>
    </xf>
    <xf numFmtId="173" fontId="29" fillId="0" borderId="0" xfId="0" applyNumberFormat="1" applyFont="1" applyFill="1" applyBorder="1" applyAlignment="1">
      <alignment/>
    </xf>
    <xf numFmtId="173" fontId="29" fillId="0" borderId="11" xfId="42" applyNumberFormat="1" applyFont="1" applyFill="1" applyBorder="1" applyAlignment="1">
      <alignment/>
    </xf>
    <xf numFmtId="173" fontId="29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2" fontId="2" fillId="0" borderId="0" xfId="42" applyNumberFormat="1" applyFont="1" applyBorder="1" applyAlignment="1">
      <alignment/>
    </xf>
    <xf numFmtId="42" fontId="2" fillId="0" borderId="15" xfId="42" applyNumberFormat="1" applyFont="1" applyBorder="1" applyAlignment="1">
      <alignment/>
    </xf>
    <xf numFmtId="49" fontId="1" fillId="0" borderId="0" xfId="0" applyNumberFormat="1" applyFont="1" applyFill="1" applyAlignment="1" quotePrefix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1" fontId="1" fillId="0" borderId="11" xfId="0" applyNumberFormat="1" applyFont="1" applyFill="1" applyBorder="1" applyAlignment="1">
      <alignment/>
    </xf>
    <xf numFmtId="41" fontId="16" fillId="0" borderId="11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 quotePrefix="1">
      <alignment horizontal="center"/>
    </xf>
    <xf numFmtId="41" fontId="16" fillId="0" borderId="11" xfId="0" applyNumberFormat="1" applyFont="1" applyFill="1" applyBorder="1" applyAlignment="1">
      <alignment/>
    </xf>
    <xf numFmtId="49" fontId="43" fillId="0" borderId="0" xfId="0" applyNumberFormat="1" applyFont="1" applyFill="1" applyAlignment="1">
      <alignment horizontal="left"/>
    </xf>
    <xf numFmtId="41" fontId="2" fillId="0" borderId="33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41" fontId="2" fillId="0" borderId="34" xfId="0" applyNumberFormat="1" applyFont="1" applyBorder="1" applyAlignment="1">
      <alignment/>
    </xf>
    <xf numFmtId="10" fontId="17" fillId="0" borderId="11" xfId="59" applyNumberFormat="1" applyFont="1" applyFill="1" applyBorder="1" applyAlignment="1">
      <alignment/>
    </xf>
    <xf numFmtId="184" fontId="2" fillId="34" borderId="29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16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43" fontId="1" fillId="32" borderId="10" xfId="42" applyFont="1" applyFill="1" applyBorder="1" applyAlignment="1">
      <alignment/>
    </xf>
    <xf numFmtId="0" fontId="1" fillId="32" borderId="0" xfId="0" applyFont="1" applyFill="1" applyAlignment="1">
      <alignment/>
    </xf>
    <xf numFmtId="10" fontId="2" fillId="32" borderId="19" xfId="59" applyNumberFormat="1" applyFont="1" applyFill="1" applyBorder="1" applyAlignment="1">
      <alignment horizontal="center"/>
    </xf>
    <xf numFmtId="10" fontId="16" fillId="32" borderId="25" xfId="59" applyNumberFormat="1" applyFont="1" applyFill="1" applyBorder="1" applyAlignment="1">
      <alignment/>
    </xf>
    <xf numFmtId="0" fontId="2" fillId="32" borderId="19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41" fontId="2" fillId="38" borderId="29" xfId="0" applyNumberFormat="1" applyFont="1" applyFill="1" applyBorder="1" applyAlignment="1">
      <alignment/>
    </xf>
    <xf numFmtId="41" fontId="6" fillId="32" borderId="29" xfId="0" applyNumberFormat="1" applyFont="1" applyFill="1" applyBorder="1" applyAlignment="1">
      <alignment/>
    </xf>
    <xf numFmtId="42" fontId="2" fillId="0" borderId="0" xfId="42" applyNumberFormat="1" applyFont="1" applyFill="1" applyBorder="1" applyAlignment="1">
      <alignment horizontal="center"/>
    </xf>
    <xf numFmtId="179" fontId="1" fillId="0" borderId="15" xfId="44" applyNumberFormat="1" applyFont="1" applyBorder="1" applyAlignment="1">
      <alignment/>
    </xf>
    <xf numFmtId="41" fontId="79" fillId="0" borderId="14" xfId="0" applyNumberFormat="1" applyFont="1" applyFill="1" applyBorder="1" applyAlignment="1">
      <alignment/>
    </xf>
    <xf numFmtId="41" fontId="79" fillId="0" borderId="14" xfId="0" applyNumberFormat="1" applyFont="1" applyBorder="1" applyAlignment="1">
      <alignment/>
    </xf>
    <xf numFmtId="173" fontId="11" fillId="0" borderId="11" xfId="42" applyNumberFormat="1" applyFont="1" applyBorder="1" applyAlignment="1">
      <alignment horizontal="left"/>
    </xf>
    <xf numFmtId="0" fontId="10" fillId="32" borderId="24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center"/>
    </xf>
    <xf numFmtId="49" fontId="3" fillId="32" borderId="21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0" fontId="17" fillId="32" borderId="24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horizontal="center"/>
    </xf>
    <xf numFmtId="0" fontId="32" fillId="39" borderId="0" xfId="0" applyFont="1" applyFill="1" applyAlignment="1">
      <alignment horizontal="center"/>
    </xf>
    <xf numFmtId="0" fontId="33" fillId="34" borderId="22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/>
    </xf>
    <xf numFmtId="0" fontId="33" fillId="34" borderId="23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4" borderId="24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2" borderId="22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28" fillId="3" borderId="22" xfId="0" applyFont="1" applyFill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0" fontId="28" fillId="32" borderId="22" xfId="0" applyFont="1" applyFill="1" applyBorder="1" applyAlignment="1">
      <alignment horizontal="center"/>
    </xf>
    <xf numFmtId="0" fontId="28" fillId="32" borderId="23" xfId="0" applyFont="1" applyFill="1" applyBorder="1" applyAlignment="1">
      <alignment horizontal="center"/>
    </xf>
    <xf numFmtId="0" fontId="28" fillId="37" borderId="22" xfId="0" applyFont="1" applyFill="1" applyBorder="1" applyAlignment="1">
      <alignment horizontal="center"/>
    </xf>
    <xf numFmtId="0" fontId="28" fillId="37" borderId="23" xfId="0" applyFont="1" applyFill="1" applyBorder="1" applyAlignment="1">
      <alignment horizontal="center"/>
    </xf>
    <xf numFmtId="0" fontId="28" fillId="3" borderId="21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37" borderId="21" xfId="0" applyFont="1" applyFill="1" applyBorder="1" applyAlignment="1">
      <alignment horizontal="center"/>
    </xf>
    <xf numFmtId="0" fontId="32" fillId="39" borderId="16" xfId="0" applyFont="1" applyFill="1" applyBorder="1" applyAlignment="1">
      <alignment horizontal="center"/>
    </xf>
    <xf numFmtId="0" fontId="32" fillId="39" borderId="0" xfId="0" applyFont="1" applyFill="1" applyBorder="1" applyAlignment="1">
      <alignment horizontal="center"/>
    </xf>
    <xf numFmtId="0" fontId="33" fillId="32" borderId="22" xfId="0" applyFont="1" applyFill="1" applyBorder="1" applyAlignment="1">
      <alignment horizontal="center"/>
    </xf>
    <xf numFmtId="0" fontId="33" fillId="32" borderId="21" xfId="0" applyFont="1" applyFill="1" applyBorder="1" applyAlignment="1">
      <alignment horizontal="center"/>
    </xf>
    <xf numFmtId="0" fontId="33" fillId="32" borderId="23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41" fontId="34" fillId="0" borderId="0" xfId="0" applyNumberFormat="1" applyFont="1" applyBorder="1" applyAlignment="1">
      <alignment horizontal="center"/>
    </xf>
    <xf numFmtId="0" fontId="28" fillId="3" borderId="24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2" borderId="28" xfId="0" applyFont="1" applyFill="1" applyBorder="1" applyAlignment="1">
      <alignment horizontal="center" vertical="center"/>
    </xf>
    <xf numFmtId="0" fontId="28" fillId="32" borderId="20" xfId="0" applyFont="1" applyFill="1" applyBorder="1" applyAlignment="1">
      <alignment horizontal="center" vertical="center"/>
    </xf>
    <xf numFmtId="0" fontId="28" fillId="37" borderId="24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42" fillId="39" borderId="0" xfId="0" applyFont="1" applyFill="1" applyAlignment="1">
      <alignment horizontal="center"/>
    </xf>
    <xf numFmtId="0" fontId="28" fillId="34" borderId="31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/>
    </xf>
    <xf numFmtId="0" fontId="28" fillId="37" borderId="20" xfId="0" applyFont="1" applyFill="1" applyBorder="1" applyAlignment="1">
      <alignment horizontal="center" vertical="center"/>
    </xf>
    <xf numFmtId="0" fontId="28" fillId="32" borderId="24" xfId="0" applyFont="1" applyFill="1" applyBorder="1" applyAlignment="1">
      <alignment horizontal="center" vertical="center"/>
    </xf>
    <xf numFmtId="0" fontId="28" fillId="32" borderId="12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2"/>
  <sheetViews>
    <sheetView tabSelected="1" zoomScalePageLayoutView="0" workbookViewId="0" topLeftCell="A1">
      <pane xSplit="2" ySplit="9" topLeftCell="C34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95" sqref="G195"/>
    </sheetView>
  </sheetViews>
  <sheetFormatPr defaultColWidth="9.140625" defaultRowHeight="12.75"/>
  <cols>
    <col min="1" max="1" width="12.28125" style="37" customWidth="1"/>
    <col min="2" max="2" width="41.140625" style="1" customWidth="1"/>
    <col min="3" max="3" width="14.00390625" style="67" customWidth="1"/>
    <col min="4" max="4" width="14.00390625" style="71" customWidth="1"/>
    <col min="5" max="5" width="15.00390625" style="1" customWidth="1"/>
    <col min="6" max="6" width="16.00390625" style="1" bestFit="1" customWidth="1"/>
    <col min="7" max="7" width="19.7109375" style="1" bestFit="1" customWidth="1"/>
    <col min="8" max="8" width="17.00390625" style="1" customWidth="1"/>
    <col min="9" max="9" width="19.8515625" style="1" bestFit="1" customWidth="1"/>
    <col min="10" max="10" width="12.8515625" style="1" customWidth="1"/>
    <col min="11" max="11" width="12.8515625" style="17" customWidth="1"/>
    <col min="12" max="12" width="2.00390625" style="1" customWidth="1"/>
    <col min="13" max="13" width="13.00390625" style="1" customWidth="1"/>
    <col min="14" max="14" width="12.57421875" style="1" bestFit="1" customWidth="1"/>
    <col min="15" max="15" width="17.140625" style="1" customWidth="1"/>
    <col min="16" max="16" width="13.7109375" style="1" bestFit="1" customWidth="1"/>
    <col min="17" max="17" width="18.28125" style="1" bestFit="1" customWidth="1"/>
    <col min="18" max="18" width="11.00390625" style="1" customWidth="1"/>
    <col min="19" max="19" width="5.57421875" style="1" hidden="1" customWidth="1"/>
    <col min="20" max="16384" width="9.140625" style="1" customWidth="1"/>
  </cols>
  <sheetData>
    <row r="1" spans="1:18" ht="20.25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9:18" ht="16.5" thickBot="1">
      <c r="I2" s="191"/>
      <c r="J2" s="56"/>
      <c r="K2" s="55"/>
      <c r="M2" s="49"/>
      <c r="N2" s="50"/>
      <c r="O2" s="18"/>
      <c r="P2" s="193"/>
      <c r="Q2" s="81"/>
      <c r="R2" s="55"/>
    </row>
    <row r="3" spans="1:18" ht="19.5" thickBot="1">
      <c r="A3" s="355" t="s">
        <v>143</v>
      </c>
      <c r="B3" s="356"/>
      <c r="C3" s="326">
        <v>41000</v>
      </c>
      <c r="D3" s="72"/>
      <c r="E3" s="52"/>
      <c r="F3" s="2" t="s">
        <v>1</v>
      </c>
      <c r="G3" s="44"/>
      <c r="H3" s="45"/>
      <c r="I3" s="192"/>
      <c r="J3" s="56"/>
      <c r="K3" s="56"/>
      <c r="M3" s="26"/>
      <c r="N3" s="46"/>
      <c r="O3" s="48"/>
      <c r="P3" s="194"/>
      <c r="Q3" s="81"/>
      <c r="R3" s="55"/>
    </row>
    <row r="4" spans="1:18" ht="16.5" thickBot="1">
      <c r="A4" s="38"/>
      <c r="B4" s="4"/>
      <c r="C4" s="348" t="s">
        <v>175</v>
      </c>
      <c r="D4" s="349"/>
      <c r="E4" s="352" t="s">
        <v>7</v>
      </c>
      <c r="F4" s="353"/>
      <c r="G4" s="353"/>
      <c r="H4" s="353"/>
      <c r="I4" s="353"/>
      <c r="J4" s="354"/>
      <c r="K4" s="325"/>
      <c r="M4" s="352" t="s">
        <v>9</v>
      </c>
      <c r="N4" s="353"/>
      <c r="O4" s="353"/>
      <c r="P4" s="353"/>
      <c r="Q4" s="353"/>
      <c r="R4" s="354"/>
    </row>
    <row r="5" spans="1:18" s="3" customFormat="1" ht="15.75">
      <c r="A5" s="360" t="s">
        <v>2</v>
      </c>
      <c r="B5" s="357" t="s">
        <v>3</v>
      </c>
      <c r="C5" s="363" t="s">
        <v>166</v>
      </c>
      <c r="D5" s="343" t="s">
        <v>167</v>
      </c>
      <c r="E5" s="346" t="s">
        <v>88</v>
      </c>
      <c r="F5" s="347"/>
      <c r="G5" s="346" t="s">
        <v>89</v>
      </c>
      <c r="H5" s="347"/>
      <c r="I5" s="346" t="s">
        <v>43</v>
      </c>
      <c r="J5" s="347"/>
      <c r="K5" s="366" t="s">
        <v>168</v>
      </c>
      <c r="L5" s="327"/>
      <c r="M5" s="350" t="s">
        <v>90</v>
      </c>
      <c r="N5" s="351"/>
      <c r="O5" s="350" t="s">
        <v>91</v>
      </c>
      <c r="P5" s="351"/>
      <c r="Q5" s="350" t="s">
        <v>94</v>
      </c>
      <c r="R5" s="351"/>
    </row>
    <row r="6" spans="1:18" ht="15.75">
      <c r="A6" s="361"/>
      <c r="B6" s="358"/>
      <c r="C6" s="364"/>
      <c r="D6" s="344"/>
      <c r="E6" s="328"/>
      <c r="F6" s="329"/>
      <c r="G6" s="328"/>
      <c r="H6" s="330"/>
      <c r="I6" s="346" t="s">
        <v>8</v>
      </c>
      <c r="J6" s="347"/>
      <c r="K6" s="367"/>
      <c r="L6" s="331"/>
      <c r="M6" s="328"/>
      <c r="N6" s="329"/>
      <c r="O6" s="346" t="s">
        <v>93</v>
      </c>
      <c r="P6" s="347"/>
      <c r="Q6" s="346" t="s">
        <v>95</v>
      </c>
      <c r="R6" s="347"/>
    </row>
    <row r="7" spans="1:18" s="2" customFormat="1" ht="15.75">
      <c r="A7" s="361"/>
      <c r="B7" s="358"/>
      <c r="C7" s="364"/>
      <c r="D7" s="344"/>
      <c r="E7" s="346" t="s">
        <v>97</v>
      </c>
      <c r="F7" s="347"/>
      <c r="G7" s="346" t="s">
        <v>98</v>
      </c>
      <c r="H7" s="347"/>
      <c r="I7" s="346" t="s">
        <v>6</v>
      </c>
      <c r="J7" s="347"/>
      <c r="K7" s="367"/>
      <c r="L7" s="51"/>
      <c r="M7" s="346" t="s">
        <v>42</v>
      </c>
      <c r="N7" s="347"/>
      <c r="O7" s="346" t="s">
        <v>92</v>
      </c>
      <c r="P7" s="347"/>
      <c r="Q7" s="346" t="s">
        <v>96</v>
      </c>
      <c r="R7" s="347"/>
    </row>
    <row r="8" spans="1:18" ht="16.5" thickBot="1">
      <c r="A8" s="361"/>
      <c r="B8" s="358"/>
      <c r="C8" s="364"/>
      <c r="D8" s="344"/>
      <c r="E8" s="328"/>
      <c r="F8" s="329"/>
      <c r="G8" s="328"/>
      <c r="H8" s="329"/>
      <c r="I8" s="332"/>
      <c r="J8" s="333"/>
      <c r="K8" s="367"/>
      <c r="L8" s="331"/>
      <c r="M8" s="328"/>
      <c r="N8" s="329"/>
      <c r="O8" s="328"/>
      <c r="P8" s="329"/>
      <c r="Q8" s="328"/>
      <c r="R8" s="329"/>
    </row>
    <row r="9" spans="1:18" s="3" customFormat="1" ht="16.5" thickBot="1">
      <c r="A9" s="362"/>
      <c r="B9" s="359"/>
      <c r="C9" s="365"/>
      <c r="D9" s="345"/>
      <c r="E9" s="334" t="s">
        <v>4</v>
      </c>
      <c r="F9" s="335" t="s">
        <v>5</v>
      </c>
      <c r="G9" s="334" t="s">
        <v>4</v>
      </c>
      <c r="H9" s="335" t="s">
        <v>5</v>
      </c>
      <c r="I9" s="334" t="s">
        <v>4</v>
      </c>
      <c r="J9" s="335" t="s">
        <v>5</v>
      </c>
      <c r="K9" s="368"/>
      <c r="L9" s="327"/>
      <c r="M9" s="334" t="s">
        <v>4</v>
      </c>
      <c r="N9" s="335" t="s">
        <v>5</v>
      </c>
      <c r="O9" s="334" t="s">
        <v>4</v>
      </c>
      <c r="P9" s="335" t="s">
        <v>5</v>
      </c>
      <c r="Q9" s="334" t="s">
        <v>4</v>
      </c>
      <c r="R9" s="335" t="s">
        <v>5</v>
      </c>
    </row>
    <row r="10" spans="1:18" ht="15.75">
      <c r="A10" s="40">
        <v>2001</v>
      </c>
      <c r="B10" s="6"/>
      <c r="C10" s="65"/>
      <c r="D10" s="73"/>
      <c r="E10" s="8"/>
      <c r="F10" s="5"/>
      <c r="G10" s="8"/>
      <c r="H10" s="5"/>
      <c r="I10" s="8"/>
      <c r="J10" s="5"/>
      <c r="K10" s="309"/>
      <c r="M10" s="8"/>
      <c r="N10" s="5"/>
      <c r="O10" s="8"/>
      <c r="P10" s="5"/>
      <c r="Q10" s="8"/>
      <c r="R10" s="5"/>
    </row>
    <row r="11" spans="1:19" ht="15.75">
      <c r="A11" s="41" t="s">
        <v>44</v>
      </c>
      <c r="B11" s="6" t="s">
        <v>10</v>
      </c>
      <c r="C11" s="65"/>
      <c r="D11" s="73"/>
      <c r="E11" s="13"/>
      <c r="F11" s="14">
        <f>+F10+E11</f>
        <v>0</v>
      </c>
      <c r="G11" s="13">
        <f>+J420</f>
        <v>337720.3333333333</v>
      </c>
      <c r="H11" s="14">
        <f>+H10+G11</f>
        <v>337720.3333333333</v>
      </c>
      <c r="I11" s="13">
        <v>0</v>
      </c>
      <c r="J11" s="14">
        <f>+J10+I11</f>
        <v>0</v>
      </c>
      <c r="K11" s="315"/>
      <c r="L11" s="15"/>
      <c r="M11" s="13"/>
      <c r="N11" s="14">
        <f>+N10+M11</f>
        <v>0</v>
      </c>
      <c r="O11" s="13">
        <f>-G11</f>
        <v>-337720.3333333333</v>
      </c>
      <c r="P11" s="14">
        <f>+P10+O11</f>
        <v>-337720.3333333333</v>
      </c>
      <c r="Q11" s="13">
        <f>-I11</f>
        <v>0</v>
      </c>
      <c r="R11" s="14">
        <f>+R10+Q11</f>
        <v>0</v>
      </c>
      <c r="S11" s="12">
        <f aca="true" t="shared" si="0" ref="S11:S19">+F11+H11+J11+N11+P11+R11</f>
        <v>0</v>
      </c>
    </row>
    <row r="12" spans="1:19" ht="15.75">
      <c r="A12" s="41" t="s">
        <v>45</v>
      </c>
      <c r="B12" s="6" t="s">
        <v>10</v>
      </c>
      <c r="C12" s="65"/>
      <c r="D12" s="73"/>
      <c r="E12" s="13"/>
      <c r="F12" s="14">
        <f>+F11+E12</f>
        <v>0</v>
      </c>
      <c r="G12" s="13">
        <f>+J420</f>
        <v>337720.3333333333</v>
      </c>
      <c r="H12" s="14">
        <f>+H11+G12</f>
        <v>675440.6666666666</v>
      </c>
      <c r="I12" s="13">
        <f>+H11*$G$430/12</f>
        <v>2040.3936805555552</v>
      </c>
      <c r="J12" s="14">
        <f>+J11+I12</f>
        <v>2040.3936805555552</v>
      </c>
      <c r="K12" s="315"/>
      <c r="L12" s="15"/>
      <c r="M12" s="13"/>
      <c r="N12" s="14">
        <f>+N11+M12</f>
        <v>0</v>
      </c>
      <c r="O12" s="13">
        <f>-G12</f>
        <v>-337720.3333333333</v>
      </c>
      <c r="P12" s="14">
        <f>+P11+O12</f>
        <v>-675440.6666666666</v>
      </c>
      <c r="Q12" s="13">
        <f aca="true" t="shared" si="1" ref="Q12:Q48">-I12</f>
        <v>-2040.3936805555552</v>
      </c>
      <c r="R12" s="14">
        <f>+R11+Q12</f>
        <v>-2040.3936805555552</v>
      </c>
      <c r="S12" s="12">
        <f t="shared" si="0"/>
        <v>-4.206412995699793E-11</v>
      </c>
    </row>
    <row r="13" spans="1:19" ht="15.75">
      <c r="A13" s="41" t="s">
        <v>46</v>
      </c>
      <c r="B13" s="6" t="s">
        <v>10</v>
      </c>
      <c r="C13" s="65"/>
      <c r="D13" s="74">
        <f>SUM(G11:G13)</f>
        <v>1013161</v>
      </c>
      <c r="E13" s="13"/>
      <c r="F13" s="14">
        <f>+F12+E13</f>
        <v>0</v>
      </c>
      <c r="G13" s="13">
        <f>+J420</f>
        <v>337720.3333333333</v>
      </c>
      <c r="H13" s="14">
        <f>+H12+G13</f>
        <v>1013161</v>
      </c>
      <c r="I13" s="13">
        <f>+H12*$G$430/12</f>
        <v>4080.7873611111104</v>
      </c>
      <c r="J13" s="64">
        <f>+J12+I13</f>
        <v>6121.181041666666</v>
      </c>
      <c r="K13" s="316">
        <f>+J13</f>
        <v>6121.181041666666</v>
      </c>
      <c r="L13" s="15"/>
      <c r="M13" s="13"/>
      <c r="N13" s="14">
        <f>+N12+M13</f>
        <v>0</v>
      </c>
      <c r="O13" s="13">
        <f>-G13</f>
        <v>-337720.3333333333</v>
      </c>
      <c r="P13" s="14">
        <f>+P12+O13</f>
        <v>-1013161</v>
      </c>
      <c r="Q13" s="13">
        <f t="shared" si="1"/>
        <v>-4080.7873611111104</v>
      </c>
      <c r="R13" s="14">
        <f>+R12+Q13</f>
        <v>-6121.181041666666</v>
      </c>
      <c r="S13" s="12">
        <f t="shared" si="0"/>
        <v>-1.000444171950221E-11</v>
      </c>
    </row>
    <row r="14" spans="1:19" ht="15.75">
      <c r="A14" s="39"/>
      <c r="B14" s="6"/>
      <c r="C14" s="65"/>
      <c r="D14" s="73"/>
      <c r="E14" s="13"/>
      <c r="F14" s="14"/>
      <c r="G14" s="13"/>
      <c r="H14" s="14"/>
      <c r="I14" s="13"/>
      <c r="J14" s="14"/>
      <c r="K14" s="315"/>
      <c r="L14" s="15"/>
      <c r="M14" s="13"/>
      <c r="N14" s="14"/>
      <c r="O14" s="13"/>
      <c r="P14" s="14"/>
      <c r="Q14" s="13">
        <f t="shared" si="1"/>
        <v>0</v>
      </c>
      <c r="R14" s="14"/>
      <c r="S14" s="12">
        <f t="shared" si="0"/>
        <v>0</v>
      </c>
    </row>
    <row r="15" spans="1:19" ht="15.75">
      <c r="A15" s="40">
        <v>2002</v>
      </c>
      <c r="B15" s="6"/>
      <c r="C15" s="65"/>
      <c r="D15" s="73"/>
      <c r="E15" s="13"/>
      <c r="F15" s="14"/>
      <c r="G15" s="13"/>
      <c r="H15" s="14"/>
      <c r="I15" s="13"/>
      <c r="J15" s="14"/>
      <c r="K15" s="315"/>
      <c r="L15" s="15"/>
      <c r="M15" s="13"/>
      <c r="N15" s="14"/>
      <c r="O15" s="13"/>
      <c r="P15" s="14"/>
      <c r="Q15" s="13">
        <f t="shared" si="1"/>
        <v>0</v>
      </c>
      <c r="R15" s="14"/>
      <c r="S15" s="12">
        <f t="shared" si="0"/>
        <v>0</v>
      </c>
    </row>
    <row r="16" spans="1:19" ht="15.75">
      <c r="A16" s="41" t="s">
        <v>47</v>
      </c>
      <c r="B16" s="6" t="s">
        <v>15</v>
      </c>
      <c r="C16" s="65"/>
      <c r="D16" s="73"/>
      <c r="E16" s="13"/>
      <c r="F16" s="14">
        <f>+E16+F13</f>
        <v>0</v>
      </c>
      <c r="G16" s="13">
        <f>+$J$421</f>
        <v>280869.5</v>
      </c>
      <c r="H16" s="14">
        <f>+G16+H13</f>
        <v>1294030.5</v>
      </c>
      <c r="I16" s="13">
        <f>+H13*$G$430/12</f>
        <v>6121.181041666667</v>
      </c>
      <c r="J16" s="14">
        <f>+I16+J13</f>
        <v>12242.362083333333</v>
      </c>
      <c r="K16" s="315"/>
      <c r="L16" s="15"/>
      <c r="M16" s="13"/>
      <c r="N16" s="14">
        <f>+M16+N13</f>
        <v>0</v>
      </c>
      <c r="O16" s="13">
        <f>-G16</f>
        <v>-280869.5</v>
      </c>
      <c r="P16" s="14">
        <f>+O16+P13</f>
        <v>-1294030.5</v>
      </c>
      <c r="Q16" s="13">
        <f t="shared" si="1"/>
        <v>-6121.181041666667</v>
      </c>
      <c r="R16" s="14">
        <f>+Q16+R13</f>
        <v>-12242.362083333333</v>
      </c>
      <c r="S16" s="12">
        <f t="shared" si="0"/>
        <v>-2.1827872842550278E-11</v>
      </c>
    </row>
    <row r="17" spans="1:19" ht="15.75">
      <c r="A17" s="41" t="s">
        <v>48</v>
      </c>
      <c r="B17" s="6" t="s">
        <v>15</v>
      </c>
      <c r="C17" s="65"/>
      <c r="D17" s="73"/>
      <c r="E17" s="13"/>
      <c r="F17" s="14">
        <f>+F16+E17</f>
        <v>0</v>
      </c>
      <c r="G17" s="13">
        <f>+$J$421</f>
        <v>280869.5</v>
      </c>
      <c r="H17" s="14">
        <f>+H16+G17</f>
        <v>1574900</v>
      </c>
      <c r="I17" s="13">
        <f>+H16*$G$430/12</f>
        <v>7818.100937499999</v>
      </c>
      <c r="J17" s="14">
        <f>+J16+I17</f>
        <v>20060.463020833333</v>
      </c>
      <c r="K17" s="315"/>
      <c r="L17" s="15"/>
      <c r="M17" s="13"/>
      <c r="N17" s="14">
        <f>+N16+M17</f>
        <v>0</v>
      </c>
      <c r="O17" s="13">
        <f>-G17</f>
        <v>-280869.5</v>
      </c>
      <c r="P17" s="14">
        <f>+P16+O17</f>
        <v>-1574900</v>
      </c>
      <c r="Q17" s="13">
        <f t="shared" si="1"/>
        <v>-7818.100937499999</v>
      </c>
      <c r="R17" s="14">
        <f>+R16+Q17</f>
        <v>-20060.463020833333</v>
      </c>
      <c r="S17" s="12">
        <f t="shared" si="0"/>
        <v>1.0913936421275139E-10</v>
      </c>
    </row>
    <row r="18" spans="1:19" ht="15.75">
      <c r="A18" s="41" t="s">
        <v>49</v>
      </c>
      <c r="B18" s="6" t="s">
        <v>15</v>
      </c>
      <c r="C18" s="65"/>
      <c r="D18" s="73"/>
      <c r="E18" s="13"/>
      <c r="F18" s="14">
        <f aca="true" t="shared" si="2" ref="F18:J47">+F17+E18</f>
        <v>0</v>
      </c>
      <c r="G18" s="13">
        <f>+$J$421</f>
        <v>280869.5</v>
      </c>
      <c r="H18" s="14">
        <f t="shared" si="2"/>
        <v>1855769.5</v>
      </c>
      <c r="I18" s="13"/>
      <c r="J18" s="14">
        <f t="shared" si="2"/>
        <v>20060.463020833333</v>
      </c>
      <c r="K18" s="315"/>
      <c r="L18" s="15"/>
      <c r="M18" s="13"/>
      <c r="N18" s="14">
        <f aca="true" t="shared" si="3" ref="N18:N85">+N17+M18</f>
        <v>0</v>
      </c>
      <c r="O18" s="13">
        <f>-G18</f>
        <v>-280869.5</v>
      </c>
      <c r="P18" s="14">
        <f aca="true" t="shared" si="4" ref="P18:P85">+P17+O18</f>
        <v>-1855769.5</v>
      </c>
      <c r="Q18" s="13">
        <f t="shared" si="1"/>
        <v>0</v>
      </c>
      <c r="R18" s="14">
        <f aca="true" t="shared" si="5" ref="R18:R47">+R17+Q18</f>
        <v>-20060.463020833333</v>
      </c>
      <c r="S18" s="12">
        <f t="shared" si="0"/>
        <v>1.0913936421275139E-10</v>
      </c>
    </row>
    <row r="19" spans="1:19" ht="15.75">
      <c r="A19" s="39"/>
      <c r="B19" s="6" t="s">
        <v>17</v>
      </c>
      <c r="C19" s="65"/>
      <c r="D19" s="73"/>
      <c r="E19" s="13">
        <f>+'Total Billings'!D12</f>
        <v>22952.971654433542</v>
      </c>
      <c r="F19" s="14">
        <f t="shared" si="2"/>
        <v>22952.971654433542</v>
      </c>
      <c r="G19" s="13"/>
      <c r="H19" s="14">
        <f t="shared" si="2"/>
        <v>1855769.5</v>
      </c>
      <c r="I19" s="13"/>
      <c r="J19" s="14">
        <f t="shared" si="2"/>
        <v>20060.463020833333</v>
      </c>
      <c r="K19" s="315"/>
      <c r="L19" s="15"/>
      <c r="M19" s="13">
        <f>-E19</f>
        <v>-22952.971654433542</v>
      </c>
      <c r="N19" s="14">
        <f t="shared" si="3"/>
        <v>-22952.971654433542</v>
      </c>
      <c r="O19" s="13"/>
      <c r="P19" s="14">
        <f t="shared" si="4"/>
        <v>-1855769.5</v>
      </c>
      <c r="Q19" s="13">
        <f t="shared" si="1"/>
        <v>0</v>
      </c>
      <c r="R19" s="14">
        <f t="shared" si="5"/>
        <v>-20060.463020833333</v>
      </c>
      <c r="S19" s="12">
        <f t="shared" si="0"/>
        <v>1.0913936421275139E-10</v>
      </c>
    </row>
    <row r="20" spans="1:19" ht="15.75">
      <c r="A20" s="39"/>
      <c r="B20" s="6" t="s">
        <v>156</v>
      </c>
      <c r="C20" s="65"/>
      <c r="D20" s="73"/>
      <c r="E20" s="13"/>
      <c r="F20" s="14">
        <f t="shared" si="2"/>
        <v>22952.971654433542</v>
      </c>
      <c r="G20" s="13">
        <f>-E19</f>
        <v>-22952.971654433542</v>
      </c>
      <c r="H20" s="14">
        <f t="shared" si="2"/>
        <v>1832816.5283455665</v>
      </c>
      <c r="I20" s="13">
        <f>+H17*$G$430/12</f>
        <v>9515.020833333332</v>
      </c>
      <c r="J20" s="14">
        <f t="shared" si="2"/>
        <v>29575.483854166665</v>
      </c>
      <c r="K20" s="315"/>
      <c r="L20" s="15"/>
      <c r="M20" s="13">
        <f>-G20</f>
        <v>22952.971654433542</v>
      </c>
      <c r="N20" s="14">
        <f t="shared" si="3"/>
        <v>0</v>
      </c>
      <c r="O20" s="13"/>
      <c r="P20" s="14">
        <f t="shared" si="4"/>
        <v>-1855769.5</v>
      </c>
      <c r="Q20" s="13">
        <f t="shared" si="1"/>
        <v>-9515.020833333332</v>
      </c>
      <c r="R20" s="14">
        <f t="shared" si="5"/>
        <v>-29575.483854166665</v>
      </c>
      <c r="S20" s="12"/>
    </row>
    <row r="21" spans="1:19" ht="15.75">
      <c r="A21" s="41" t="s">
        <v>50</v>
      </c>
      <c r="B21" s="6" t="s">
        <v>15</v>
      </c>
      <c r="C21" s="65"/>
      <c r="D21" s="73"/>
      <c r="E21" s="13"/>
      <c r="F21" s="14">
        <f t="shared" si="2"/>
        <v>22952.971654433542</v>
      </c>
      <c r="G21" s="13">
        <f>+$J$421</f>
        <v>280869.5</v>
      </c>
      <c r="H21" s="14">
        <f t="shared" si="2"/>
        <v>2113686.0283455662</v>
      </c>
      <c r="I21" s="13"/>
      <c r="J21" s="14">
        <f t="shared" si="2"/>
        <v>29575.483854166665</v>
      </c>
      <c r="K21" s="315"/>
      <c r="L21" s="15"/>
      <c r="M21" s="13"/>
      <c r="N21" s="14">
        <f t="shared" si="3"/>
        <v>0</v>
      </c>
      <c r="O21" s="13">
        <f>-G21</f>
        <v>-280869.5</v>
      </c>
      <c r="P21" s="14">
        <f t="shared" si="4"/>
        <v>-2136639</v>
      </c>
      <c r="Q21" s="13">
        <f t="shared" si="1"/>
        <v>0</v>
      </c>
      <c r="R21" s="14">
        <f t="shared" si="5"/>
        <v>-29575.483854166665</v>
      </c>
      <c r="S21" s="12">
        <f>+F21+H21+J21+N21+P21+R21</f>
        <v>3.2741809263825417E-11</v>
      </c>
    </row>
    <row r="22" spans="1:19" ht="15.75">
      <c r="A22" s="39"/>
      <c r="B22" s="6" t="s">
        <v>17</v>
      </c>
      <c r="C22" s="65"/>
      <c r="D22" s="73"/>
      <c r="E22" s="13">
        <f>+'Total Billings'!D13</f>
        <v>310465.67643132474</v>
      </c>
      <c r="F22" s="14">
        <f t="shared" si="2"/>
        <v>333418.64808575826</v>
      </c>
      <c r="G22" s="13"/>
      <c r="H22" s="14">
        <f t="shared" si="2"/>
        <v>2113686.0283455662</v>
      </c>
      <c r="I22" s="13"/>
      <c r="J22" s="14">
        <f t="shared" si="2"/>
        <v>29575.483854166665</v>
      </c>
      <c r="K22" s="315"/>
      <c r="L22" s="15"/>
      <c r="M22" s="13">
        <f>-E22</f>
        <v>-310465.67643132474</v>
      </c>
      <c r="N22" s="14">
        <f t="shared" si="3"/>
        <v>-310465.67643132474</v>
      </c>
      <c r="O22" s="13"/>
      <c r="P22" s="14">
        <f t="shared" si="4"/>
        <v>-2136639</v>
      </c>
      <c r="Q22" s="13">
        <f t="shared" si="1"/>
        <v>0</v>
      </c>
      <c r="R22" s="14">
        <f t="shared" si="5"/>
        <v>-29575.483854166665</v>
      </c>
      <c r="S22" s="12">
        <f>+F22+H22+J22+N22+P22+R22</f>
        <v>-4.3291947804391384E-10</v>
      </c>
    </row>
    <row r="23" spans="1:19" ht="15.75">
      <c r="A23" s="39"/>
      <c r="B23" s="6" t="s">
        <v>156</v>
      </c>
      <c r="C23" s="65"/>
      <c r="D23" s="73"/>
      <c r="E23" s="13"/>
      <c r="F23" s="14">
        <f t="shared" si="2"/>
        <v>333418.64808575826</v>
      </c>
      <c r="G23" s="13">
        <f>-E22</f>
        <v>-310465.67643132474</v>
      </c>
      <c r="H23" s="14">
        <f t="shared" si="2"/>
        <v>1803220.3519142414</v>
      </c>
      <c r="I23" s="13">
        <f>+H20*$G$430/12</f>
        <v>11073.26652542113</v>
      </c>
      <c r="J23" s="14">
        <f t="shared" si="2"/>
        <v>40648.75037958779</v>
      </c>
      <c r="K23" s="315"/>
      <c r="L23" s="15"/>
      <c r="M23" s="13">
        <f>-G23</f>
        <v>310465.67643132474</v>
      </c>
      <c r="N23" s="14">
        <f t="shared" si="3"/>
        <v>0</v>
      </c>
      <c r="O23" s="13"/>
      <c r="P23" s="14">
        <f t="shared" si="4"/>
        <v>-2136639</v>
      </c>
      <c r="Q23" s="13">
        <f t="shared" si="1"/>
        <v>-11073.26652542113</v>
      </c>
      <c r="R23" s="14">
        <f t="shared" si="5"/>
        <v>-40648.75037958779</v>
      </c>
      <c r="S23" s="12"/>
    </row>
    <row r="24" spans="1:19" ht="15.75">
      <c r="A24" s="41" t="s">
        <v>51</v>
      </c>
      <c r="B24" s="6" t="s">
        <v>15</v>
      </c>
      <c r="C24" s="65"/>
      <c r="D24" s="73"/>
      <c r="E24" s="13"/>
      <c r="F24" s="14">
        <f t="shared" si="2"/>
        <v>333418.64808575826</v>
      </c>
      <c r="G24" s="13">
        <f>+$J$421</f>
        <v>280869.5</v>
      </c>
      <c r="H24" s="14">
        <f t="shared" si="2"/>
        <v>2084089.8519142414</v>
      </c>
      <c r="I24" s="13"/>
      <c r="J24" s="14">
        <f t="shared" si="2"/>
        <v>40648.75037958779</v>
      </c>
      <c r="K24" s="315"/>
      <c r="L24" s="15"/>
      <c r="M24" s="13"/>
      <c r="N24" s="14">
        <f t="shared" si="3"/>
        <v>0</v>
      </c>
      <c r="O24" s="13">
        <f>-G24</f>
        <v>-280869.5</v>
      </c>
      <c r="P24" s="14">
        <f t="shared" si="4"/>
        <v>-2417508.5</v>
      </c>
      <c r="Q24" s="13">
        <f t="shared" si="1"/>
        <v>0</v>
      </c>
      <c r="R24" s="14">
        <f t="shared" si="5"/>
        <v>-40648.75037958779</v>
      </c>
      <c r="S24" s="12">
        <f>+F24+H24+J24+N24+P24+R24</f>
        <v>-2.6921043172478676E-10</v>
      </c>
    </row>
    <row r="25" spans="1:19" ht="15.75">
      <c r="A25" s="39"/>
      <c r="B25" s="6" t="s">
        <v>17</v>
      </c>
      <c r="C25" s="65"/>
      <c r="D25" s="73"/>
      <c r="E25" s="13">
        <f>+'Total Billings'!D14</f>
        <v>373508.6063223921</v>
      </c>
      <c r="F25" s="14">
        <f t="shared" si="2"/>
        <v>706927.2544081504</v>
      </c>
      <c r="G25" s="13"/>
      <c r="H25" s="14">
        <f t="shared" si="2"/>
        <v>2084089.8519142414</v>
      </c>
      <c r="I25" s="13"/>
      <c r="J25" s="14">
        <f t="shared" si="2"/>
        <v>40648.75037958779</v>
      </c>
      <c r="K25" s="315"/>
      <c r="L25" s="15"/>
      <c r="M25" s="13">
        <f>-E25</f>
        <v>-373508.6063223921</v>
      </c>
      <c r="N25" s="14">
        <f t="shared" si="3"/>
        <v>-373508.6063223921</v>
      </c>
      <c r="O25" s="13"/>
      <c r="P25" s="14">
        <f t="shared" si="4"/>
        <v>-2417508.5</v>
      </c>
      <c r="Q25" s="13">
        <f t="shared" si="1"/>
        <v>0</v>
      </c>
      <c r="R25" s="14">
        <f t="shared" si="5"/>
        <v>-40648.75037958779</v>
      </c>
      <c r="S25" s="12">
        <f>+F25+H25+J25+N25+P25+R25</f>
        <v>-2.6921043172478676E-10</v>
      </c>
    </row>
    <row r="26" spans="1:19" ht="15.75">
      <c r="A26" s="39"/>
      <c r="B26" s="6" t="s">
        <v>156</v>
      </c>
      <c r="C26" s="65"/>
      <c r="D26" s="73"/>
      <c r="E26" s="13"/>
      <c r="F26" s="14">
        <f t="shared" si="2"/>
        <v>706927.2544081504</v>
      </c>
      <c r="G26" s="13">
        <f>-E25</f>
        <v>-373508.6063223921</v>
      </c>
      <c r="H26" s="14">
        <f t="shared" si="2"/>
        <v>1710581.2455918493</v>
      </c>
      <c r="I26" s="13">
        <f>+H23*$G$430/12</f>
        <v>10894.456292815208</v>
      </c>
      <c r="J26" s="14">
        <f t="shared" si="2"/>
        <v>51543.206672403</v>
      </c>
      <c r="K26" s="315"/>
      <c r="L26" s="15"/>
      <c r="M26" s="13">
        <f>-G26</f>
        <v>373508.6063223921</v>
      </c>
      <c r="N26" s="14">
        <f t="shared" si="3"/>
        <v>0</v>
      </c>
      <c r="O26" s="13"/>
      <c r="P26" s="14">
        <f t="shared" si="4"/>
        <v>-2417508.5</v>
      </c>
      <c r="Q26" s="13">
        <f t="shared" si="1"/>
        <v>-10894.456292815208</v>
      </c>
      <c r="R26" s="14">
        <f t="shared" si="5"/>
        <v>-51543.206672403</v>
      </c>
      <c r="S26" s="12"/>
    </row>
    <row r="27" spans="1:19" ht="15.75">
      <c r="A27" s="41" t="s">
        <v>52</v>
      </c>
      <c r="B27" s="6" t="s">
        <v>15</v>
      </c>
      <c r="C27" s="65"/>
      <c r="D27" s="73"/>
      <c r="E27" s="13"/>
      <c r="F27" s="14">
        <f t="shared" si="2"/>
        <v>706927.2544081504</v>
      </c>
      <c r="G27" s="13">
        <f>+$J$421</f>
        <v>280869.5</v>
      </c>
      <c r="H27" s="14">
        <f t="shared" si="2"/>
        <v>1991450.7455918493</v>
      </c>
      <c r="I27" s="13"/>
      <c r="J27" s="14">
        <f t="shared" si="2"/>
        <v>51543.206672403</v>
      </c>
      <c r="K27" s="315"/>
      <c r="L27" s="15"/>
      <c r="M27" s="13"/>
      <c r="N27" s="14">
        <f t="shared" si="3"/>
        <v>0</v>
      </c>
      <c r="O27" s="13">
        <f>-G27</f>
        <v>-280869.5</v>
      </c>
      <c r="P27" s="14">
        <f t="shared" si="4"/>
        <v>-2698378</v>
      </c>
      <c r="Q27" s="13">
        <f t="shared" si="1"/>
        <v>0</v>
      </c>
      <c r="R27" s="14">
        <f t="shared" si="5"/>
        <v>-51543.206672403</v>
      </c>
      <c r="S27" s="12">
        <f>+F27+H27+J27+N27+P27+R27</f>
        <v>0</v>
      </c>
    </row>
    <row r="28" spans="1:19" ht="15.75">
      <c r="A28" s="39"/>
      <c r="B28" s="6" t="s">
        <v>17</v>
      </c>
      <c r="C28" s="65"/>
      <c r="D28" s="73"/>
      <c r="E28" s="13">
        <f>+'Total Billings'!D15</f>
        <v>355961.8306888021</v>
      </c>
      <c r="F28" s="14">
        <f t="shared" si="2"/>
        <v>1062889.0850969525</v>
      </c>
      <c r="G28" s="13"/>
      <c r="H28" s="14">
        <f t="shared" si="2"/>
        <v>1991450.7455918493</v>
      </c>
      <c r="I28" s="13"/>
      <c r="J28" s="14">
        <f t="shared" si="2"/>
        <v>51543.206672403</v>
      </c>
      <c r="K28" s="315"/>
      <c r="L28" s="15"/>
      <c r="M28" s="13">
        <f>-E28</f>
        <v>-355961.8306888021</v>
      </c>
      <c r="N28" s="14">
        <f t="shared" si="3"/>
        <v>-355961.8306888021</v>
      </c>
      <c r="O28" s="13"/>
      <c r="P28" s="14">
        <f t="shared" si="4"/>
        <v>-2698378</v>
      </c>
      <c r="Q28" s="13">
        <f t="shared" si="1"/>
        <v>0</v>
      </c>
      <c r="R28" s="14">
        <f t="shared" si="5"/>
        <v>-51543.206672403</v>
      </c>
      <c r="S28" s="12">
        <f>+F28+H28+J28+N28+P28+R28</f>
        <v>-4.3655745685100555E-10</v>
      </c>
    </row>
    <row r="29" spans="1:19" ht="15.75">
      <c r="A29" s="39"/>
      <c r="B29" s="6" t="s">
        <v>156</v>
      </c>
      <c r="C29" s="65"/>
      <c r="D29" s="73"/>
      <c r="E29" s="13"/>
      <c r="F29" s="14">
        <f t="shared" si="2"/>
        <v>1062889.0850969525</v>
      </c>
      <c r="G29" s="13">
        <f>-E28</f>
        <v>-355961.8306888021</v>
      </c>
      <c r="H29" s="14">
        <f>+H28+G29</f>
        <v>1635488.9149030473</v>
      </c>
      <c r="I29" s="13">
        <f>+H26*$G$430/12</f>
        <v>10334.761692117421</v>
      </c>
      <c r="J29" s="14">
        <f t="shared" si="2"/>
        <v>61877.96836452042</v>
      </c>
      <c r="K29" s="315"/>
      <c r="L29" s="15"/>
      <c r="M29" s="13">
        <f>-G29</f>
        <v>355961.8306888021</v>
      </c>
      <c r="N29" s="14">
        <f t="shared" si="3"/>
        <v>0</v>
      </c>
      <c r="O29" s="13"/>
      <c r="P29" s="14">
        <f t="shared" si="4"/>
        <v>-2698378</v>
      </c>
      <c r="Q29" s="13">
        <f t="shared" si="1"/>
        <v>-10334.761692117421</v>
      </c>
      <c r="R29" s="14">
        <f t="shared" si="5"/>
        <v>-61877.96836452042</v>
      </c>
      <c r="S29" s="12"/>
    </row>
    <row r="30" spans="1:19" ht="15.75">
      <c r="A30" s="39"/>
      <c r="B30" s="6" t="s">
        <v>151</v>
      </c>
      <c r="C30" s="65"/>
      <c r="D30" s="73"/>
      <c r="E30" s="13"/>
      <c r="F30" s="14"/>
      <c r="G30" s="13">
        <v>7980.319338842975</v>
      </c>
      <c r="H30" s="14">
        <f>+H29+G30</f>
        <v>1643469.2342418903</v>
      </c>
      <c r="I30" s="13"/>
      <c r="J30" s="14"/>
      <c r="K30" s="315"/>
      <c r="L30" s="15"/>
      <c r="M30" s="13"/>
      <c r="N30" s="14"/>
      <c r="O30" s="13">
        <f>-G30</f>
        <v>-7980.319338842975</v>
      </c>
      <c r="P30" s="14">
        <f>+P29+O30</f>
        <v>-2706358.3193388428</v>
      </c>
      <c r="Q30" s="13"/>
      <c r="R30" s="14"/>
      <c r="S30" s="12"/>
    </row>
    <row r="31" spans="1:19" ht="15.75">
      <c r="A31" s="41" t="s">
        <v>53</v>
      </c>
      <c r="B31" s="6" t="s">
        <v>15</v>
      </c>
      <c r="C31" s="65"/>
      <c r="D31" s="73"/>
      <c r="E31" s="13"/>
      <c r="F31" s="14">
        <f>+F29+E31</f>
        <v>1062889.0850969525</v>
      </c>
      <c r="G31" s="13">
        <f>+$J$421</f>
        <v>280869.5</v>
      </c>
      <c r="H31" s="14">
        <f>+H30+G31</f>
        <v>1924338.7342418903</v>
      </c>
      <c r="I31" s="13"/>
      <c r="J31" s="14">
        <f>+J29+I31</f>
        <v>61877.96836452042</v>
      </c>
      <c r="K31" s="315"/>
      <c r="L31" s="15"/>
      <c r="M31" s="13"/>
      <c r="N31" s="14">
        <f>+N29+M31</f>
        <v>0</v>
      </c>
      <c r="O31" s="13">
        <f>-G31</f>
        <v>-280869.5</v>
      </c>
      <c r="P31" s="14">
        <f>+P30+O31</f>
        <v>-2987227.8193388428</v>
      </c>
      <c r="Q31" s="13">
        <f t="shared" si="1"/>
        <v>0</v>
      </c>
      <c r="R31" s="14">
        <f>+R29+Q31</f>
        <v>-61877.96836452042</v>
      </c>
      <c r="S31" s="12">
        <f>+F31+H31+J31+N31+P31+R31</f>
        <v>0</v>
      </c>
    </row>
    <row r="32" spans="1:19" ht="15.75">
      <c r="A32" s="39"/>
      <c r="B32" s="6" t="s">
        <v>17</v>
      </c>
      <c r="C32" s="65"/>
      <c r="D32" s="73"/>
      <c r="E32" s="13">
        <f>+'Total Billings'!D16</f>
        <v>386256.80055690213</v>
      </c>
      <c r="F32" s="14">
        <f t="shared" si="2"/>
        <v>1449145.8856538546</v>
      </c>
      <c r="G32" s="13"/>
      <c r="H32" s="14">
        <f t="shared" si="2"/>
        <v>1924338.7342418903</v>
      </c>
      <c r="I32" s="13"/>
      <c r="J32" s="14">
        <f t="shared" si="2"/>
        <v>61877.96836452042</v>
      </c>
      <c r="K32" s="315"/>
      <c r="L32" s="15"/>
      <c r="M32" s="13">
        <f>-E32</f>
        <v>-386256.80055690213</v>
      </c>
      <c r="N32" s="14">
        <f t="shared" si="3"/>
        <v>-386256.80055690213</v>
      </c>
      <c r="O32" s="13"/>
      <c r="P32" s="14">
        <f t="shared" si="4"/>
        <v>-2987227.8193388428</v>
      </c>
      <c r="Q32" s="13">
        <f t="shared" si="1"/>
        <v>0</v>
      </c>
      <c r="R32" s="14">
        <f t="shared" si="5"/>
        <v>-61877.96836452042</v>
      </c>
      <c r="S32" s="12">
        <f>+F32+H32+J32+N32+P32+R32</f>
        <v>0</v>
      </c>
    </row>
    <row r="33" spans="1:19" ht="15.75">
      <c r="A33" s="39"/>
      <c r="B33" s="6" t="s">
        <v>156</v>
      </c>
      <c r="C33" s="65"/>
      <c r="D33" s="73"/>
      <c r="E33" s="13"/>
      <c r="F33" s="14">
        <f t="shared" si="2"/>
        <v>1449145.8856538546</v>
      </c>
      <c r="G33" s="13">
        <f>-E32</f>
        <v>-386256.80055690213</v>
      </c>
      <c r="H33" s="14">
        <f t="shared" si="2"/>
        <v>1538081.9336849882</v>
      </c>
      <c r="I33" s="13">
        <f>+H30*$G$430/12</f>
        <v>9929.29329021142</v>
      </c>
      <c r="J33" s="14">
        <f t="shared" si="2"/>
        <v>71807.26165473185</v>
      </c>
      <c r="K33" s="315"/>
      <c r="L33" s="15"/>
      <c r="M33" s="13">
        <f>-G33</f>
        <v>386256.80055690213</v>
      </c>
      <c r="N33" s="14">
        <f t="shared" si="3"/>
        <v>0</v>
      </c>
      <c r="O33" s="13"/>
      <c r="P33" s="14">
        <f t="shared" si="4"/>
        <v>-2987227.8193388428</v>
      </c>
      <c r="Q33" s="13">
        <f t="shared" si="1"/>
        <v>-9929.29329021142</v>
      </c>
      <c r="R33" s="14">
        <f t="shared" si="5"/>
        <v>-71807.26165473185</v>
      </c>
      <c r="S33" s="12"/>
    </row>
    <row r="34" spans="1:19" ht="15.75">
      <c r="A34" s="41" t="s">
        <v>54</v>
      </c>
      <c r="B34" s="6" t="s">
        <v>15</v>
      </c>
      <c r="C34" s="65"/>
      <c r="D34" s="73"/>
      <c r="E34" s="13"/>
      <c r="F34" s="14">
        <f t="shared" si="2"/>
        <v>1449145.8856538546</v>
      </c>
      <c r="G34" s="13">
        <f>+$J$421</f>
        <v>280869.5</v>
      </c>
      <c r="H34" s="14">
        <f t="shared" si="2"/>
        <v>1818951.4336849882</v>
      </c>
      <c r="I34" s="13"/>
      <c r="J34" s="14">
        <f t="shared" si="2"/>
        <v>71807.26165473185</v>
      </c>
      <c r="K34" s="315"/>
      <c r="L34" s="15"/>
      <c r="M34" s="13"/>
      <c r="N34" s="14">
        <f t="shared" si="3"/>
        <v>0</v>
      </c>
      <c r="O34" s="13">
        <f>-G34</f>
        <v>-280869.5</v>
      </c>
      <c r="P34" s="14">
        <f t="shared" si="4"/>
        <v>-3268097.3193388428</v>
      </c>
      <c r="Q34" s="13">
        <f t="shared" si="1"/>
        <v>0</v>
      </c>
      <c r="R34" s="14">
        <f t="shared" si="5"/>
        <v>-71807.26165473185</v>
      </c>
      <c r="S34" s="12">
        <f>+F34+H34+J34+N34+P34+R34</f>
        <v>0</v>
      </c>
    </row>
    <row r="35" spans="1:19" ht="15.75">
      <c r="A35" s="39"/>
      <c r="B35" s="6" t="s">
        <v>17</v>
      </c>
      <c r="C35" s="65"/>
      <c r="D35" s="73"/>
      <c r="E35" s="13">
        <f>+'Total Billings'!D17</f>
        <v>369975.7945203822</v>
      </c>
      <c r="F35" s="14">
        <f t="shared" si="2"/>
        <v>1819121.6801742367</v>
      </c>
      <c r="G35" s="13"/>
      <c r="H35" s="14">
        <f t="shared" si="2"/>
        <v>1818951.4336849882</v>
      </c>
      <c r="I35" s="13"/>
      <c r="J35" s="14">
        <f t="shared" si="2"/>
        <v>71807.26165473185</v>
      </c>
      <c r="K35" s="315"/>
      <c r="L35" s="15"/>
      <c r="M35" s="13">
        <f>-E35</f>
        <v>-369975.7945203822</v>
      </c>
      <c r="N35" s="14">
        <f t="shared" si="3"/>
        <v>-369975.7945203822</v>
      </c>
      <c r="O35" s="13"/>
      <c r="P35" s="14">
        <f t="shared" si="4"/>
        <v>-3268097.3193388428</v>
      </c>
      <c r="Q35" s="13">
        <f t="shared" si="1"/>
        <v>0</v>
      </c>
      <c r="R35" s="14">
        <f t="shared" si="5"/>
        <v>-71807.26165473185</v>
      </c>
      <c r="S35" s="12">
        <f>+F35+H35+J35+N35+P35+R35</f>
        <v>0</v>
      </c>
    </row>
    <row r="36" spans="1:19" ht="15.75">
      <c r="A36" s="39"/>
      <c r="B36" s="6" t="s">
        <v>156</v>
      </c>
      <c r="C36" s="65"/>
      <c r="D36" s="73"/>
      <c r="E36" s="13"/>
      <c r="F36" s="14">
        <f t="shared" si="2"/>
        <v>1819121.6801742367</v>
      </c>
      <c r="G36" s="13">
        <f>-E35</f>
        <v>-369975.7945203822</v>
      </c>
      <c r="H36" s="14">
        <f t="shared" si="2"/>
        <v>1448975.639164606</v>
      </c>
      <c r="I36" s="13">
        <f>+H33*$G$430/12</f>
        <v>9292.578349346802</v>
      </c>
      <c r="J36" s="14">
        <f t="shared" si="2"/>
        <v>81099.84000407865</v>
      </c>
      <c r="K36" s="315"/>
      <c r="L36" s="15"/>
      <c r="M36" s="13">
        <f>-G36</f>
        <v>369975.7945203822</v>
      </c>
      <c r="N36" s="14">
        <f t="shared" si="3"/>
        <v>0</v>
      </c>
      <c r="O36" s="13"/>
      <c r="P36" s="14">
        <f t="shared" si="4"/>
        <v>-3268097.3193388428</v>
      </c>
      <c r="Q36" s="13">
        <f t="shared" si="1"/>
        <v>-9292.578349346802</v>
      </c>
      <c r="R36" s="14">
        <f t="shared" si="5"/>
        <v>-81099.84000407865</v>
      </c>
      <c r="S36" s="12"/>
    </row>
    <row r="37" spans="1:19" ht="15.75">
      <c r="A37" s="41" t="s">
        <v>55</v>
      </c>
      <c r="B37" s="6" t="s">
        <v>15</v>
      </c>
      <c r="C37" s="65"/>
      <c r="D37" s="73"/>
      <c r="E37" s="13"/>
      <c r="F37" s="14">
        <f t="shared" si="2"/>
        <v>1819121.6801742367</v>
      </c>
      <c r="G37" s="13">
        <f>+$J$421</f>
        <v>280869.5</v>
      </c>
      <c r="H37" s="14">
        <f t="shared" si="2"/>
        <v>1729845.139164606</v>
      </c>
      <c r="I37" s="13"/>
      <c r="J37" s="14">
        <f t="shared" si="2"/>
        <v>81099.84000407865</v>
      </c>
      <c r="K37" s="315"/>
      <c r="L37" s="15"/>
      <c r="M37" s="13"/>
      <c r="N37" s="14">
        <f t="shared" si="3"/>
        <v>0</v>
      </c>
      <c r="O37" s="13">
        <f>-G37</f>
        <v>-280869.5</v>
      </c>
      <c r="P37" s="14">
        <f t="shared" si="4"/>
        <v>-3548966.8193388428</v>
      </c>
      <c r="Q37" s="13">
        <f t="shared" si="1"/>
        <v>0</v>
      </c>
      <c r="R37" s="14">
        <f t="shared" si="5"/>
        <v>-81099.84000407865</v>
      </c>
      <c r="S37" s="12">
        <f>+F37+H37+J37+N37+P37+R37</f>
        <v>0</v>
      </c>
    </row>
    <row r="38" spans="1:19" ht="15.75">
      <c r="A38" s="39"/>
      <c r="B38" s="6" t="s">
        <v>17</v>
      </c>
      <c r="C38" s="65"/>
      <c r="D38" s="73"/>
      <c r="E38" s="13">
        <f>+'Total Billings'!D18</f>
        <v>400656.22322269925</v>
      </c>
      <c r="F38" s="14">
        <f t="shared" si="2"/>
        <v>2219777.903396936</v>
      </c>
      <c r="G38" s="13"/>
      <c r="H38" s="14">
        <f t="shared" si="2"/>
        <v>1729845.139164606</v>
      </c>
      <c r="I38" s="13"/>
      <c r="J38" s="14">
        <f t="shared" si="2"/>
        <v>81099.84000407865</v>
      </c>
      <c r="K38" s="315"/>
      <c r="L38" s="15"/>
      <c r="M38" s="13">
        <f>-E38</f>
        <v>-400656.22322269925</v>
      </c>
      <c r="N38" s="14">
        <f t="shared" si="3"/>
        <v>-400656.22322269925</v>
      </c>
      <c r="O38" s="13"/>
      <c r="P38" s="14">
        <f t="shared" si="4"/>
        <v>-3548966.8193388428</v>
      </c>
      <c r="Q38" s="13">
        <f t="shared" si="1"/>
        <v>0</v>
      </c>
      <c r="R38" s="14">
        <f t="shared" si="5"/>
        <v>-81099.84000407865</v>
      </c>
      <c r="S38" s="12">
        <f>+F38+H38+J38+N38+P38+R38</f>
        <v>0</v>
      </c>
    </row>
    <row r="39" spans="1:19" ht="15.75">
      <c r="A39" s="39"/>
      <c r="B39" s="6" t="s">
        <v>156</v>
      </c>
      <c r="C39" s="65"/>
      <c r="D39" s="73"/>
      <c r="E39" s="13"/>
      <c r="F39" s="14">
        <f t="shared" si="2"/>
        <v>2219777.903396936</v>
      </c>
      <c r="G39" s="13">
        <f>-E38</f>
        <v>-400656.22322269925</v>
      </c>
      <c r="H39" s="14">
        <f t="shared" si="2"/>
        <v>1329188.9159419069</v>
      </c>
      <c r="I39" s="13">
        <f>+H36*$G$430/12</f>
        <v>8754.227819952828</v>
      </c>
      <c r="J39" s="14">
        <f t="shared" si="2"/>
        <v>89854.06782403147</v>
      </c>
      <c r="K39" s="315"/>
      <c r="L39" s="15"/>
      <c r="M39" s="13">
        <f>-G39</f>
        <v>400656.22322269925</v>
      </c>
      <c r="N39" s="14">
        <f t="shared" si="3"/>
        <v>0</v>
      </c>
      <c r="O39" s="13"/>
      <c r="P39" s="14">
        <f t="shared" si="4"/>
        <v>-3548966.8193388428</v>
      </c>
      <c r="Q39" s="13">
        <f t="shared" si="1"/>
        <v>-8754.227819952828</v>
      </c>
      <c r="R39" s="14">
        <f t="shared" si="5"/>
        <v>-89854.06782403147</v>
      </c>
      <c r="S39" s="12"/>
    </row>
    <row r="40" spans="1:19" ht="15.75">
      <c r="A40" s="41" t="s">
        <v>44</v>
      </c>
      <c r="B40" s="6" t="s">
        <v>15</v>
      </c>
      <c r="C40" s="65"/>
      <c r="D40" s="73"/>
      <c r="E40" s="13"/>
      <c r="F40" s="14">
        <f t="shared" si="2"/>
        <v>2219777.903396936</v>
      </c>
      <c r="G40" s="13">
        <f>+$J$421</f>
        <v>280869.5</v>
      </c>
      <c r="H40" s="14">
        <f t="shared" si="2"/>
        <v>1610058.4159419069</v>
      </c>
      <c r="I40" s="13"/>
      <c r="J40" s="14">
        <f t="shared" si="2"/>
        <v>89854.06782403147</v>
      </c>
      <c r="K40" s="315"/>
      <c r="L40" s="15"/>
      <c r="M40" s="13"/>
      <c r="N40" s="14">
        <f t="shared" si="3"/>
        <v>0</v>
      </c>
      <c r="O40" s="13">
        <f>-G40</f>
        <v>-280869.5</v>
      </c>
      <c r="P40" s="14">
        <f t="shared" si="4"/>
        <v>-3829836.3193388428</v>
      </c>
      <c r="Q40" s="13">
        <f t="shared" si="1"/>
        <v>0</v>
      </c>
      <c r="R40" s="14">
        <f t="shared" si="5"/>
        <v>-89854.06782403147</v>
      </c>
      <c r="S40" s="12">
        <f>+F40+H40+J40+N40+P40+R40</f>
        <v>6.83940015733242E-10</v>
      </c>
    </row>
    <row r="41" spans="1:19" ht="15.75">
      <c r="A41" s="39"/>
      <c r="B41" s="6" t="s">
        <v>17</v>
      </c>
      <c r="C41" s="65"/>
      <c r="D41" s="73"/>
      <c r="E41" s="13">
        <f>+'Total Billings'!D19</f>
        <v>339482.0344427172</v>
      </c>
      <c r="F41" s="14">
        <f t="shared" si="2"/>
        <v>2559259.9378396533</v>
      </c>
      <c r="G41" s="13"/>
      <c r="H41" s="14">
        <f t="shared" si="2"/>
        <v>1610058.4159419069</v>
      </c>
      <c r="I41" s="13"/>
      <c r="J41" s="14">
        <f t="shared" si="2"/>
        <v>89854.06782403147</v>
      </c>
      <c r="K41" s="315"/>
      <c r="L41" s="15"/>
      <c r="M41" s="13">
        <f>-E41</f>
        <v>-339482.0344427172</v>
      </c>
      <c r="N41" s="14">
        <f t="shared" si="3"/>
        <v>-339482.0344427172</v>
      </c>
      <c r="O41" s="13"/>
      <c r="P41" s="14">
        <f t="shared" si="4"/>
        <v>-3829836.3193388428</v>
      </c>
      <c r="Q41" s="13">
        <f t="shared" si="1"/>
        <v>0</v>
      </c>
      <c r="R41" s="14">
        <f t="shared" si="5"/>
        <v>-89854.06782403147</v>
      </c>
      <c r="S41" s="12">
        <f>+F41+H41+J41+N41+P41+R41</f>
        <v>2.1827872842550278E-10</v>
      </c>
    </row>
    <row r="42" spans="1:19" ht="15.75">
      <c r="A42" s="39"/>
      <c r="B42" s="6" t="s">
        <v>156</v>
      </c>
      <c r="C42" s="65"/>
      <c r="D42" s="73"/>
      <c r="E42" s="13"/>
      <c r="F42" s="14">
        <f t="shared" si="2"/>
        <v>2559259.9378396533</v>
      </c>
      <c r="G42" s="13">
        <f>-E41</f>
        <v>-339482.0344427172</v>
      </c>
      <c r="H42" s="14">
        <f t="shared" si="2"/>
        <v>1270576.3814991897</v>
      </c>
      <c r="I42" s="13">
        <f>+H39*$G$430/12</f>
        <v>8030.51636714902</v>
      </c>
      <c r="J42" s="14">
        <f t="shared" si="2"/>
        <v>97884.58419118049</v>
      </c>
      <c r="K42" s="315"/>
      <c r="L42" s="15"/>
      <c r="M42" s="13">
        <f>-G42</f>
        <v>339482.0344427172</v>
      </c>
      <c r="N42" s="14">
        <f t="shared" si="3"/>
        <v>0</v>
      </c>
      <c r="O42" s="13"/>
      <c r="P42" s="14">
        <f t="shared" si="4"/>
        <v>-3829836.3193388428</v>
      </c>
      <c r="Q42" s="13">
        <f t="shared" si="1"/>
        <v>-8030.51636714902</v>
      </c>
      <c r="R42" s="14">
        <f t="shared" si="5"/>
        <v>-97884.58419118049</v>
      </c>
      <c r="S42" s="12"/>
    </row>
    <row r="43" spans="1:19" ht="15.75">
      <c r="A43" s="41" t="s">
        <v>56</v>
      </c>
      <c r="B43" s="6" t="s">
        <v>15</v>
      </c>
      <c r="C43" s="65"/>
      <c r="D43" s="73"/>
      <c r="E43" s="13"/>
      <c r="F43" s="14">
        <f t="shared" si="2"/>
        <v>2559259.9378396533</v>
      </c>
      <c r="G43" s="13">
        <f>+$J$421</f>
        <v>280869.5</v>
      </c>
      <c r="H43" s="14">
        <f t="shared" si="2"/>
        <v>1551445.8814991897</v>
      </c>
      <c r="I43" s="13"/>
      <c r="J43" s="14">
        <f t="shared" si="2"/>
        <v>97884.58419118049</v>
      </c>
      <c r="K43" s="315"/>
      <c r="L43" s="15"/>
      <c r="M43" s="13"/>
      <c r="N43" s="14">
        <f t="shared" si="3"/>
        <v>0</v>
      </c>
      <c r="O43" s="13">
        <f>-G43</f>
        <v>-280869.5</v>
      </c>
      <c r="P43" s="14">
        <f t="shared" si="4"/>
        <v>-4110705.8193388428</v>
      </c>
      <c r="Q43" s="13">
        <f t="shared" si="1"/>
        <v>0</v>
      </c>
      <c r="R43" s="14">
        <f t="shared" si="5"/>
        <v>-97884.58419118049</v>
      </c>
      <c r="S43" s="12">
        <f>+F43+H43+J43+N43+P43+R43</f>
        <v>7.421476766467094E-10</v>
      </c>
    </row>
    <row r="44" spans="1:19" ht="15.75">
      <c r="A44" s="39"/>
      <c r="B44" s="6" t="s">
        <v>17</v>
      </c>
      <c r="C44" s="65"/>
      <c r="D44" s="73"/>
      <c r="E44" s="13">
        <f>+'Total Billings'!D20</f>
        <v>398821.14366522303</v>
      </c>
      <c r="F44" s="14">
        <f t="shared" si="2"/>
        <v>2958081.0815048763</v>
      </c>
      <c r="G44" s="13"/>
      <c r="H44" s="14">
        <f t="shared" si="2"/>
        <v>1551445.8814991897</v>
      </c>
      <c r="I44" s="13"/>
      <c r="J44" s="14">
        <f t="shared" si="2"/>
        <v>97884.58419118049</v>
      </c>
      <c r="K44" s="315"/>
      <c r="L44" s="15"/>
      <c r="M44" s="13">
        <f>-E44</f>
        <v>-398821.14366522303</v>
      </c>
      <c r="N44" s="14">
        <f t="shared" si="3"/>
        <v>-398821.14366522303</v>
      </c>
      <c r="O44" s="13"/>
      <c r="P44" s="14">
        <f t="shared" si="4"/>
        <v>-4110705.8193388428</v>
      </c>
      <c r="Q44" s="13">
        <f t="shared" si="1"/>
        <v>0</v>
      </c>
      <c r="R44" s="14">
        <f t="shared" si="5"/>
        <v>-97884.58419118049</v>
      </c>
      <c r="S44" s="12">
        <f>+F44+H44+J44+N44+P44+R44</f>
        <v>-1.8917489796876907E-10</v>
      </c>
    </row>
    <row r="45" spans="1:19" ht="15.75">
      <c r="A45" s="39"/>
      <c r="B45" s="6" t="s">
        <v>156</v>
      </c>
      <c r="C45" s="65"/>
      <c r="D45" s="73"/>
      <c r="E45" s="13"/>
      <c r="F45" s="14">
        <f t="shared" si="2"/>
        <v>2958081.0815048763</v>
      </c>
      <c r="G45" s="13">
        <f>-E44</f>
        <v>-398821.14366522303</v>
      </c>
      <c r="H45" s="14">
        <f t="shared" si="2"/>
        <v>1152624.7378339665</v>
      </c>
      <c r="I45" s="13">
        <f>+H42*$G$430/12</f>
        <v>7676.3989715576035</v>
      </c>
      <c r="J45" s="14">
        <f t="shared" si="2"/>
        <v>105560.98316273809</v>
      </c>
      <c r="K45" s="315"/>
      <c r="L45" s="15"/>
      <c r="M45" s="13">
        <f>-G45</f>
        <v>398821.14366522303</v>
      </c>
      <c r="N45" s="14">
        <f t="shared" si="3"/>
        <v>0</v>
      </c>
      <c r="O45" s="13"/>
      <c r="P45" s="14">
        <f t="shared" si="4"/>
        <v>-4110705.8193388428</v>
      </c>
      <c r="Q45" s="13">
        <f t="shared" si="1"/>
        <v>-7676.3989715576035</v>
      </c>
      <c r="R45" s="14">
        <f t="shared" si="5"/>
        <v>-105560.98316273809</v>
      </c>
      <c r="S45" s="12"/>
    </row>
    <row r="46" spans="1:19" ht="15.75">
      <c r="A46" s="41" t="s">
        <v>46</v>
      </c>
      <c r="B46" s="6" t="s">
        <v>15</v>
      </c>
      <c r="C46" s="65"/>
      <c r="D46" s="73"/>
      <c r="E46" s="13"/>
      <c r="F46" s="14">
        <f t="shared" si="2"/>
        <v>2958081.0815048763</v>
      </c>
      <c r="G46" s="13">
        <f>+$J$421</f>
        <v>280869.5</v>
      </c>
      <c r="H46" s="14">
        <f t="shared" si="2"/>
        <v>1433494.2378339665</v>
      </c>
      <c r="I46" s="13"/>
      <c r="J46" s="14">
        <f t="shared" si="2"/>
        <v>105560.98316273809</v>
      </c>
      <c r="K46" s="315"/>
      <c r="L46" s="15"/>
      <c r="M46" s="13"/>
      <c r="N46" s="14">
        <f t="shared" si="3"/>
        <v>0</v>
      </c>
      <c r="O46" s="13">
        <f>-G46</f>
        <v>-280869.5</v>
      </c>
      <c r="P46" s="14">
        <f t="shared" si="4"/>
        <v>-4391575.319338843</v>
      </c>
      <c r="Q46" s="13">
        <f t="shared" si="1"/>
        <v>0</v>
      </c>
      <c r="R46" s="14">
        <f t="shared" si="5"/>
        <v>-105560.98316273809</v>
      </c>
      <c r="S46" s="12">
        <f>+F46+H46+J46+N46+P46+R46</f>
        <v>2.9103830456733704E-10</v>
      </c>
    </row>
    <row r="47" spans="1:19" ht="15.75">
      <c r="A47" s="39"/>
      <c r="B47" s="6" t="s">
        <v>17</v>
      </c>
      <c r="C47" s="65"/>
      <c r="D47" s="73"/>
      <c r="E47" s="13">
        <f>+'Total Billings'!D21</f>
        <v>328649.163418113</v>
      </c>
      <c r="F47" s="14">
        <f t="shared" si="2"/>
        <v>3286730.244922989</v>
      </c>
      <c r="G47" s="13"/>
      <c r="H47" s="14">
        <f t="shared" si="2"/>
        <v>1433494.2378339665</v>
      </c>
      <c r="I47" s="13"/>
      <c r="J47" s="14">
        <f t="shared" si="2"/>
        <v>105560.98316273809</v>
      </c>
      <c r="K47" s="315"/>
      <c r="L47" s="15"/>
      <c r="M47" s="13">
        <f>-E47</f>
        <v>-328649.163418113</v>
      </c>
      <c r="N47" s="14">
        <f t="shared" si="3"/>
        <v>-328649.163418113</v>
      </c>
      <c r="O47" s="13"/>
      <c r="P47" s="14">
        <f t="shared" si="4"/>
        <v>-4391575.319338843</v>
      </c>
      <c r="Q47" s="13">
        <f t="shared" si="1"/>
        <v>0</v>
      </c>
      <c r="R47" s="14">
        <f t="shared" si="5"/>
        <v>-105560.98316273809</v>
      </c>
      <c r="S47" s="12">
        <f>+F47+H47+J47+N47+P47+R47</f>
        <v>-6.402842700481415E-10</v>
      </c>
    </row>
    <row r="48" spans="1:19" ht="15.75">
      <c r="A48" s="39"/>
      <c r="B48" s="6" t="s">
        <v>156</v>
      </c>
      <c r="C48" s="65"/>
      <c r="D48" s="73"/>
      <c r="E48" s="13"/>
      <c r="F48" s="14">
        <f>+F47+E48</f>
        <v>3286730.244922989</v>
      </c>
      <c r="G48" s="13">
        <f>-E47</f>
        <v>-328649.163418113</v>
      </c>
      <c r="H48" s="14">
        <f>+H47+G48</f>
        <v>1104845.0744158535</v>
      </c>
      <c r="I48" s="13">
        <f>+H45*$G$430/12</f>
        <v>6963.77445774688</v>
      </c>
      <c r="J48" s="14">
        <f>+J47+I48</f>
        <v>112524.75762048498</v>
      </c>
      <c r="K48" s="315"/>
      <c r="L48" s="15"/>
      <c r="M48" s="13">
        <f>-G48</f>
        <v>328649.163418113</v>
      </c>
      <c r="N48" s="14">
        <f t="shared" si="3"/>
        <v>0</v>
      </c>
      <c r="O48" s="13"/>
      <c r="P48" s="14">
        <f t="shared" si="4"/>
        <v>-4391575.319338843</v>
      </c>
      <c r="Q48" s="13">
        <f t="shared" si="1"/>
        <v>-6963.77445774688</v>
      </c>
      <c r="R48" s="14">
        <f>+R47+Q48</f>
        <v>-112524.75762048498</v>
      </c>
      <c r="S48" s="12">
        <f>+F48+H48+J48+N48+P48+R48</f>
        <v>-1.3387762010097504E-09</v>
      </c>
    </row>
    <row r="49" spans="1:19" ht="15.75">
      <c r="A49" s="39"/>
      <c r="B49" s="6" t="s">
        <v>75</v>
      </c>
      <c r="C49" s="65"/>
      <c r="D49" s="73"/>
      <c r="E49" s="13">
        <f>+'Total Billings'!D22</f>
        <v>514981.94857326755</v>
      </c>
      <c r="F49" s="14">
        <f aca="true" t="shared" si="6" ref="F49:F114">+F48+E49</f>
        <v>3801712.1934962566</v>
      </c>
      <c r="G49" s="13"/>
      <c r="H49" s="14">
        <f aca="true" t="shared" si="7" ref="H49:H114">+H48+G49</f>
        <v>1104845.0744158535</v>
      </c>
      <c r="I49" s="13"/>
      <c r="J49" s="14">
        <f aca="true" t="shared" si="8" ref="J49:J114">+J48+I49</f>
        <v>112524.75762048498</v>
      </c>
      <c r="K49" s="315"/>
      <c r="L49" s="15"/>
      <c r="M49" s="13">
        <f>-E49</f>
        <v>-514981.94857326755</v>
      </c>
      <c r="N49" s="14">
        <f t="shared" si="3"/>
        <v>-514981.94857326755</v>
      </c>
      <c r="O49" s="13"/>
      <c r="P49" s="14">
        <f t="shared" si="4"/>
        <v>-4391575.319338843</v>
      </c>
      <c r="Q49" s="13"/>
      <c r="R49" s="14">
        <f aca="true" t="shared" si="9" ref="R49:R109">+R48+Q49</f>
        <v>-112524.75762048498</v>
      </c>
      <c r="S49" s="12"/>
    </row>
    <row r="50" spans="1:19" ht="15.75">
      <c r="A50" s="39"/>
      <c r="B50" s="6" t="s">
        <v>157</v>
      </c>
      <c r="C50" s="65"/>
      <c r="D50" s="73"/>
      <c r="E50" s="13"/>
      <c r="F50" s="14">
        <f t="shared" si="6"/>
        <v>3801712.1934962566</v>
      </c>
      <c r="G50" s="13">
        <f>-E49</f>
        <v>-514981.94857326755</v>
      </c>
      <c r="H50" s="14">
        <f t="shared" si="7"/>
        <v>589863.1258425859</v>
      </c>
      <c r="I50" s="13"/>
      <c r="J50" s="14">
        <f t="shared" si="8"/>
        <v>112524.75762048498</v>
      </c>
      <c r="K50" s="315"/>
      <c r="L50" s="15"/>
      <c r="M50" s="13">
        <f>-G50</f>
        <v>514981.94857326755</v>
      </c>
      <c r="N50" s="14">
        <f t="shared" si="3"/>
        <v>0</v>
      </c>
      <c r="O50" s="13"/>
      <c r="P50" s="14">
        <f t="shared" si="4"/>
        <v>-4391575.319338843</v>
      </c>
      <c r="Q50" s="13"/>
      <c r="R50" s="14">
        <f t="shared" si="9"/>
        <v>-112524.75762048498</v>
      </c>
      <c r="S50" s="12"/>
    </row>
    <row r="51" spans="1:19" ht="15.75">
      <c r="A51" s="40"/>
      <c r="B51" s="54"/>
      <c r="C51" s="68">
        <f>+F51</f>
        <v>3801712.1934962566</v>
      </c>
      <c r="D51" s="74">
        <f>+G46+G43+G40+G37+G34+G31+G27+G24+G21+G18+G17+G16</f>
        <v>3370434</v>
      </c>
      <c r="E51" s="13"/>
      <c r="F51" s="70">
        <f t="shared" si="6"/>
        <v>3801712.1934962566</v>
      </c>
      <c r="G51" s="32"/>
      <c r="H51" s="23">
        <f t="shared" si="7"/>
        <v>589863.1258425859</v>
      </c>
      <c r="I51" s="24"/>
      <c r="J51" s="23">
        <f t="shared" si="8"/>
        <v>112524.75762048498</v>
      </c>
      <c r="K51" s="317">
        <f>+J51-J13</f>
        <v>106403.5765788183</v>
      </c>
      <c r="L51" s="15"/>
      <c r="M51" s="13"/>
      <c r="N51" s="14">
        <f t="shared" si="3"/>
        <v>0</v>
      </c>
      <c r="O51" s="13">
        <f>-G51</f>
        <v>0</v>
      </c>
      <c r="P51" s="14">
        <f t="shared" si="4"/>
        <v>-4391575.319338843</v>
      </c>
      <c r="Q51" s="13"/>
      <c r="R51" s="14">
        <f t="shared" si="9"/>
        <v>-112524.75762048498</v>
      </c>
      <c r="S51" s="12"/>
    </row>
    <row r="52" spans="1:19" ht="15.75">
      <c r="A52" s="40" t="s">
        <v>76</v>
      </c>
      <c r="B52" s="6" t="s">
        <v>158</v>
      </c>
      <c r="C52" s="65"/>
      <c r="D52" s="73"/>
      <c r="E52" s="13">
        <f>+'Total Billings'!D31</f>
        <v>-514981.94857326755</v>
      </c>
      <c r="F52" s="14">
        <f t="shared" si="6"/>
        <v>3286730.244922989</v>
      </c>
      <c r="G52" s="13"/>
      <c r="H52" s="14">
        <f t="shared" si="7"/>
        <v>589863.1258425859</v>
      </c>
      <c r="I52" s="13"/>
      <c r="J52" s="14">
        <f t="shared" si="8"/>
        <v>112524.75762048498</v>
      </c>
      <c r="K52" s="315"/>
      <c r="L52" s="15"/>
      <c r="M52" s="13">
        <f>-E52</f>
        <v>514981.94857326755</v>
      </c>
      <c r="N52" s="14">
        <f t="shared" si="3"/>
        <v>514981.94857326755</v>
      </c>
      <c r="O52" s="13"/>
      <c r="P52" s="14">
        <f t="shared" si="4"/>
        <v>-4391575.319338843</v>
      </c>
      <c r="Q52" s="13"/>
      <c r="R52" s="14">
        <f t="shared" si="9"/>
        <v>-112524.75762048498</v>
      </c>
      <c r="S52" s="12"/>
    </row>
    <row r="53" spans="1:19" ht="15.75">
      <c r="A53" s="39"/>
      <c r="B53" s="6" t="s">
        <v>161</v>
      </c>
      <c r="C53" s="65"/>
      <c r="D53" s="73"/>
      <c r="E53" s="13"/>
      <c r="F53" s="14">
        <f t="shared" si="6"/>
        <v>3286730.244922989</v>
      </c>
      <c r="G53" s="13">
        <f>-E52</f>
        <v>514981.94857326755</v>
      </c>
      <c r="H53" s="14">
        <f t="shared" si="7"/>
        <v>1104845.0744158535</v>
      </c>
      <c r="I53" s="13"/>
      <c r="J53" s="14">
        <f t="shared" si="8"/>
        <v>112524.75762048498</v>
      </c>
      <c r="K53" s="315"/>
      <c r="L53" s="15"/>
      <c r="M53" s="13">
        <f>-G53</f>
        <v>-514981.94857326755</v>
      </c>
      <c r="N53" s="14">
        <f t="shared" si="3"/>
        <v>0</v>
      </c>
      <c r="O53" s="13"/>
      <c r="P53" s="14">
        <f t="shared" si="4"/>
        <v>-4391575.319338843</v>
      </c>
      <c r="Q53" s="13"/>
      <c r="R53" s="14">
        <f t="shared" si="9"/>
        <v>-112524.75762048498</v>
      </c>
      <c r="S53" s="12"/>
    </row>
    <row r="54" spans="1:19" ht="15.75">
      <c r="A54" s="39"/>
      <c r="B54" s="22"/>
      <c r="C54" s="66"/>
      <c r="D54" s="75"/>
      <c r="E54" s="13"/>
      <c r="F54" s="14">
        <f t="shared" si="6"/>
        <v>3286730.244922989</v>
      </c>
      <c r="G54" s="13"/>
      <c r="H54" s="14">
        <f t="shared" si="7"/>
        <v>1104845.0744158535</v>
      </c>
      <c r="I54" s="13"/>
      <c r="J54" s="14">
        <f t="shared" si="8"/>
        <v>112524.75762048498</v>
      </c>
      <c r="K54" s="315"/>
      <c r="L54" s="15"/>
      <c r="M54" s="13">
        <f>-E54</f>
        <v>0</v>
      </c>
      <c r="N54" s="14">
        <f t="shared" si="3"/>
        <v>0</v>
      </c>
      <c r="O54" s="13"/>
      <c r="P54" s="14">
        <f t="shared" si="4"/>
        <v>-4391575.319338843</v>
      </c>
      <c r="Q54" s="13"/>
      <c r="R54" s="14">
        <f t="shared" si="9"/>
        <v>-112524.75762048498</v>
      </c>
      <c r="S54" s="12"/>
    </row>
    <row r="55" spans="1:19" ht="15.75">
      <c r="A55" s="39"/>
      <c r="B55" s="22"/>
      <c r="C55" s="66"/>
      <c r="D55" s="75"/>
      <c r="E55" s="13"/>
      <c r="F55" s="14">
        <f t="shared" si="6"/>
        <v>3286730.244922989</v>
      </c>
      <c r="G55" s="13">
        <f>-E54</f>
        <v>0</v>
      </c>
      <c r="H55" s="14">
        <f t="shared" si="7"/>
        <v>1104845.0744158535</v>
      </c>
      <c r="I55" s="13"/>
      <c r="J55" s="14">
        <f t="shared" si="8"/>
        <v>112524.75762048498</v>
      </c>
      <c r="K55" s="315"/>
      <c r="L55" s="15"/>
      <c r="M55" s="13">
        <f>-G55</f>
        <v>0</v>
      </c>
      <c r="N55" s="14">
        <f t="shared" si="3"/>
        <v>0</v>
      </c>
      <c r="O55" s="13"/>
      <c r="P55" s="14">
        <f t="shared" si="4"/>
        <v>-4391575.319338843</v>
      </c>
      <c r="Q55" s="13"/>
      <c r="R55" s="14">
        <f t="shared" si="9"/>
        <v>-112524.75762048498</v>
      </c>
      <c r="S55" s="12"/>
    </row>
    <row r="56" spans="1:19" ht="15.75">
      <c r="A56" s="41" t="s">
        <v>47</v>
      </c>
      <c r="B56" s="309" t="s">
        <v>72</v>
      </c>
      <c r="C56" s="65"/>
      <c r="D56" s="73"/>
      <c r="E56" s="13"/>
      <c r="F56" s="14">
        <f t="shared" si="6"/>
        <v>3286730.244922989</v>
      </c>
      <c r="G56" s="13">
        <f>+$J$423</f>
        <v>365299.5833333333</v>
      </c>
      <c r="H56" s="14">
        <f t="shared" si="7"/>
        <v>1470144.6577491867</v>
      </c>
      <c r="I56" s="13"/>
      <c r="J56" s="14">
        <f t="shared" si="8"/>
        <v>112524.75762048498</v>
      </c>
      <c r="K56" s="315"/>
      <c r="L56" s="15"/>
      <c r="M56" s="13"/>
      <c r="N56" s="14">
        <f t="shared" si="3"/>
        <v>0</v>
      </c>
      <c r="O56" s="13">
        <f>-G56</f>
        <v>-365299.5833333333</v>
      </c>
      <c r="P56" s="14">
        <f t="shared" si="4"/>
        <v>-4756874.902672176</v>
      </c>
      <c r="Q56" s="13">
        <f aca="true" t="shared" si="10" ref="Q56:Q73">-I56</f>
        <v>0</v>
      </c>
      <c r="R56" s="14">
        <f t="shared" si="9"/>
        <v>-112524.75762048498</v>
      </c>
      <c r="S56" s="12">
        <f>+F56+H56+J56+N56+P56+R56</f>
        <v>-1.3387762010097504E-09</v>
      </c>
    </row>
    <row r="57" spans="1:19" ht="15.75">
      <c r="A57" s="39"/>
      <c r="B57" s="6" t="s">
        <v>17</v>
      </c>
      <c r="C57" s="65"/>
      <c r="D57" s="73"/>
      <c r="E57" s="13">
        <f>+'Total Billings'!D32</f>
        <v>412290.7236818407</v>
      </c>
      <c r="F57" s="14">
        <f t="shared" si="6"/>
        <v>3699020.9686048296</v>
      </c>
      <c r="G57" s="13"/>
      <c r="H57" s="14">
        <f t="shared" si="7"/>
        <v>1470144.6577491867</v>
      </c>
      <c r="I57" s="13"/>
      <c r="J57" s="14">
        <f t="shared" si="8"/>
        <v>112524.75762048498</v>
      </c>
      <c r="K57" s="315"/>
      <c r="L57" s="15"/>
      <c r="M57" s="13">
        <f>-E57</f>
        <v>-412290.7236818407</v>
      </c>
      <c r="N57" s="14">
        <f t="shared" si="3"/>
        <v>-412290.7236818407</v>
      </c>
      <c r="O57" s="13"/>
      <c r="P57" s="14">
        <f t="shared" si="4"/>
        <v>-4756874.902672176</v>
      </c>
      <c r="Q57" s="13">
        <f t="shared" si="10"/>
        <v>0</v>
      </c>
      <c r="R57" s="14">
        <f t="shared" si="9"/>
        <v>-112524.75762048498</v>
      </c>
      <c r="S57" s="12"/>
    </row>
    <row r="58" spans="1:19" ht="15.75">
      <c r="A58" s="39"/>
      <c r="B58" s="6" t="s">
        <v>156</v>
      </c>
      <c r="C58" s="65"/>
      <c r="D58" s="73"/>
      <c r="E58" s="13"/>
      <c r="F58" s="14">
        <f t="shared" si="6"/>
        <v>3699020.9686048296</v>
      </c>
      <c r="G58" s="13">
        <f>-E57</f>
        <v>-412290.7236818407</v>
      </c>
      <c r="H58" s="14">
        <f t="shared" si="7"/>
        <v>1057853.9340673462</v>
      </c>
      <c r="I58" s="13">
        <f>+H51*$G$430/12</f>
        <v>3563.7563852989565</v>
      </c>
      <c r="J58" s="14">
        <f t="shared" si="8"/>
        <v>116088.51400578393</v>
      </c>
      <c r="K58" s="315"/>
      <c r="L58" s="15"/>
      <c r="M58" s="13">
        <f>-G58</f>
        <v>412290.7236818407</v>
      </c>
      <c r="N58" s="14">
        <f t="shared" si="3"/>
        <v>0</v>
      </c>
      <c r="O58" s="13"/>
      <c r="P58" s="14">
        <f t="shared" si="4"/>
        <v>-4756874.902672176</v>
      </c>
      <c r="Q58" s="13">
        <f t="shared" si="10"/>
        <v>-3563.7563852989565</v>
      </c>
      <c r="R58" s="14">
        <f t="shared" si="9"/>
        <v>-116088.51400578393</v>
      </c>
      <c r="S58" s="12"/>
    </row>
    <row r="59" spans="1:19" ht="15.75">
      <c r="A59" s="41" t="s">
        <v>48</v>
      </c>
      <c r="B59" s="309" t="s">
        <v>72</v>
      </c>
      <c r="C59" s="65"/>
      <c r="D59" s="73"/>
      <c r="E59" s="13"/>
      <c r="F59" s="14">
        <f t="shared" si="6"/>
        <v>3699020.9686048296</v>
      </c>
      <c r="G59" s="13">
        <f>+$J$423</f>
        <v>365299.5833333333</v>
      </c>
      <c r="H59" s="14">
        <f t="shared" si="7"/>
        <v>1423153.5174006794</v>
      </c>
      <c r="I59" s="13"/>
      <c r="J59" s="14">
        <f t="shared" si="8"/>
        <v>116088.51400578393</v>
      </c>
      <c r="K59" s="315"/>
      <c r="L59" s="15"/>
      <c r="M59" s="13"/>
      <c r="N59" s="14">
        <f t="shared" si="3"/>
        <v>0</v>
      </c>
      <c r="O59" s="13">
        <f>-G59</f>
        <v>-365299.5833333333</v>
      </c>
      <c r="P59" s="14">
        <f t="shared" si="4"/>
        <v>-5122174.486005509</v>
      </c>
      <c r="Q59" s="13">
        <f t="shared" si="10"/>
        <v>0</v>
      </c>
      <c r="R59" s="14">
        <f t="shared" si="9"/>
        <v>-116088.51400578393</v>
      </c>
      <c r="S59" s="12"/>
    </row>
    <row r="60" spans="1:19" ht="15.75">
      <c r="A60" s="39"/>
      <c r="B60" s="6" t="s">
        <v>17</v>
      </c>
      <c r="C60" s="65"/>
      <c r="D60" s="73"/>
      <c r="E60" s="13">
        <f>+'Total Billings'!D33</f>
        <v>347250.5186395371</v>
      </c>
      <c r="F60" s="14">
        <f t="shared" si="6"/>
        <v>4046271.4872443667</v>
      </c>
      <c r="G60" s="13"/>
      <c r="H60" s="14">
        <f t="shared" si="7"/>
        <v>1423153.5174006794</v>
      </c>
      <c r="I60" s="13"/>
      <c r="J60" s="14">
        <f t="shared" si="8"/>
        <v>116088.51400578393</v>
      </c>
      <c r="K60" s="315"/>
      <c r="L60" s="15"/>
      <c r="M60" s="13">
        <f>-E60</f>
        <v>-347250.5186395371</v>
      </c>
      <c r="N60" s="14">
        <f t="shared" si="3"/>
        <v>-347250.5186395371</v>
      </c>
      <c r="O60" s="13"/>
      <c r="P60" s="14">
        <f t="shared" si="4"/>
        <v>-5122174.486005509</v>
      </c>
      <c r="Q60" s="13">
        <f t="shared" si="10"/>
        <v>0</v>
      </c>
      <c r="R60" s="14">
        <f t="shared" si="9"/>
        <v>-116088.51400578393</v>
      </c>
      <c r="S60" s="12"/>
    </row>
    <row r="61" spans="1:19" ht="15.75">
      <c r="A61" s="39"/>
      <c r="B61" s="6" t="s">
        <v>156</v>
      </c>
      <c r="C61" s="65"/>
      <c r="D61" s="73"/>
      <c r="E61" s="13"/>
      <c r="F61" s="14">
        <f t="shared" si="6"/>
        <v>4046271.4872443667</v>
      </c>
      <c r="G61" s="13">
        <f>-E60</f>
        <v>-347250.5186395371</v>
      </c>
      <c r="H61" s="14">
        <f t="shared" si="7"/>
        <v>1075902.9987611424</v>
      </c>
      <c r="I61" s="13">
        <f>+H58*$G$430/12</f>
        <v>6391.200851656882</v>
      </c>
      <c r="J61" s="14">
        <f t="shared" si="8"/>
        <v>122479.71485744082</v>
      </c>
      <c r="K61" s="315"/>
      <c r="L61" s="15"/>
      <c r="M61" s="13">
        <f>-G61</f>
        <v>347250.5186395371</v>
      </c>
      <c r="N61" s="14">
        <f t="shared" si="3"/>
        <v>0</v>
      </c>
      <c r="O61" s="13"/>
      <c r="P61" s="14">
        <f t="shared" si="4"/>
        <v>-5122174.486005509</v>
      </c>
      <c r="Q61" s="13">
        <f t="shared" si="10"/>
        <v>-6391.200851656882</v>
      </c>
      <c r="R61" s="14">
        <f t="shared" si="9"/>
        <v>-122479.71485744082</v>
      </c>
      <c r="S61" s="12"/>
    </row>
    <row r="62" spans="1:19" ht="15.75">
      <c r="A62" s="41" t="s">
        <v>49</v>
      </c>
      <c r="B62" s="6" t="s">
        <v>72</v>
      </c>
      <c r="C62" s="65"/>
      <c r="D62" s="73"/>
      <c r="E62" s="13"/>
      <c r="F62" s="14">
        <f t="shared" si="6"/>
        <v>4046271.4872443667</v>
      </c>
      <c r="G62" s="13">
        <f>+$J$423</f>
        <v>365299.5833333333</v>
      </c>
      <c r="H62" s="14">
        <f t="shared" si="7"/>
        <v>1441202.5820944756</v>
      </c>
      <c r="I62" s="13"/>
      <c r="J62" s="14">
        <f t="shared" si="8"/>
        <v>122479.71485744082</v>
      </c>
      <c r="K62" s="315"/>
      <c r="L62" s="15"/>
      <c r="M62" s="13"/>
      <c r="N62" s="14">
        <f t="shared" si="3"/>
        <v>0</v>
      </c>
      <c r="O62" s="13">
        <f>-G62</f>
        <v>-365299.5833333333</v>
      </c>
      <c r="P62" s="14">
        <f t="shared" si="4"/>
        <v>-5487474.069338842</v>
      </c>
      <c r="Q62" s="13">
        <f t="shared" si="10"/>
        <v>0</v>
      </c>
      <c r="R62" s="14">
        <f t="shared" si="9"/>
        <v>-122479.71485744082</v>
      </c>
      <c r="S62" s="12"/>
    </row>
    <row r="63" spans="1:19" ht="15.75">
      <c r="A63" s="39"/>
      <c r="B63" s="6" t="s">
        <v>17</v>
      </c>
      <c r="C63" s="65"/>
      <c r="D63" s="73"/>
      <c r="E63" s="13">
        <f>+'Total Billings'!D34</f>
        <v>421261.43807828974</v>
      </c>
      <c r="F63" s="14">
        <f t="shared" si="6"/>
        <v>4467532.9253226565</v>
      </c>
      <c r="G63" s="13"/>
      <c r="H63" s="14">
        <f t="shared" si="7"/>
        <v>1441202.5820944756</v>
      </c>
      <c r="I63" s="13"/>
      <c r="J63" s="14">
        <f t="shared" si="8"/>
        <v>122479.71485744082</v>
      </c>
      <c r="K63" s="315"/>
      <c r="L63" s="15"/>
      <c r="M63" s="13">
        <f>-E63</f>
        <v>-421261.43807828974</v>
      </c>
      <c r="N63" s="14">
        <f t="shared" si="3"/>
        <v>-421261.43807828974</v>
      </c>
      <c r="O63" s="13"/>
      <c r="P63" s="14">
        <f t="shared" si="4"/>
        <v>-5487474.069338842</v>
      </c>
      <c r="Q63" s="13">
        <f t="shared" si="10"/>
        <v>0</v>
      </c>
      <c r="R63" s="14">
        <f t="shared" si="9"/>
        <v>-122479.71485744082</v>
      </c>
      <c r="S63" s="12"/>
    </row>
    <row r="64" spans="1:19" ht="15.75">
      <c r="A64" s="39"/>
      <c r="B64" s="6" t="s">
        <v>156</v>
      </c>
      <c r="C64" s="65"/>
      <c r="D64" s="73"/>
      <c r="E64" s="13"/>
      <c r="F64" s="14">
        <f t="shared" si="6"/>
        <v>4467532.9253226565</v>
      </c>
      <c r="G64" s="13">
        <f>-E63</f>
        <v>-421261.43807828974</v>
      </c>
      <c r="H64" s="14">
        <f t="shared" si="7"/>
        <v>1019941.1440161859</v>
      </c>
      <c r="I64" s="13">
        <f>+H61*$G$430/12</f>
        <v>6500.247284181901</v>
      </c>
      <c r="J64" s="14">
        <f t="shared" si="8"/>
        <v>128979.96214162272</v>
      </c>
      <c r="K64" s="315"/>
      <c r="L64" s="15"/>
      <c r="M64" s="13">
        <f>-G64</f>
        <v>421261.43807828974</v>
      </c>
      <c r="N64" s="14">
        <f t="shared" si="3"/>
        <v>0</v>
      </c>
      <c r="O64" s="13"/>
      <c r="P64" s="14">
        <f t="shared" si="4"/>
        <v>-5487474.069338842</v>
      </c>
      <c r="Q64" s="13">
        <f t="shared" si="10"/>
        <v>-6500.247284181901</v>
      </c>
      <c r="R64" s="14">
        <f t="shared" si="9"/>
        <v>-128979.96214162272</v>
      </c>
      <c r="S64" s="12"/>
    </row>
    <row r="65" spans="1:19" ht="15.75">
      <c r="A65" s="41" t="s">
        <v>50</v>
      </c>
      <c r="B65" s="6" t="s">
        <v>72</v>
      </c>
      <c r="C65" s="65"/>
      <c r="D65" s="73"/>
      <c r="E65" s="13"/>
      <c r="F65" s="14">
        <f t="shared" si="6"/>
        <v>4467532.9253226565</v>
      </c>
      <c r="G65" s="13">
        <f>+$J$423</f>
        <v>365299.5833333333</v>
      </c>
      <c r="H65" s="14">
        <f t="shared" si="7"/>
        <v>1385240.7273495193</v>
      </c>
      <c r="I65" s="13"/>
      <c r="J65" s="14">
        <f t="shared" si="8"/>
        <v>128979.96214162272</v>
      </c>
      <c r="K65" s="315"/>
      <c r="L65" s="15"/>
      <c r="M65" s="13"/>
      <c r="N65" s="14">
        <f t="shared" si="3"/>
        <v>0</v>
      </c>
      <c r="O65" s="13">
        <f>-G65</f>
        <v>-365299.5833333333</v>
      </c>
      <c r="P65" s="14">
        <f t="shared" si="4"/>
        <v>-5852773.652672175</v>
      </c>
      <c r="Q65" s="13">
        <f t="shared" si="10"/>
        <v>0</v>
      </c>
      <c r="R65" s="14">
        <f t="shared" si="9"/>
        <v>-128979.96214162272</v>
      </c>
      <c r="S65" s="12"/>
    </row>
    <row r="66" spans="1:19" ht="15.75">
      <c r="A66" s="39"/>
      <c r="B66" s="6" t="s">
        <v>17</v>
      </c>
      <c r="C66" s="65"/>
      <c r="D66" s="73"/>
      <c r="E66" s="13">
        <f>+'Total Billings'!D35</f>
        <v>341161.84166721965</v>
      </c>
      <c r="F66" s="14">
        <f t="shared" si="6"/>
        <v>4808694.7669898765</v>
      </c>
      <c r="G66" s="13"/>
      <c r="H66" s="14">
        <f t="shared" si="7"/>
        <v>1385240.7273495193</v>
      </c>
      <c r="I66" s="13"/>
      <c r="J66" s="14">
        <f t="shared" si="8"/>
        <v>128979.96214162272</v>
      </c>
      <c r="K66" s="315"/>
      <c r="L66" s="15"/>
      <c r="M66" s="13">
        <f>-E66</f>
        <v>-341161.84166721965</v>
      </c>
      <c r="N66" s="14">
        <f t="shared" si="3"/>
        <v>-341161.84166721965</v>
      </c>
      <c r="O66" s="13"/>
      <c r="P66" s="14">
        <f t="shared" si="4"/>
        <v>-5852773.652672175</v>
      </c>
      <c r="Q66" s="13">
        <f t="shared" si="10"/>
        <v>0</v>
      </c>
      <c r="R66" s="14">
        <f t="shared" si="9"/>
        <v>-128979.96214162272</v>
      </c>
      <c r="S66" s="12"/>
    </row>
    <row r="67" spans="1:19" ht="15.75">
      <c r="A67" s="39"/>
      <c r="B67" s="6" t="s">
        <v>156</v>
      </c>
      <c r="C67" s="65"/>
      <c r="D67" s="73"/>
      <c r="E67" s="13"/>
      <c r="F67" s="14">
        <f t="shared" si="6"/>
        <v>4808694.7669898765</v>
      </c>
      <c r="G67" s="13">
        <f>-E66</f>
        <v>-341161.84166721965</v>
      </c>
      <c r="H67" s="14">
        <f t="shared" si="7"/>
        <v>1044078.8856822996</v>
      </c>
      <c r="I67" s="13">
        <f>+H64*$G$430/12</f>
        <v>6162.144411764456</v>
      </c>
      <c r="J67" s="14">
        <f t="shared" si="8"/>
        <v>135142.10655338716</v>
      </c>
      <c r="K67" s="315"/>
      <c r="L67" s="15"/>
      <c r="M67" s="13">
        <f>-G67</f>
        <v>341161.84166721965</v>
      </c>
      <c r="N67" s="14">
        <f t="shared" si="3"/>
        <v>0</v>
      </c>
      <c r="O67" s="13"/>
      <c r="P67" s="14">
        <f t="shared" si="4"/>
        <v>-5852773.652672175</v>
      </c>
      <c r="Q67" s="13">
        <f t="shared" si="10"/>
        <v>-6162.144411764456</v>
      </c>
      <c r="R67" s="14">
        <f t="shared" si="9"/>
        <v>-135142.10655338716</v>
      </c>
      <c r="S67" s="12"/>
    </row>
    <row r="68" spans="1:19" ht="15.75">
      <c r="A68" s="41" t="s">
        <v>51</v>
      </c>
      <c r="B68" s="6" t="s">
        <v>72</v>
      </c>
      <c r="C68" s="65"/>
      <c r="D68" s="73"/>
      <c r="E68" s="13"/>
      <c r="F68" s="14">
        <f t="shared" si="6"/>
        <v>4808694.7669898765</v>
      </c>
      <c r="G68" s="13">
        <f>+$J$423</f>
        <v>365299.5833333333</v>
      </c>
      <c r="H68" s="14">
        <f t="shared" si="7"/>
        <v>1409378.469015633</v>
      </c>
      <c r="I68" s="13"/>
      <c r="J68" s="14">
        <f t="shared" si="8"/>
        <v>135142.10655338716</v>
      </c>
      <c r="K68" s="315"/>
      <c r="L68" s="15"/>
      <c r="M68" s="13"/>
      <c r="N68" s="14">
        <f t="shared" si="3"/>
        <v>0</v>
      </c>
      <c r="O68" s="13">
        <f>-G68</f>
        <v>-365299.5833333333</v>
      </c>
      <c r="P68" s="14">
        <f t="shared" si="4"/>
        <v>-6218073.236005508</v>
      </c>
      <c r="Q68" s="13">
        <f t="shared" si="10"/>
        <v>0</v>
      </c>
      <c r="R68" s="14">
        <f t="shared" si="9"/>
        <v>-135142.10655338716</v>
      </c>
      <c r="S68" s="12"/>
    </row>
    <row r="69" spans="1:19" ht="15.75">
      <c r="A69" s="39"/>
      <c r="B69" s="6" t="s">
        <v>17</v>
      </c>
      <c r="C69" s="65"/>
      <c r="D69" s="73"/>
      <c r="E69" s="13">
        <f>+'Total Billings'!D36</f>
        <v>413007.8371084755</v>
      </c>
      <c r="F69" s="14">
        <f t="shared" si="6"/>
        <v>5221702.604098352</v>
      </c>
      <c r="G69" s="13"/>
      <c r="H69" s="14">
        <f t="shared" si="7"/>
        <v>1409378.469015633</v>
      </c>
      <c r="I69" s="13"/>
      <c r="J69" s="14">
        <f t="shared" si="8"/>
        <v>135142.10655338716</v>
      </c>
      <c r="K69" s="315"/>
      <c r="L69" s="15"/>
      <c r="M69" s="13">
        <f>-E69</f>
        <v>-413007.8371084755</v>
      </c>
      <c r="N69" s="14">
        <f t="shared" si="3"/>
        <v>-413007.8371084755</v>
      </c>
      <c r="O69" s="13"/>
      <c r="P69" s="14">
        <f t="shared" si="4"/>
        <v>-6218073.236005508</v>
      </c>
      <c r="Q69" s="13">
        <f t="shared" si="10"/>
        <v>0</v>
      </c>
      <c r="R69" s="14">
        <f t="shared" si="9"/>
        <v>-135142.10655338716</v>
      </c>
      <c r="S69" s="12"/>
    </row>
    <row r="70" spans="1:19" ht="15.75">
      <c r="A70" s="39"/>
      <c r="B70" s="6" t="s">
        <v>156</v>
      </c>
      <c r="C70" s="65"/>
      <c r="D70" s="73"/>
      <c r="E70" s="13"/>
      <c r="F70" s="14">
        <f t="shared" si="6"/>
        <v>5221702.604098352</v>
      </c>
      <c r="G70" s="13">
        <f>-E69</f>
        <v>-413007.8371084755</v>
      </c>
      <c r="H70" s="14">
        <f t="shared" si="7"/>
        <v>996370.6319071575</v>
      </c>
      <c r="I70" s="13">
        <f>+H67*$G$430/12</f>
        <v>6307.976600997226</v>
      </c>
      <c r="J70" s="14">
        <f t="shared" si="8"/>
        <v>141450.0831543844</v>
      </c>
      <c r="K70" s="315"/>
      <c r="L70" s="15"/>
      <c r="M70" s="13">
        <f>-G70</f>
        <v>413007.8371084755</v>
      </c>
      <c r="N70" s="14">
        <f t="shared" si="3"/>
        <v>0</v>
      </c>
      <c r="O70" s="13"/>
      <c r="P70" s="14">
        <f t="shared" si="4"/>
        <v>-6218073.236005508</v>
      </c>
      <c r="Q70" s="13">
        <f t="shared" si="10"/>
        <v>-6307.976600997226</v>
      </c>
      <c r="R70" s="14">
        <f t="shared" si="9"/>
        <v>-141450.0831543844</v>
      </c>
      <c r="S70" s="12"/>
    </row>
    <row r="71" spans="1:19" ht="15.75">
      <c r="A71" s="41" t="s">
        <v>52</v>
      </c>
      <c r="B71" s="6" t="s">
        <v>72</v>
      </c>
      <c r="C71" s="65"/>
      <c r="D71" s="73"/>
      <c r="E71" s="13"/>
      <c r="F71" s="14">
        <f t="shared" si="6"/>
        <v>5221702.604098352</v>
      </c>
      <c r="G71" s="13">
        <f>+$J$423</f>
        <v>365299.5833333333</v>
      </c>
      <c r="H71" s="14">
        <f t="shared" si="7"/>
        <v>1361670.2152404909</v>
      </c>
      <c r="I71" s="13"/>
      <c r="J71" s="14">
        <f t="shared" si="8"/>
        <v>141450.0831543844</v>
      </c>
      <c r="K71" s="315"/>
      <c r="L71" s="15"/>
      <c r="M71" s="13"/>
      <c r="N71" s="14">
        <f t="shared" si="3"/>
        <v>0</v>
      </c>
      <c r="O71" s="13">
        <f>-G71</f>
        <v>-365299.5833333333</v>
      </c>
      <c r="P71" s="14">
        <f t="shared" si="4"/>
        <v>-6583372.819338841</v>
      </c>
      <c r="Q71" s="13">
        <f t="shared" si="10"/>
        <v>0</v>
      </c>
      <c r="R71" s="14">
        <f t="shared" si="9"/>
        <v>-141450.0831543844</v>
      </c>
      <c r="S71" s="12">
        <f>+F71+H71+J71+N71+P71+R71</f>
        <v>5.820766091346741E-10</v>
      </c>
    </row>
    <row r="72" spans="1:19" ht="15.75">
      <c r="A72" s="39"/>
      <c r="B72" s="6" t="s">
        <v>17</v>
      </c>
      <c r="C72" s="65"/>
      <c r="D72" s="73"/>
      <c r="E72" s="13">
        <f>+'Total Billings'!D37</f>
        <v>325896.5426090604</v>
      </c>
      <c r="F72" s="14">
        <f t="shared" si="6"/>
        <v>5547599.146707412</v>
      </c>
      <c r="G72" s="13"/>
      <c r="H72" s="14">
        <f t="shared" si="7"/>
        <v>1361670.2152404909</v>
      </c>
      <c r="I72" s="13"/>
      <c r="J72" s="14">
        <f t="shared" si="8"/>
        <v>141450.0831543844</v>
      </c>
      <c r="K72" s="315"/>
      <c r="L72" s="15"/>
      <c r="M72" s="13">
        <f>-E72</f>
        <v>-325896.5426090604</v>
      </c>
      <c r="N72" s="14">
        <f t="shared" si="3"/>
        <v>-325896.5426090604</v>
      </c>
      <c r="O72" s="13"/>
      <c r="P72" s="14">
        <f t="shared" si="4"/>
        <v>-6583372.819338841</v>
      </c>
      <c r="Q72" s="13">
        <f t="shared" si="10"/>
        <v>0</v>
      </c>
      <c r="R72" s="14">
        <f t="shared" si="9"/>
        <v>-141450.0831543844</v>
      </c>
      <c r="S72" s="12">
        <f>+F72+H72+J72+N72+P72+R72</f>
        <v>5.820766091346741E-10</v>
      </c>
    </row>
    <row r="73" spans="1:19" ht="15.75">
      <c r="A73" s="39"/>
      <c r="B73" s="6" t="s">
        <v>156</v>
      </c>
      <c r="C73" s="65"/>
      <c r="D73" s="73"/>
      <c r="E73" s="13"/>
      <c r="F73" s="14">
        <f t="shared" si="6"/>
        <v>5547599.146707412</v>
      </c>
      <c r="G73" s="13">
        <f>-E72</f>
        <v>-325896.5426090604</v>
      </c>
      <c r="H73" s="14">
        <f t="shared" si="7"/>
        <v>1035773.6726314304</v>
      </c>
      <c r="I73" s="13">
        <f>+H70*$G$430/12</f>
        <v>6019.7392344390755</v>
      </c>
      <c r="J73" s="14">
        <f t="shared" si="8"/>
        <v>147469.82238882346</v>
      </c>
      <c r="K73" s="315"/>
      <c r="L73" s="15"/>
      <c r="M73" s="13">
        <f>-G73</f>
        <v>325896.5426090604</v>
      </c>
      <c r="N73" s="14">
        <f t="shared" si="3"/>
        <v>0</v>
      </c>
      <c r="O73" s="13"/>
      <c r="P73" s="14">
        <f t="shared" si="4"/>
        <v>-6583372.819338841</v>
      </c>
      <c r="Q73" s="13">
        <f t="shared" si="10"/>
        <v>-6019.7392344390755</v>
      </c>
      <c r="R73" s="14">
        <f t="shared" si="9"/>
        <v>-147469.82238882346</v>
      </c>
      <c r="S73" s="12"/>
    </row>
    <row r="74" spans="1:19" ht="15.75">
      <c r="A74" s="39"/>
      <c r="B74" s="6" t="s">
        <v>152</v>
      </c>
      <c r="C74" s="195"/>
      <c r="D74" s="195"/>
      <c r="E74" s="13"/>
      <c r="F74" s="14">
        <f t="shared" si="6"/>
        <v>5547599.146707412</v>
      </c>
      <c r="G74" s="13">
        <v>-40749.35232</v>
      </c>
      <c r="H74" s="14">
        <f>+H73+G74</f>
        <v>995024.3203114305</v>
      </c>
      <c r="I74" s="13"/>
      <c r="J74" s="14">
        <f t="shared" si="8"/>
        <v>147469.82238882346</v>
      </c>
      <c r="K74" s="315"/>
      <c r="L74" s="15"/>
      <c r="M74" s="13"/>
      <c r="N74" s="14">
        <f t="shared" si="3"/>
        <v>0</v>
      </c>
      <c r="O74" s="13">
        <f>-G74</f>
        <v>40749.35232</v>
      </c>
      <c r="P74" s="14">
        <f t="shared" si="4"/>
        <v>-6542623.467018842</v>
      </c>
      <c r="Q74" s="13"/>
      <c r="R74" s="14">
        <f t="shared" si="9"/>
        <v>-147469.82238882346</v>
      </c>
      <c r="S74" s="12"/>
    </row>
    <row r="75" spans="1:19" ht="15.75">
      <c r="A75" s="41" t="s">
        <v>53</v>
      </c>
      <c r="B75" s="6" t="s">
        <v>72</v>
      </c>
      <c r="C75" s="65"/>
      <c r="D75" s="73"/>
      <c r="E75" s="13"/>
      <c r="F75" s="14">
        <f t="shared" si="6"/>
        <v>5547599.146707412</v>
      </c>
      <c r="G75" s="13">
        <f>+$J$423</f>
        <v>365299.5833333333</v>
      </c>
      <c r="H75" s="14">
        <f t="shared" si="7"/>
        <v>1360323.9036447639</v>
      </c>
      <c r="I75" s="13"/>
      <c r="J75" s="14">
        <f t="shared" si="8"/>
        <v>147469.82238882346</v>
      </c>
      <c r="K75" s="315"/>
      <c r="L75" s="15"/>
      <c r="M75" s="13"/>
      <c r="N75" s="14">
        <f t="shared" si="3"/>
        <v>0</v>
      </c>
      <c r="O75" s="13">
        <f>-G75</f>
        <v>-365299.5833333333</v>
      </c>
      <c r="P75" s="14">
        <f t="shared" si="4"/>
        <v>-6907923.050352175</v>
      </c>
      <c r="Q75" s="13"/>
      <c r="R75" s="14">
        <f t="shared" si="9"/>
        <v>-147469.82238882346</v>
      </c>
      <c r="S75" s="12"/>
    </row>
    <row r="76" spans="1:19" ht="15.75">
      <c r="A76" s="39"/>
      <c r="B76" s="6" t="s">
        <v>17</v>
      </c>
      <c r="C76" s="65"/>
      <c r="D76" s="73"/>
      <c r="E76" s="19">
        <f>+'Total Billings'!D38</f>
        <v>408089.1633046457</v>
      </c>
      <c r="F76" s="14">
        <f t="shared" si="6"/>
        <v>5955688.310012057</v>
      </c>
      <c r="G76" s="13"/>
      <c r="H76" s="14">
        <f t="shared" si="7"/>
        <v>1360323.9036447639</v>
      </c>
      <c r="I76" s="13"/>
      <c r="J76" s="14">
        <f t="shared" si="8"/>
        <v>147469.82238882346</v>
      </c>
      <c r="K76" s="315"/>
      <c r="L76" s="15"/>
      <c r="M76" s="13">
        <f>-E76</f>
        <v>-408089.1633046457</v>
      </c>
      <c r="N76" s="14">
        <f t="shared" si="3"/>
        <v>-408089.1633046457</v>
      </c>
      <c r="O76" s="13"/>
      <c r="P76" s="14">
        <f t="shared" si="4"/>
        <v>-6907923.050352175</v>
      </c>
      <c r="Q76" s="13"/>
      <c r="R76" s="14">
        <f t="shared" si="9"/>
        <v>-147469.82238882346</v>
      </c>
      <c r="S76" s="12"/>
    </row>
    <row r="77" spans="1:19" ht="15.75">
      <c r="A77" s="39"/>
      <c r="B77" s="6" t="s">
        <v>156</v>
      </c>
      <c r="C77" s="65"/>
      <c r="D77" s="73"/>
      <c r="E77" s="13"/>
      <c r="F77" s="14">
        <f t="shared" si="6"/>
        <v>5955688.310012057</v>
      </c>
      <c r="G77" s="13">
        <f>-E76</f>
        <v>-408089.1633046457</v>
      </c>
      <c r="H77" s="14">
        <f t="shared" si="7"/>
        <v>952234.7403401182</v>
      </c>
      <c r="I77" s="13">
        <f>+H74*$G$430/12</f>
        <v>6011.6052685482255</v>
      </c>
      <c r="J77" s="14">
        <f t="shared" si="8"/>
        <v>153481.42765737168</v>
      </c>
      <c r="K77" s="315"/>
      <c r="L77" s="15"/>
      <c r="M77" s="13">
        <f>-G77</f>
        <v>408089.1633046457</v>
      </c>
      <c r="N77" s="14">
        <f t="shared" si="3"/>
        <v>0</v>
      </c>
      <c r="O77" s="13"/>
      <c r="P77" s="14">
        <f t="shared" si="4"/>
        <v>-6907923.050352175</v>
      </c>
      <c r="Q77" s="13">
        <f>-I77</f>
        <v>-6011.6052685482255</v>
      </c>
      <c r="R77" s="14">
        <f t="shared" si="9"/>
        <v>-153481.42765737168</v>
      </c>
      <c r="S77" s="12"/>
    </row>
    <row r="78" spans="1:19" ht="15.75">
      <c r="A78" s="41" t="s">
        <v>54</v>
      </c>
      <c r="B78" s="6" t="s">
        <v>72</v>
      </c>
      <c r="C78" s="65"/>
      <c r="D78" s="73"/>
      <c r="E78" s="13"/>
      <c r="F78" s="14">
        <f t="shared" si="6"/>
        <v>5955688.310012057</v>
      </c>
      <c r="G78" s="13">
        <f>+$J$423</f>
        <v>365299.5833333333</v>
      </c>
      <c r="H78" s="14">
        <f t="shared" si="7"/>
        <v>1317534.3236734516</v>
      </c>
      <c r="I78" s="13"/>
      <c r="J78" s="14">
        <f t="shared" si="8"/>
        <v>153481.42765737168</v>
      </c>
      <c r="K78" s="315"/>
      <c r="L78" s="15"/>
      <c r="M78" s="13"/>
      <c r="N78" s="14">
        <f t="shared" si="3"/>
        <v>0</v>
      </c>
      <c r="O78" s="13">
        <f>-G78</f>
        <v>-365299.5833333333</v>
      </c>
      <c r="P78" s="14">
        <f t="shared" si="4"/>
        <v>-7273222.633685508</v>
      </c>
      <c r="Q78" s="13"/>
      <c r="R78" s="14">
        <f t="shared" si="9"/>
        <v>-153481.42765737168</v>
      </c>
      <c r="S78" s="12"/>
    </row>
    <row r="79" spans="1:19" ht="15.75">
      <c r="A79" s="39"/>
      <c r="B79" s="6" t="s">
        <v>17</v>
      </c>
      <c r="C79" s="65"/>
      <c r="D79" s="73"/>
      <c r="E79" s="19">
        <f>+'Total Billings'!D39</f>
        <v>334873.70580109744</v>
      </c>
      <c r="F79" s="14">
        <f t="shared" si="6"/>
        <v>6290562.015813155</v>
      </c>
      <c r="G79" s="13"/>
      <c r="H79" s="14">
        <f t="shared" si="7"/>
        <v>1317534.3236734516</v>
      </c>
      <c r="I79" s="13"/>
      <c r="J79" s="14">
        <f t="shared" si="8"/>
        <v>153481.42765737168</v>
      </c>
      <c r="K79" s="315"/>
      <c r="L79" s="15"/>
      <c r="M79" s="13">
        <f>-E79</f>
        <v>-334873.70580109744</v>
      </c>
      <c r="N79" s="14">
        <f t="shared" si="3"/>
        <v>-334873.70580109744</v>
      </c>
      <c r="O79" s="13"/>
      <c r="P79" s="14">
        <f t="shared" si="4"/>
        <v>-7273222.633685508</v>
      </c>
      <c r="Q79" s="13"/>
      <c r="R79" s="14">
        <f t="shared" si="9"/>
        <v>-153481.42765737168</v>
      </c>
      <c r="S79" s="12"/>
    </row>
    <row r="80" spans="1:19" ht="15.75">
      <c r="A80" s="39"/>
      <c r="B80" s="6" t="s">
        <v>156</v>
      </c>
      <c r="C80" s="65"/>
      <c r="D80" s="73"/>
      <c r="E80" s="19"/>
      <c r="F80" s="14">
        <f t="shared" si="6"/>
        <v>6290562.015813155</v>
      </c>
      <c r="G80" s="13">
        <f>-E79</f>
        <v>-334873.70580109744</v>
      </c>
      <c r="H80" s="14">
        <f t="shared" si="7"/>
        <v>982660.6178723541</v>
      </c>
      <c r="I80" s="13">
        <f>+H77*$G$430/12</f>
        <v>5753.084889554881</v>
      </c>
      <c r="J80" s="14">
        <f t="shared" si="8"/>
        <v>159234.51254692656</v>
      </c>
      <c r="K80" s="315"/>
      <c r="L80" s="15"/>
      <c r="M80" s="13">
        <f>-G80</f>
        <v>334873.70580109744</v>
      </c>
      <c r="N80" s="14">
        <f t="shared" si="3"/>
        <v>0</v>
      </c>
      <c r="O80" s="13"/>
      <c r="P80" s="14">
        <f t="shared" si="4"/>
        <v>-7273222.633685508</v>
      </c>
      <c r="Q80" s="13">
        <f>-I80</f>
        <v>-5753.084889554881</v>
      </c>
      <c r="R80" s="14">
        <f t="shared" si="9"/>
        <v>-159234.51254692656</v>
      </c>
      <c r="S80" s="12"/>
    </row>
    <row r="81" spans="1:19" ht="15.75">
      <c r="A81" s="41" t="s">
        <v>55</v>
      </c>
      <c r="B81" s="6" t="s">
        <v>72</v>
      </c>
      <c r="C81" s="65"/>
      <c r="D81" s="73"/>
      <c r="E81" s="19"/>
      <c r="F81" s="14">
        <f t="shared" si="6"/>
        <v>6290562.015813155</v>
      </c>
      <c r="G81" s="13">
        <f>+$J$423</f>
        <v>365299.5833333333</v>
      </c>
      <c r="H81" s="14">
        <f t="shared" si="7"/>
        <v>1347960.2012056874</v>
      </c>
      <c r="I81" s="13"/>
      <c r="J81" s="14">
        <f t="shared" si="8"/>
        <v>159234.51254692656</v>
      </c>
      <c r="K81" s="315"/>
      <c r="L81" s="15"/>
      <c r="M81" s="13"/>
      <c r="N81" s="14">
        <f t="shared" si="3"/>
        <v>0</v>
      </c>
      <c r="O81" s="13">
        <f>-G81</f>
        <v>-365299.5833333333</v>
      </c>
      <c r="P81" s="14">
        <f t="shared" si="4"/>
        <v>-7638522.217018841</v>
      </c>
      <c r="Q81" s="13"/>
      <c r="R81" s="14">
        <f t="shared" si="9"/>
        <v>-159234.51254692656</v>
      </c>
      <c r="S81" s="12"/>
    </row>
    <row r="82" spans="1:19" ht="15.75">
      <c r="A82" s="39"/>
      <c r="B82" s="6" t="s">
        <v>17</v>
      </c>
      <c r="C82" s="65"/>
      <c r="D82" s="73"/>
      <c r="E82" s="19">
        <f>+'Total Billings'!D40</f>
        <v>425312.1759243748</v>
      </c>
      <c r="F82" s="14">
        <f t="shared" si="6"/>
        <v>6715874.19173753</v>
      </c>
      <c r="G82" s="13"/>
      <c r="H82" s="14">
        <f t="shared" si="7"/>
        <v>1347960.2012056874</v>
      </c>
      <c r="I82" s="13"/>
      <c r="J82" s="14">
        <f t="shared" si="8"/>
        <v>159234.51254692656</v>
      </c>
      <c r="K82" s="315"/>
      <c r="L82" s="15"/>
      <c r="M82" s="13">
        <f>-E82</f>
        <v>-425312.1759243748</v>
      </c>
      <c r="N82" s="14">
        <f t="shared" si="3"/>
        <v>-425312.1759243748</v>
      </c>
      <c r="O82" s="13"/>
      <c r="P82" s="14">
        <f t="shared" si="4"/>
        <v>-7638522.217018841</v>
      </c>
      <c r="Q82" s="13"/>
      <c r="R82" s="14">
        <f t="shared" si="9"/>
        <v>-159234.51254692656</v>
      </c>
      <c r="S82" s="12"/>
    </row>
    <row r="83" spans="1:19" ht="15.75">
      <c r="A83" s="39"/>
      <c r="B83" s="6" t="s">
        <v>156</v>
      </c>
      <c r="C83" s="65"/>
      <c r="D83" s="73"/>
      <c r="E83" s="13"/>
      <c r="F83" s="14">
        <f t="shared" si="6"/>
        <v>6715874.19173753</v>
      </c>
      <c r="G83" s="13">
        <f>-E82</f>
        <v>-425312.1759243748</v>
      </c>
      <c r="H83" s="14">
        <f t="shared" si="7"/>
        <v>922648.0252813126</v>
      </c>
      <c r="I83" s="13">
        <f>+H80*$G$430/12</f>
        <v>5936.907899645473</v>
      </c>
      <c r="J83" s="14">
        <f t="shared" si="8"/>
        <v>165171.42044657204</v>
      </c>
      <c r="K83" s="315"/>
      <c r="L83" s="15"/>
      <c r="M83" s="13">
        <f>-G83</f>
        <v>425312.1759243748</v>
      </c>
      <c r="N83" s="14">
        <f t="shared" si="3"/>
        <v>0</v>
      </c>
      <c r="O83" s="13"/>
      <c r="P83" s="14">
        <f t="shared" si="4"/>
        <v>-7638522.217018841</v>
      </c>
      <c r="Q83" s="13">
        <f>-I83</f>
        <v>-5936.907899645473</v>
      </c>
      <c r="R83" s="14">
        <f t="shared" si="9"/>
        <v>-165171.42044657204</v>
      </c>
      <c r="S83" s="12"/>
    </row>
    <row r="84" spans="1:19" ht="15.75">
      <c r="A84" s="41" t="s">
        <v>44</v>
      </c>
      <c r="B84" s="6" t="s">
        <v>72</v>
      </c>
      <c r="C84" s="65"/>
      <c r="D84" s="73"/>
      <c r="E84" s="13"/>
      <c r="F84" s="14">
        <f t="shared" si="6"/>
        <v>6715874.19173753</v>
      </c>
      <c r="G84" s="13">
        <f>+$J$423</f>
        <v>365299.5833333333</v>
      </c>
      <c r="H84" s="14">
        <f t="shared" si="7"/>
        <v>1287947.608614646</v>
      </c>
      <c r="I84" s="13"/>
      <c r="J84" s="14">
        <f t="shared" si="8"/>
        <v>165171.42044657204</v>
      </c>
      <c r="K84" s="315"/>
      <c r="L84" s="15"/>
      <c r="M84" s="13"/>
      <c r="N84" s="14">
        <f t="shared" si="3"/>
        <v>0</v>
      </c>
      <c r="O84" s="13">
        <f>-G84</f>
        <v>-365299.5833333333</v>
      </c>
      <c r="P84" s="14">
        <f t="shared" si="4"/>
        <v>-8003821.800352174</v>
      </c>
      <c r="Q84" s="13"/>
      <c r="R84" s="14">
        <f t="shared" si="9"/>
        <v>-165171.42044657204</v>
      </c>
      <c r="S84" s="12"/>
    </row>
    <row r="85" spans="1:19" ht="15.75">
      <c r="A85" s="39"/>
      <c r="B85" s="6" t="s">
        <v>17</v>
      </c>
      <c r="C85" s="65"/>
      <c r="D85" s="73"/>
      <c r="E85" s="13">
        <f>+'Total Billings'!D41</f>
        <v>331016.0483759414</v>
      </c>
      <c r="F85" s="14">
        <f t="shared" si="6"/>
        <v>7046890.240113472</v>
      </c>
      <c r="G85" s="13"/>
      <c r="H85" s="14">
        <f t="shared" si="7"/>
        <v>1287947.608614646</v>
      </c>
      <c r="I85" s="13"/>
      <c r="J85" s="14">
        <f t="shared" si="8"/>
        <v>165171.42044657204</v>
      </c>
      <c r="K85" s="315"/>
      <c r="L85" s="15"/>
      <c r="M85" s="13">
        <f>-E85</f>
        <v>-331016.0483759414</v>
      </c>
      <c r="N85" s="14">
        <f t="shared" si="3"/>
        <v>-331016.0483759414</v>
      </c>
      <c r="O85" s="13"/>
      <c r="P85" s="14">
        <f t="shared" si="4"/>
        <v>-8003821.800352174</v>
      </c>
      <c r="Q85" s="13"/>
      <c r="R85" s="14">
        <f t="shared" si="9"/>
        <v>-165171.42044657204</v>
      </c>
      <c r="S85" s="12"/>
    </row>
    <row r="86" spans="1:19" ht="15.75">
      <c r="A86" s="39"/>
      <c r="B86" s="6" t="s">
        <v>156</v>
      </c>
      <c r="C86" s="65"/>
      <c r="D86" s="73"/>
      <c r="E86" s="13"/>
      <c r="F86" s="14">
        <f t="shared" si="6"/>
        <v>7046890.240113472</v>
      </c>
      <c r="G86" s="13">
        <f>-E85</f>
        <v>-331016.0483759414</v>
      </c>
      <c r="H86" s="14">
        <f t="shared" si="7"/>
        <v>956931.5602387046</v>
      </c>
      <c r="I86" s="13">
        <f>+H83*$G$430/12</f>
        <v>5574.33181940793</v>
      </c>
      <c r="J86" s="14">
        <f t="shared" si="8"/>
        <v>170745.75226597997</v>
      </c>
      <c r="K86" s="315"/>
      <c r="L86" s="15"/>
      <c r="M86" s="13">
        <f>-G86</f>
        <v>331016.0483759414</v>
      </c>
      <c r="N86" s="14">
        <f aca="true" t="shared" si="11" ref="N86:N109">+N85+M86</f>
        <v>0</v>
      </c>
      <c r="O86" s="13"/>
      <c r="P86" s="14">
        <f aca="true" t="shared" si="12" ref="P86:P109">+P85+O86</f>
        <v>-8003821.800352174</v>
      </c>
      <c r="Q86" s="13">
        <f>-I86</f>
        <v>-5574.33181940793</v>
      </c>
      <c r="R86" s="14">
        <f t="shared" si="9"/>
        <v>-170745.75226597997</v>
      </c>
      <c r="S86" s="12"/>
    </row>
    <row r="87" spans="1:19" ht="15.75">
      <c r="A87" s="41" t="s">
        <v>56</v>
      </c>
      <c r="B87" s="6" t="s">
        <v>72</v>
      </c>
      <c r="C87" s="65"/>
      <c r="D87" s="73"/>
      <c r="E87" s="13"/>
      <c r="F87" s="14">
        <f t="shared" si="6"/>
        <v>7046890.240113472</v>
      </c>
      <c r="G87" s="29">
        <f>+$J$423</f>
        <v>365299.5833333333</v>
      </c>
      <c r="H87" s="14">
        <f t="shared" si="7"/>
        <v>1322231.1435720378</v>
      </c>
      <c r="I87" s="13"/>
      <c r="J87" s="14">
        <f t="shared" si="8"/>
        <v>170745.75226597997</v>
      </c>
      <c r="K87" s="315"/>
      <c r="L87" s="15"/>
      <c r="M87" s="13"/>
      <c r="N87" s="14">
        <f t="shared" si="11"/>
        <v>0</v>
      </c>
      <c r="O87" s="13">
        <f>-G87</f>
        <v>-365299.5833333333</v>
      </c>
      <c r="P87" s="14">
        <f t="shared" si="12"/>
        <v>-8369121.383685507</v>
      </c>
      <c r="Q87" s="13"/>
      <c r="R87" s="14">
        <f t="shared" si="9"/>
        <v>-170745.75226597997</v>
      </c>
      <c r="S87" s="12"/>
    </row>
    <row r="88" spans="1:19" ht="15.75">
      <c r="A88" s="39"/>
      <c r="B88" s="6" t="s">
        <v>17</v>
      </c>
      <c r="C88" s="65"/>
      <c r="D88" s="73"/>
      <c r="E88" s="13">
        <f>+'Total Billings'!D42</f>
        <v>406968.4058787883</v>
      </c>
      <c r="F88" s="14">
        <f t="shared" si="6"/>
        <v>7453858.64599226</v>
      </c>
      <c r="G88" s="29"/>
      <c r="H88" s="14">
        <f t="shared" si="7"/>
        <v>1322231.1435720378</v>
      </c>
      <c r="I88" s="13"/>
      <c r="J88" s="14">
        <f t="shared" si="8"/>
        <v>170745.75226597997</v>
      </c>
      <c r="K88" s="315"/>
      <c r="L88" s="15"/>
      <c r="M88" s="13">
        <f>-E88</f>
        <v>-406968.4058787883</v>
      </c>
      <c r="N88" s="14">
        <f t="shared" si="11"/>
        <v>-406968.4058787883</v>
      </c>
      <c r="O88" s="13"/>
      <c r="P88" s="14">
        <f t="shared" si="12"/>
        <v>-8369121.383685507</v>
      </c>
      <c r="Q88" s="13"/>
      <c r="R88" s="14">
        <f t="shared" si="9"/>
        <v>-170745.75226597997</v>
      </c>
      <c r="S88" s="12"/>
    </row>
    <row r="89" spans="1:19" ht="15.75">
      <c r="A89" s="39"/>
      <c r="B89" s="6" t="s">
        <v>156</v>
      </c>
      <c r="C89" s="65"/>
      <c r="D89" s="73"/>
      <c r="E89" s="13"/>
      <c r="F89" s="14">
        <f t="shared" si="6"/>
        <v>7453858.64599226</v>
      </c>
      <c r="G89" s="29">
        <f>-E88</f>
        <v>-406968.4058787883</v>
      </c>
      <c r="H89" s="14">
        <f t="shared" si="7"/>
        <v>915262.7376932495</v>
      </c>
      <c r="I89" s="13">
        <f>+H86*$G$430/12</f>
        <v>5781.461509775506</v>
      </c>
      <c r="J89" s="14">
        <f t="shared" si="8"/>
        <v>176527.2137757555</v>
      </c>
      <c r="K89" s="315"/>
      <c r="L89" s="15"/>
      <c r="M89" s="13">
        <f>-G89</f>
        <v>406968.4058787883</v>
      </c>
      <c r="N89" s="14">
        <f t="shared" si="11"/>
        <v>0</v>
      </c>
      <c r="O89" s="13"/>
      <c r="P89" s="14">
        <f t="shared" si="12"/>
        <v>-8369121.383685507</v>
      </c>
      <c r="Q89" s="13">
        <f>-I89</f>
        <v>-5781.461509775506</v>
      </c>
      <c r="R89" s="14">
        <f t="shared" si="9"/>
        <v>-176527.2137757555</v>
      </c>
      <c r="S89" s="12"/>
    </row>
    <row r="90" spans="1:19" ht="15.75">
      <c r="A90" s="41" t="s">
        <v>46</v>
      </c>
      <c r="B90" s="6" t="s">
        <v>72</v>
      </c>
      <c r="C90" s="65"/>
      <c r="D90" s="73"/>
      <c r="E90" s="13"/>
      <c r="F90" s="14">
        <f t="shared" si="6"/>
        <v>7453858.64599226</v>
      </c>
      <c r="G90" s="29">
        <f>+$J$423</f>
        <v>365299.5833333333</v>
      </c>
      <c r="H90" s="14">
        <f t="shared" si="7"/>
        <v>1280562.3210265827</v>
      </c>
      <c r="I90" s="13"/>
      <c r="J90" s="14">
        <f t="shared" si="8"/>
        <v>176527.2137757555</v>
      </c>
      <c r="K90" s="315"/>
      <c r="L90" s="15"/>
      <c r="M90" s="13"/>
      <c r="N90" s="14">
        <f t="shared" si="11"/>
        <v>0</v>
      </c>
      <c r="O90" s="13">
        <f>-G90</f>
        <v>-365299.5833333333</v>
      </c>
      <c r="P90" s="14">
        <f t="shared" si="12"/>
        <v>-8734420.96701884</v>
      </c>
      <c r="Q90" s="13"/>
      <c r="R90" s="14">
        <f t="shared" si="9"/>
        <v>-176527.2137757555</v>
      </c>
      <c r="S90" s="12"/>
    </row>
    <row r="91" spans="1:19" ht="15.75">
      <c r="A91" s="39"/>
      <c r="B91" s="6" t="s">
        <v>17</v>
      </c>
      <c r="C91" s="65"/>
      <c r="D91" s="73"/>
      <c r="E91" s="13">
        <f>+'Total Billings'!D43</f>
        <v>330540.12071741093</v>
      </c>
      <c r="F91" s="14">
        <f t="shared" si="6"/>
        <v>7784398.766709671</v>
      </c>
      <c r="G91" s="29"/>
      <c r="H91" s="14">
        <f t="shared" si="7"/>
        <v>1280562.3210265827</v>
      </c>
      <c r="I91" s="13"/>
      <c r="J91" s="14">
        <f t="shared" si="8"/>
        <v>176527.2137757555</v>
      </c>
      <c r="K91" s="315"/>
      <c r="L91" s="15"/>
      <c r="M91" s="13">
        <f>-E91</f>
        <v>-330540.12071741093</v>
      </c>
      <c r="N91" s="14">
        <f t="shared" si="11"/>
        <v>-330540.12071741093</v>
      </c>
      <c r="O91" s="13"/>
      <c r="P91" s="14">
        <f t="shared" si="12"/>
        <v>-8734420.96701884</v>
      </c>
      <c r="Q91" s="13"/>
      <c r="R91" s="14">
        <f t="shared" si="9"/>
        <v>-176527.2137757555</v>
      </c>
      <c r="S91" s="12"/>
    </row>
    <row r="92" spans="1:19" ht="15.75">
      <c r="A92" s="39"/>
      <c r="B92" s="6" t="s">
        <v>156</v>
      </c>
      <c r="C92" s="65"/>
      <c r="D92" s="73"/>
      <c r="E92" s="13"/>
      <c r="F92" s="14">
        <f t="shared" si="6"/>
        <v>7784398.766709671</v>
      </c>
      <c r="G92" s="29">
        <f>-E91</f>
        <v>-330540.12071741093</v>
      </c>
      <c r="H92" s="14">
        <f t="shared" si="7"/>
        <v>950022.2003091718</v>
      </c>
      <c r="I92" s="13">
        <f>+H89*$G$430/12</f>
        <v>5529.712373563382</v>
      </c>
      <c r="J92" s="14">
        <f t="shared" si="8"/>
        <v>182056.92614931887</v>
      </c>
      <c r="K92" s="315"/>
      <c r="L92" s="15"/>
      <c r="M92" s="13">
        <f>-G92</f>
        <v>330540.12071741093</v>
      </c>
      <c r="N92" s="14">
        <f t="shared" si="11"/>
        <v>0</v>
      </c>
      <c r="O92" s="13"/>
      <c r="P92" s="14">
        <f t="shared" si="12"/>
        <v>-8734420.96701884</v>
      </c>
      <c r="Q92" s="13">
        <f>-I92</f>
        <v>-5529.712373563382</v>
      </c>
      <c r="R92" s="14">
        <f t="shared" si="9"/>
        <v>-182056.92614931887</v>
      </c>
      <c r="S92" s="12"/>
    </row>
    <row r="93" spans="1:19" ht="15.75">
      <c r="A93" s="39"/>
      <c r="B93" s="6" t="s">
        <v>83</v>
      </c>
      <c r="C93" s="65"/>
      <c r="D93" s="73"/>
      <c r="E93" s="13">
        <f>+'Total Billings'!D44</f>
        <v>537873.5284437339</v>
      </c>
      <c r="F93" s="14">
        <f t="shared" si="6"/>
        <v>8322272.2951534055</v>
      </c>
      <c r="G93" s="29"/>
      <c r="H93" s="14">
        <f t="shared" si="7"/>
        <v>950022.2003091718</v>
      </c>
      <c r="I93" s="13"/>
      <c r="J93" s="14">
        <f t="shared" si="8"/>
        <v>182056.92614931887</v>
      </c>
      <c r="K93" s="315"/>
      <c r="L93" s="15"/>
      <c r="M93" s="13">
        <f>-E93</f>
        <v>-537873.5284437339</v>
      </c>
      <c r="N93" s="14">
        <f t="shared" si="11"/>
        <v>-537873.5284437339</v>
      </c>
      <c r="O93" s="13"/>
      <c r="P93" s="14">
        <f t="shared" si="12"/>
        <v>-8734420.96701884</v>
      </c>
      <c r="Q93" s="13"/>
      <c r="R93" s="14">
        <f t="shared" si="9"/>
        <v>-182056.92614931887</v>
      </c>
      <c r="S93" s="12"/>
    </row>
    <row r="94" spans="1:19" ht="15.75">
      <c r="A94" s="39"/>
      <c r="B94" s="6" t="s">
        <v>157</v>
      </c>
      <c r="C94" s="68">
        <f>+F94-F51</f>
        <v>4520560.101657148</v>
      </c>
      <c r="D94" s="74">
        <f>+G90+G87+G84+G81+G78+G75+G71+G68+G65+G62+G59+G56</f>
        <v>4383595.000000001</v>
      </c>
      <c r="E94" s="13"/>
      <c r="F94" s="70">
        <f t="shared" si="6"/>
        <v>8322272.2951534055</v>
      </c>
      <c r="G94" s="29">
        <f>-E93</f>
        <v>-537873.5284437339</v>
      </c>
      <c r="H94" s="14">
        <f t="shared" si="7"/>
        <v>412148.6718654379</v>
      </c>
      <c r="I94" s="25"/>
      <c r="J94" s="64">
        <f t="shared" si="8"/>
        <v>182056.92614931887</v>
      </c>
      <c r="K94" s="316">
        <f>+J94-J51</f>
        <v>69532.16852883389</v>
      </c>
      <c r="L94" s="15"/>
      <c r="M94" s="13">
        <f>-G94</f>
        <v>537873.5284437339</v>
      </c>
      <c r="N94" s="14">
        <f t="shared" si="11"/>
        <v>0</v>
      </c>
      <c r="O94" s="13"/>
      <c r="P94" s="14">
        <f t="shared" si="12"/>
        <v>-8734420.96701884</v>
      </c>
      <c r="Q94" s="13"/>
      <c r="R94" s="14">
        <f t="shared" si="9"/>
        <v>-182056.92614931887</v>
      </c>
      <c r="S94" s="12"/>
    </row>
    <row r="95" spans="1:19" ht="15.75">
      <c r="A95" s="40" t="s">
        <v>80</v>
      </c>
      <c r="B95" s="6" t="s">
        <v>159</v>
      </c>
      <c r="C95" s="65"/>
      <c r="D95" s="73"/>
      <c r="E95" s="13">
        <f>+'Total Billings'!D53</f>
        <v>-537873.5284437339</v>
      </c>
      <c r="F95" s="14">
        <f>+F94+E95</f>
        <v>7784398.766709671</v>
      </c>
      <c r="G95" s="29"/>
      <c r="H95" s="14">
        <f>+H94+G95</f>
        <v>412148.6718654379</v>
      </c>
      <c r="I95" s="25"/>
      <c r="J95" s="14">
        <f>+J94+I95</f>
        <v>182056.92614931887</v>
      </c>
      <c r="K95" s="315"/>
      <c r="L95" s="15"/>
      <c r="M95" s="13">
        <f>-E95</f>
        <v>537873.5284437339</v>
      </c>
      <c r="N95" s="14">
        <f>+N94+M95</f>
        <v>537873.5284437339</v>
      </c>
      <c r="O95" s="13"/>
      <c r="P95" s="14">
        <f>+P94+O95</f>
        <v>-8734420.96701884</v>
      </c>
      <c r="Q95" s="13"/>
      <c r="R95" s="14">
        <f>+R94+Q95</f>
        <v>-182056.92614931887</v>
      </c>
      <c r="S95" s="12"/>
    </row>
    <row r="96" spans="1:19" ht="15.75">
      <c r="A96" s="39"/>
      <c r="B96" s="6" t="s">
        <v>161</v>
      </c>
      <c r="C96" s="65"/>
      <c r="D96" s="73"/>
      <c r="E96" s="13"/>
      <c r="F96" s="14">
        <f t="shared" si="6"/>
        <v>7784398.766709671</v>
      </c>
      <c r="G96" s="29">
        <f>-E95</f>
        <v>537873.5284437339</v>
      </c>
      <c r="H96" s="14">
        <f t="shared" si="7"/>
        <v>950022.2003091718</v>
      </c>
      <c r="I96" s="25"/>
      <c r="J96" s="14">
        <f t="shared" si="8"/>
        <v>182056.92614931887</v>
      </c>
      <c r="K96" s="315"/>
      <c r="L96" s="15"/>
      <c r="M96" s="13">
        <f>-G96</f>
        <v>-537873.5284437339</v>
      </c>
      <c r="N96" s="14">
        <f t="shared" si="11"/>
        <v>0</v>
      </c>
      <c r="O96" s="13"/>
      <c r="P96" s="14">
        <f t="shared" si="12"/>
        <v>-8734420.96701884</v>
      </c>
      <c r="Q96" s="13"/>
      <c r="R96" s="14">
        <f t="shared" si="9"/>
        <v>-182056.92614931887</v>
      </c>
      <c r="S96" s="12"/>
    </row>
    <row r="97" spans="1:19" ht="15.75">
      <c r="A97" s="42"/>
      <c r="B97" s="31"/>
      <c r="C97" s="65"/>
      <c r="D97" s="73"/>
      <c r="E97" s="13"/>
      <c r="F97" s="14"/>
      <c r="G97" s="53"/>
      <c r="H97" s="14">
        <f t="shared" si="7"/>
        <v>950022.2003091718</v>
      </c>
      <c r="I97" s="33"/>
      <c r="J97" s="14">
        <f t="shared" si="8"/>
        <v>182056.92614931887</v>
      </c>
      <c r="K97" s="315"/>
      <c r="L97" s="15"/>
      <c r="M97" s="13"/>
      <c r="N97" s="14">
        <f t="shared" si="11"/>
        <v>0</v>
      </c>
      <c r="O97" s="13">
        <f>-G97</f>
        <v>0</v>
      </c>
      <c r="P97" s="14">
        <f t="shared" si="12"/>
        <v>-8734420.96701884</v>
      </c>
      <c r="Q97" s="13"/>
      <c r="R97" s="14">
        <f t="shared" si="9"/>
        <v>-182056.92614931887</v>
      </c>
      <c r="S97" s="12"/>
    </row>
    <row r="98" spans="1:19" ht="15.75">
      <c r="A98" s="42"/>
      <c r="B98" s="34"/>
      <c r="C98" s="65"/>
      <c r="D98" s="73"/>
      <c r="E98" s="13"/>
      <c r="F98" s="14"/>
      <c r="G98" s="29"/>
      <c r="H98" s="14">
        <f t="shared" si="7"/>
        <v>950022.2003091718</v>
      </c>
      <c r="I98" s="25"/>
      <c r="J98" s="14">
        <f t="shared" si="8"/>
        <v>182056.92614931887</v>
      </c>
      <c r="K98" s="315"/>
      <c r="L98" s="15"/>
      <c r="M98" s="13"/>
      <c r="N98" s="14">
        <f t="shared" si="11"/>
        <v>0</v>
      </c>
      <c r="O98" s="13"/>
      <c r="P98" s="14">
        <f t="shared" si="12"/>
        <v>-8734420.96701884</v>
      </c>
      <c r="Q98" s="13"/>
      <c r="R98" s="14">
        <f t="shared" si="9"/>
        <v>-182056.92614931887</v>
      </c>
      <c r="S98" s="12"/>
    </row>
    <row r="99" spans="1:19" ht="15.75">
      <c r="A99" s="41" t="s">
        <v>47</v>
      </c>
      <c r="B99" s="6" t="s">
        <v>72</v>
      </c>
      <c r="C99" s="65"/>
      <c r="D99" s="73"/>
      <c r="E99" s="13"/>
      <c r="F99" s="14">
        <f>+F96+E99</f>
        <v>7784398.766709671</v>
      </c>
      <c r="G99" s="29">
        <f>+$J$423</f>
        <v>365299.5833333333</v>
      </c>
      <c r="H99" s="14">
        <f t="shared" si="7"/>
        <v>1315321.783642505</v>
      </c>
      <c r="I99" s="25"/>
      <c r="J99" s="14">
        <f t="shared" si="8"/>
        <v>182056.92614931887</v>
      </c>
      <c r="K99" s="315"/>
      <c r="L99" s="15"/>
      <c r="M99" s="13"/>
      <c r="N99" s="14">
        <f>+N96+M99</f>
        <v>0</v>
      </c>
      <c r="O99" s="13">
        <f>-G99</f>
        <v>-365299.5833333333</v>
      </c>
      <c r="P99" s="14">
        <f>+P96+O99</f>
        <v>-9099720.550352175</v>
      </c>
      <c r="Q99" s="13"/>
      <c r="R99" s="14">
        <f>+R96+Q99</f>
        <v>-182056.92614931887</v>
      </c>
      <c r="S99" s="12"/>
    </row>
    <row r="100" spans="1:19" ht="15.75">
      <c r="A100" s="39"/>
      <c r="B100" s="6" t="s">
        <v>17</v>
      </c>
      <c r="C100" s="65"/>
      <c r="D100" s="73"/>
      <c r="E100" s="13">
        <f>+'Total Billings'!D54</f>
        <v>420118.46184908494</v>
      </c>
      <c r="F100" s="14">
        <f t="shared" si="6"/>
        <v>8204517.228558756</v>
      </c>
      <c r="G100" s="29"/>
      <c r="H100" s="14">
        <f t="shared" si="7"/>
        <v>1315321.783642505</v>
      </c>
      <c r="I100" s="25"/>
      <c r="J100" s="14">
        <f t="shared" si="8"/>
        <v>182056.92614931887</v>
      </c>
      <c r="K100" s="315"/>
      <c r="L100" s="15"/>
      <c r="M100" s="13">
        <f>-E100</f>
        <v>-420118.46184908494</v>
      </c>
      <c r="N100" s="14">
        <f t="shared" si="11"/>
        <v>-420118.46184908494</v>
      </c>
      <c r="O100" s="13"/>
      <c r="P100" s="14">
        <f t="shared" si="12"/>
        <v>-9099720.550352175</v>
      </c>
      <c r="Q100" s="13"/>
      <c r="R100" s="14">
        <f t="shared" si="9"/>
        <v>-182056.92614931887</v>
      </c>
      <c r="S100" s="12"/>
    </row>
    <row r="101" spans="1:19" ht="15.75">
      <c r="A101" s="39"/>
      <c r="B101" s="6" t="s">
        <v>156</v>
      </c>
      <c r="C101" s="65"/>
      <c r="D101" s="73"/>
      <c r="E101" s="13"/>
      <c r="F101" s="14">
        <f t="shared" si="6"/>
        <v>8204517.228558756</v>
      </c>
      <c r="G101" s="29">
        <f>-E100</f>
        <v>-420118.46184908494</v>
      </c>
      <c r="H101" s="14">
        <f t="shared" si="7"/>
        <v>895203.3217934201</v>
      </c>
      <c r="I101" s="13">
        <f>(+H94)*$G$430/12</f>
        <v>2490.0648925203536</v>
      </c>
      <c r="J101" s="14">
        <f t="shared" si="8"/>
        <v>184546.9910418392</v>
      </c>
      <c r="K101" s="315"/>
      <c r="L101" s="15"/>
      <c r="M101" s="13">
        <f>-G101</f>
        <v>420118.46184908494</v>
      </c>
      <c r="N101" s="14">
        <f t="shared" si="11"/>
        <v>0</v>
      </c>
      <c r="O101" s="13"/>
      <c r="P101" s="14">
        <f t="shared" si="12"/>
        <v>-9099720.550352175</v>
      </c>
      <c r="Q101" s="13">
        <f>-I101</f>
        <v>-2490.0648925203536</v>
      </c>
      <c r="R101" s="14">
        <f t="shared" si="9"/>
        <v>-184546.9910418392</v>
      </c>
      <c r="S101" s="12"/>
    </row>
    <row r="102" spans="1:19" ht="15.75">
      <c r="A102" s="41" t="s">
        <v>81</v>
      </c>
      <c r="B102" s="6" t="s">
        <v>72</v>
      </c>
      <c r="C102" s="65"/>
      <c r="D102" s="73"/>
      <c r="E102" s="13"/>
      <c r="F102" s="14">
        <f t="shared" si="6"/>
        <v>8204517.228558756</v>
      </c>
      <c r="G102" s="29">
        <f>+$J$423</f>
        <v>365299.5833333333</v>
      </c>
      <c r="H102" s="14">
        <f t="shared" si="7"/>
        <v>1260502.9051267535</v>
      </c>
      <c r="I102" s="25"/>
      <c r="J102" s="14">
        <f t="shared" si="8"/>
        <v>184546.9910418392</v>
      </c>
      <c r="K102" s="315"/>
      <c r="L102" s="15"/>
      <c r="M102" s="13"/>
      <c r="N102" s="14">
        <f t="shared" si="11"/>
        <v>0</v>
      </c>
      <c r="O102" s="13">
        <f>-G102</f>
        <v>-365299.5833333333</v>
      </c>
      <c r="P102" s="14">
        <f t="shared" si="12"/>
        <v>-9465020.133685509</v>
      </c>
      <c r="Q102" s="13"/>
      <c r="R102" s="14">
        <f t="shared" si="9"/>
        <v>-184546.9910418392</v>
      </c>
      <c r="S102" s="12"/>
    </row>
    <row r="103" spans="1:19" ht="15.75">
      <c r="A103" s="39"/>
      <c r="B103" s="6" t="s">
        <v>17</v>
      </c>
      <c r="C103" s="65"/>
      <c r="D103" s="73"/>
      <c r="E103" s="13">
        <f>+'Total Billings'!D55</f>
        <v>349994.0972090004</v>
      </c>
      <c r="F103" s="14">
        <f t="shared" si="6"/>
        <v>8554511.325767757</v>
      </c>
      <c r="G103" s="29"/>
      <c r="H103" s="14">
        <f t="shared" si="7"/>
        <v>1260502.9051267535</v>
      </c>
      <c r="I103" s="25"/>
      <c r="J103" s="14">
        <f t="shared" si="8"/>
        <v>184546.9910418392</v>
      </c>
      <c r="K103" s="315"/>
      <c r="L103" s="15"/>
      <c r="M103" s="13">
        <f>-E103</f>
        <v>-349994.0972090004</v>
      </c>
      <c r="N103" s="14">
        <f t="shared" si="11"/>
        <v>-349994.0972090004</v>
      </c>
      <c r="O103" s="13"/>
      <c r="P103" s="14">
        <f t="shared" si="12"/>
        <v>-9465020.133685509</v>
      </c>
      <c r="Q103" s="13"/>
      <c r="R103" s="14">
        <f t="shared" si="9"/>
        <v>-184546.9910418392</v>
      </c>
      <c r="S103" s="12"/>
    </row>
    <row r="104" spans="1:19" ht="15.75">
      <c r="A104" s="39"/>
      <c r="B104" s="6" t="s">
        <v>156</v>
      </c>
      <c r="C104" s="65"/>
      <c r="D104" s="73"/>
      <c r="E104" s="13"/>
      <c r="F104" s="14">
        <f t="shared" si="6"/>
        <v>8554511.325767757</v>
      </c>
      <c r="G104" s="29">
        <f>-E103</f>
        <v>-349994.0972090004</v>
      </c>
      <c r="H104" s="14">
        <f t="shared" si="7"/>
        <v>910508.8079177531</v>
      </c>
      <c r="I104" s="13">
        <f>+H101*$G$430/12</f>
        <v>5408.5200691685795</v>
      </c>
      <c r="J104" s="14">
        <f t="shared" si="8"/>
        <v>189955.5111110078</v>
      </c>
      <c r="K104" s="315"/>
      <c r="L104" s="15"/>
      <c r="M104" s="13">
        <f>-G104</f>
        <v>349994.0972090004</v>
      </c>
      <c r="N104" s="14">
        <f t="shared" si="11"/>
        <v>0</v>
      </c>
      <c r="O104" s="13"/>
      <c r="P104" s="14">
        <f t="shared" si="12"/>
        <v>-9465020.133685509</v>
      </c>
      <c r="Q104" s="13">
        <f>-I104</f>
        <v>-5408.5200691685795</v>
      </c>
      <c r="R104" s="14">
        <f t="shared" si="9"/>
        <v>-189955.5111110078</v>
      </c>
      <c r="S104" s="12"/>
    </row>
    <row r="105" spans="1:19" ht="15.75">
      <c r="A105" s="41" t="s">
        <v>49</v>
      </c>
      <c r="B105" s="6" t="s">
        <v>72</v>
      </c>
      <c r="C105" s="65"/>
      <c r="D105" s="73"/>
      <c r="E105" s="13"/>
      <c r="F105" s="14">
        <f t="shared" si="6"/>
        <v>8554511.325767757</v>
      </c>
      <c r="G105" s="29">
        <f>+$J$423</f>
        <v>365299.5833333333</v>
      </c>
      <c r="H105" s="14">
        <f t="shared" si="7"/>
        <v>1275808.3912510865</v>
      </c>
      <c r="I105" s="25"/>
      <c r="J105" s="14">
        <f t="shared" si="8"/>
        <v>189955.5111110078</v>
      </c>
      <c r="K105" s="315"/>
      <c r="L105" s="15"/>
      <c r="M105" s="13"/>
      <c r="N105" s="14">
        <f t="shared" si="11"/>
        <v>0</v>
      </c>
      <c r="O105" s="13">
        <f>-G105</f>
        <v>-365299.5833333333</v>
      </c>
      <c r="P105" s="14">
        <f t="shared" si="12"/>
        <v>-9830319.717018843</v>
      </c>
      <c r="Q105" s="13"/>
      <c r="R105" s="14">
        <f t="shared" si="9"/>
        <v>-189955.5111110078</v>
      </c>
      <c r="S105" s="12"/>
    </row>
    <row r="106" spans="1:19" ht="15.75">
      <c r="A106" s="39"/>
      <c r="B106" s="6" t="s">
        <v>17</v>
      </c>
      <c r="C106" s="65"/>
      <c r="D106" s="73"/>
      <c r="E106" s="13">
        <f>+'Total Billings'!D56</f>
        <v>716279.9329144553</v>
      </c>
      <c r="F106" s="14">
        <f t="shared" si="6"/>
        <v>9270791.258682212</v>
      </c>
      <c r="G106" s="29"/>
      <c r="H106" s="14">
        <f t="shared" si="7"/>
        <v>1275808.3912510865</v>
      </c>
      <c r="I106" s="25"/>
      <c r="J106" s="14">
        <f t="shared" si="8"/>
        <v>189955.5111110078</v>
      </c>
      <c r="K106" s="315"/>
      <c r="L106" s="15"/>
      <c r="M106" s="13">
        <f>-E106</f>
        <v>-716279.9329144553</v>
      </c>
      <c r="N106" s="14">
        <f t="shared" si="11"/>
        <v>-716279.9329144553</v>
      </c>
      <c r="O106" s="13"/>
      <c r="P106" s="14">
        <f t="shared" si="12"/>
        <v>-9830319.717018843</v>
      </c>
      <c r="Q106" s="13"/>
      <c r="R106" s="14">
        <f t="shared" si="9"/>
        <v>-189955.5111110078</v>
      </c>
      <c r="S106" s="12"/>
    </row>
    <row r="107" spans="1:19" ht="15.75">
      <c r="A107" s="39"/>
      <c r="B107" s="6" t="s">
        <v>156</v>
      </c>
      <c r="C107" s="65"/>
      <c r="D107" s="73"/>
      <c r="E107" s="13"/>
      <c r="F107" s="14">
        <f t="shared" si="6"/>
        <v>9270791.258682212</v>
      </c>
      <c r="G107" s="29">
        <f>-E106</f>
        <v>-716279.9329144553</v>
      </c>
      <c r="H107" s="14">
        <f t="shared" si="7"/>
        <v>559528.4583366312</v>
      </c>
      <c r="I107" s="13">
        <f>+H104*$G$430/12</f>
        <v>5500.990714503091</v>
      </c>
      <c r="J107" s="14">
        <f t="shared" si="8"/>
        <v>195456.5018255109</v>
      </c>
      <c r="K107" s="315"/>
      <c r="L107" s="15"/>
      <c r="M107" s="13">
        <f>-G107</f>
        <v>716279.9329144553</v>
      </c>
      <c r="N107" s="14">
        <f t="shared" si="11"/>
        <v>0</v>
      </c>
      <c r="O107" s="13"/>
      <c r="P107" s="14">
        <f t="shared" si="12"/>
        <v>-9830319.717018843</v>
      </c>
      <c r="Q107" s="13">
        <f>-I107</f>
        <v>-5500.990714503091</v>
      </c>
      <c r="R107" s="14">
        <f t="shared" si="9"/>
        <v>-195456.5018255109</v>
      </c>
      <c r="S107" s="12"/>
    </row>
    <row r="108" spans="1:19" ht="15.75">
      <c r="A108" s="41" t="s">
        <v>50</v>
      </c>
      <c r="B108" s="6" t="s">
        <v>15</v>
      </c>
      <c r="C108" s="65"/>
      <c r="D108" s="73"/>
      <c r="E108" s="13"/>
      <c r="F108" s="14">
        <f t="shared" si="6"/>
        <v>9270791.258682212</v>
      </c>
      <c r="G108" s="29">
        <f>+$J$421</f>
        <v>280869.5</v>
      </c>
      <c r="H108" s="14">
        <f t="shared" si="7"/>
        <v>840397.9583366312</v>
      </c>
      <c r="I108" s="13"/>
      <c r="J108" s="14">
        <f t="shared" si="8"/>
        <v>195456.5018255109</v>
      </c>
      <c r="K108" s="315"/>
      <c r="L108" s="15"/>
      <c r="M108" s="13"/>
      <c r="N108" s="14">
        <f t="shared" si="11"/>
        <v>0</v>
      </c>
      <c r="O108" s="13">
        <f>-G108</f>
        <v>-280869.5</v>
      </c>
      <c r="P108" s="14">
        <f t="shared" si="12"/>
        <v>-10111189.217018843</v>
      </c>
      <c r="Q108" s="13"/>
      <c r="R108" s="14">
        <f t="shared" si="9"/>
        <v>-195456.5018255109</v>
      </c>
      <c r="S108" s="12"/>
    </row>
    <row r="109" spans="1:19" ht="15.75">
      <c r="A109" s="39"/>
      <c r="B109" s="6" t="s">
        <v>17</v>
      </c>
      <c r="C109" s="65"/>
      <c r="D109" s="73"/>
      <c r="E109" s="13">
        <f>+'Total Billings'!D57</f>
        <v>173162.72891321</v>
      </c>
      <c r="F109" s="14">
        <f t="shared" si="6"/>
        <v>9443953.987595422</v>
      </c>
      <c r="G109" s="29"/>
      <c r="H109" s="14">
        <f t="shared" si="7"/>
        <v>840397.9583366312</v>
      </c>
      <c r="I109" s="13"/>
      <c r="J109" s="14">
        <f t="shared" si="8"/>
        <v>195456.5018255109</v>
      </c>
      <c r="K109" s="315"/>
      <c r="L109" s="15"/>
      <c r="M109" s="13">
        <f>-E109</f>
        <v>-173162.72891321</v>
      </c>
      <c r="N109" s="14">
        <f t="shared" si="11"/>
        <v>-173162.72891321</v>
      </c>
      <c r="O109" s="13"/>
      <c r="P109" s="14">
        <f t="shared" si="12"/>
        <v>-10111189.217018843</v>
      </c>
      <c r="Q109" s="13"/>
      <c r="R109" s="14">
        <f t="shared" si="9"/>
        <v>-195456.5018255109</v>
      </c>
      <c r="S109" s="12"/>
    </row>
    <row r="110" spans="1:19" ht="15.75">
      <c r="A110" s="39"/>
      <c r="B110" s="6" t="s">
        <v>156</v>
      </c>
      <c r="C110" s="65"/>
      <c r="D110" s="73"/>
      <c r="E110" s="13"/>
      <c r="F110" s="14">
        <f t="shared" si="6"/>
        <v>9443953.987595422</v>
      </c>
      <c r="G110" s="29">
        <f>-E109</f>
        <v>-173162.72891321</v>
      </c>
      <c r="H110" s="14">
        <f t="shared" si="7"/>
        <v>667235.2294234212</v>
      </c>
      <c r="I110" s="13">
        <f>+H107*$G$430/12</f>
        <v>3380.4844357838133</v>
      </c>
      <c r="J110" s="14">
        <f t="shared" si="8"/>
        <v>198836.98626129472</v>
      </c>
      <c r="K110" s="315"/>
      <c r="L110" s="15"/>
      <c r="M110" s="13">
        <f>-G110</f>
        <v>173162.72891321</v>
      </c>
      <c r="N110" s="14">
        <f aca="true" t="shared" si="13" ref="N110:N117">+N109+M110</f>
        <v>0</v>
      </c>
      <c r="O110" s="13"/>
      <c r="P110" s="14">
        <f aca="true" t="shared" si="14" ref="P110:P117">+P109+O110</f>
        <v>-10111189.217018843</v>
      </c>
      <c r="Q110" s="13">
        <f>-I110</f>
        <v>-3380.4844357838133</v>
      </c>
      <c r="R110" s="14">
        <f aca="true" t="shared" si="15" ref="R110:R117">+R109+Q110</f>
        <v>-198836.98626129472</v>
      </c>
      <c r="S110" s="12"/>
    </row>
    <row r="111" spans="1:19" ht="15.75">
      <c r="A111" s="41" t="s">
        <v>51</v>
      </c>
      <c r="B111" s="6" t="s">
        <v>15</v>
      </c>
      <c r="C111" s="65"/>
      <c r="D111" s="73"/>
      <c r="E111" s="13"/>
      <c r="F111" s="14">
        <f t="shared" si="6"/>
        <v>9443953.987595422</v>
      </c>
      <c r="G111" s="29">
        <f>+$J$421</f>
        <v>280869.5</v>
      </c>
      <c r="H111" s="14">
        <f t="shared" si="7"/>
        <v>948104.7294234212</v>
      </c>
      <c r="I111" s="13"/>
      <c r="J111" s="14">
        <f t="shared" si="8"/>
        <v>198836.98626129472</v>
      </c>
      <c r="K111" s="315"/>
      <c r="L111" s="15"/>
      <c r="M111" s="13"/>
      <c r="N111" s="14">
        <f t="shared" si="13"/>
        <v>0</v>
      </c>
      <c r="O111" s="13">
        <f>-G111</f>
        <v>-280869.5</v>
      </c>
      <c r="P111" s="14">
        <f t="shared" si="14"/>
        <v>-10392058.717018843</v>
      </c>
      <c r="Q111" s="13"/>
      <c r="R111" s="14">
        <f t="shared" si="15"/>
        <v>-198836.98626129472</v>
      </c>
      <c r="S111" s="12"/>
    </row>
    <row r="112" spans="1:19" ht="15.75">
      <c r="A112" s="39"/>
      <c r="B112" s="6" t="s">
        <v>17</v>
      </c>
      <c r="C112" s="65"/>
      <c r="D112" s="73"/>
      <c r="E112" s="13">
        <f>+'Total Billings'!D58</f>
        <v>241484.31571152003</v>
      </c>
      <c r="F112" s="14">
        <f t="shared" si="6"/>
        <v>9685438.303306943</v>
      </c>
      <c r="G112" s="29"/>
      <c r="H112" s="14">
        <f t="shared" si="7"/>
        <v>948104.7294234212</v>
      </c>
      <c r="I112" s="13"/>
      <c r="J112" s="14">
        <f t="shared" si="8"/>
        <v>198836.98626129472</v>
      </c>
      <c r="K112" s="315"/>
      <c r="L112" s="15"/>
      <c r="M112" s="13">
        <f>-E112</f>
        <v>-241484.31571152003</v>
      </c>
      <c r="N112" s="14">
        <f t="shared" si="13"/>
        <v>-241484.31571152003</v>
      </c>
      <c r="O112" s="13"/>
      <c r="P112" s="14">
        <f t="shared" si="14"/>
        <v>-10392058.717018843</v>
      </c>
      <c r="Q112" s="13"/>
      <c r="R112" s="14">
        <f t="shared" si="15"/>
        <v>-198836.98626129472</v>
      </c>
      <c r="S112" s="12"/>
    </row>
    <row r="113" spans="1:19" ht="15.75">
      <c r="A113" s="39"/>
      <c r="B113" s="6" t="s">
        <v>156</v>
      </c>
      <c r="C113" s="65"/>
      <c r="D113" s="73"/>
      <c r="E113" s="13"/>
      <c r="F113" s="14">
        <f t="shared" si="6"/>
        <v>9685438.303306943</v>
      </c>
      <c r="G113" s="29">
        <f>-E112</f>
        <v>-241484.31571152003</v>
      </c>
      <c r="H113" s="14">
        <f t="shared" si="7"/>
        <v>706620.4137119012</v>
      </c>
      <c r="I113" s="13">
        <f>+H110*$G$430/12</f>
        <v>4031.2128444331697</v>
      </c>
      <c r="J113" s="14">
        <f t="shared" si="8"/>
        <v>202868.1991057279</v>
      </c>
      <c r="K113" s="315"/>
      <c r="L113" s="15"/>
      <c r="M113" s="13">
        <f>-G113</f>
        <v>241484.31571152003</v>
      </c>
      <c r="N113" s="14">
        <f t="shared" si="13"/>
        <v>0</v>
      </c>
      <c r="O113" s="13"/>
      <c r="P113" s="14">
        <f t="shared" si="14"/>
        <v>-10392058.717018843</v>
      </c>
      <c r="Q113" s="13">
        <f>-I113</f>
        <v>-4031.2128444331697</v>
      </c>
      <c r="R113" s="14">
        <f t="shared" si="15"/>
        <v>-202868.1991057279</v>
      </c>
      <c r="S113" s="12"/>
    </row>
    <row r="114" spans="1:19" ht="15.75">
      <c r="A114" s="41" t="s">
        <v>52</v>
      </c>
      <c r="B114" s="6" t="s">
        <v>15</v>
      </c>
      <c r="C114" s="65"/>
      <c r="D114" s="73"/>
      <c r="E114" s="13"/>
      <c r="F114" s="14">
        <f t="shared" si="6"/>
        <v>9685438.303306943</v>
      </c>
      <c r="G114" s="29">
        <f>+$J$421</f>
        <v>280869.5</v>
      </c>
      <c r="H114" s="14">
        <f t="shared" si="7"/>
        <v>987489.9137119012</v>
      </c>
      <c r="I114" s="13"/>
      <c r="J114" s="14">
        <f t="shared" si="8"/>
        <v>202868.1991057279</v>
      </c>
      <c r="K114" s="315"/>
      <c r="L114" s="15"/>
      <c r="M114" s="13"/>
      <c r="N114" s="14">
        <f t="shared" si="13"/>
        <v>0</v>
      </c>
      <c r="O114" s="13">
        <f>-G114</f>
        <v>-280869.5</v>
      </c>
      <c r="P114" s="14">
        <f t="shared" si="14"/>
        <v>-10672928.217018843</v>
      </c>
      <c r="Q114" s="13"/>
      <c r="R114" s="14">
        <f t="shared" si="15"/>
        <v>-202868.1991057279</v>
      </c>
      <c r="S114" s="12"/>
    </row>
    <row r="115" spans="1:19" ht="15.75">
      <c r="A115" s="39"/>
      <c r="B115" s="6" t="s">
        <v>17</v>
      </c>
      <c r="C115" s="65"/>
      <c r="D115" s="73"/>
      <c r="E115" s="13">
        <f>+'Total Billings'!D59</f>
        <v>218763.028469246</v>
      </c>
      <c r="F115" s="14">
        <f aca="true" t="shared" si="16" ref="F115:F137">+F114+E115</f>
        <v>9904201.331776189</v>
      </c>
      <c r="G115" s="29"/>
      <c r="H115" s="14">
        <f aca="true" t="shared" si="17" ref="H115:H137">+H114+G115</f>
        <v>987489.9137119012</v>
      </c>
      <c r="I115" s="13"/>
      <c r="J115" s="14">
        <f aca="true" t="shared" si="18" ref="J115:J137">+J114+I115</f>
        <v>202868.1991057279</v>
      </c>
      <c r="K115" s="315"/>
      <c r="L115" s="15"/>
      <c r="M115" s="13">
        <f>-E115</f>
        <v>-218763.028469246</v>
      </c>
      <c r="N115" s="14">
        <f t="shared" si="13"/>
        <v>-218763.028469246</v>
      </c>
      <c r="O115" s="13"/>
      <c r="P115" s="14">
        <f t="shared" si="14"/>
        <v>-10672928.217018843</v>
      </c>
      <c r="Q115" s="13"/>
      <c r="R115" s="14">
        <f t="shared" si="15"/>
        <v>-202868.1991057279</v>
      </c>
      <c r="S115" s="12"/>
    </row>
    <row r="116" spans="1:19" ht="15.75">
      <c r="A116" s="42"/>
      <c r="B116" s="6" t="s">
        <v>156</v>
      </c>
      <c r="C116" s="65"/>
      <c r="D116" s="73"/>
      <c r="E116" s="13"/>
      <c r="F116" s="14">
        <f t="shared" si="16"/>
        <v>9904201.331776189</v>
      </c>
      <c r="G116" s="29">
        <f>-E115</f>
        <v>-218763.028469246</v>
      </c>
      <c r="H116" s="14">
        <f t="shared" si="17"/>
        <v>768726.8852426552</v>
      </c>
      <c r="I116" s="13">
        <f>+H113*$G$430/12</f>
        <v>4269.164999509402</v>
      </c>
      <c r="J116" s="14">
        <f t="shared" si="18"/>
        <v>207137.3641052373</v>
      </c>
      <c r="K116" s="315"/>
      <c r="L116" s="15"/>
      <c r="M116" s="13">
        <f>-G116</f>
        <v>218763.028469246</v>
      </c>
      <c r="N116" s="14">
        <f t="shared" si="13"/>
        <v>0</v>
      </c>
      <c r="O116" s="13"/>
      <c r="P116" s="14">
        <f t="shared" si="14"/>
        <v>-10672928.217018843</v>
      </c>
      <c r="Q116" s="13">
        <f>-I116</f>
        <v>-4269.164999509402</v>
      </c>
      <c r="R116" s="14">
        <f t="shared" si="15"/>
        <v>-207137.3641052373</v>
      </c>
      <c r="S116" s="12"/>
    </row>
    <row r="117" spans="1:19" ht="15.75">
      <c r="A117" s="42"/>
      <c r="B117" s="6" t="s">
        <v>139</v>
      </c>
      <c r="C117" s="195"/>
      <c r="D117" s="195"/>
      <c r="E117" s="13"/>
      <c r="F117" s="14">
        <f t="shared" si="16"/>
        <v>9904201.331776189</v>
      </c>
      <c r="G117" s="340">
        <v>-995716</v>
      </c>
      <c r="H117" s="14">
        <f t="shared" si="17"/>
        <v>-226989.11475734483</v>
      </c>
      <c r="I117" s="13"/>
      <c r="J117" s="14">
        <f t="shared" si="18"/>
        <v>207137.3641052373</v>
      </c>
      <c r="K117" s="315"/>
      <c r="L117" s="15"/>
      <c r="M117" s="13"/>
      <c r="N117" s="14">
        <f t="shared" si="13"/>
        <v>0</v>
      </c>
      <c r="O117" s="13">
        <f>-G117</f>
        <v>995716</v>
      </c>
      <c r="P117" s="14">
        <f t="shared" si="14"/>
        <v>-9677212.217018843</v>
      </c>
      <c r="Q117" s="13"/>
      <c r="R117" s="14">
        <f t="shared" si="15"/>
        <v>-207137.3641052373</v>
      </c>
      <c r="S117" s="12"/>
    </row>
    <row r="118" spans="1:19" ht="15.75">
      <c r="A118" s="41" t="s">
        <v>53</v>
      </c>
      <c r="B118" s="6" t="s">
        <v>15</v>
      </c>
      <c r="C118" s="65"/>
      <c r="D118" s="73"/>
      <c r="E118" s="13"/>
      <c r="F118" s="14">
        <f>+F116+E118</f>
        <v>9904201.331776189</v>
      </c>
      <c r="G118" s="29">
        <f>+$J$421</f>
        <v>280869.5</v>
      </c>
      <c r="H118" s="14">
        <f t="shared" si="17"/>
        <v>53880.385242655175</v>
      </c>
      <c r="I118" s="13"/>
      <c r="J118" s="14">
        <f>+J116+I118</f>
        <v>207137.3641052373</v>
      </c>
      <c r="K118" s="315"/>
      <c r="L118" s="15"/>
      <c r="M118" s="13"/>
      <c r="N118" s="14">
        <f>+N116+M118</f>
        <v>0</v>
      </c>
      <c r="O118" s="13">
        <f>-G118</f>
        <v>-280869.5</v>
      </c>
      <c r="P118" s="14">
        <f>+P116+O118</f>
        <v>-10953797.717018843</v>
      </c>
      <c r="Q118" s="13"/>
      <c r="R118" s="14">
        <f>+R116+Q118</f>
        <v>-207137.3641052373</v>
      </c>
      <c r="S118" s="12"/>
    </row>
    <row r="119" spans="1:19" ht="15.75">
      <c r="A119" s="39"/>
      <c r="B119" s="6" t="s">
        <v>17</v>
      </c>
      <c r="C119" s="65"/>
      <c r="D119" s="73"/>
      <c r="E119" s="13">
        <f>+'Total Billings'!D60</f>
        <v>277119.40905734006</v>
      </c>
      <c r="F119" s="14">
        <f t="shared" si="16"/>
        <v>10181320.740833528</v>
      </c>
      <c r="G119" s="29"/>
      <c r="H119" s="14">
        <f t="shared" si="17"/>
        <v>53880.385242655175</v>
      </c>
      <c r="I119" s="13"/>
      <c r="J119" s="14">
        <f t="shared" si="18"/>
        <v>207137.3641052373</v>
      </c>
      <c r="K119" s="315"/>
      <c r="L119" s="15"/>
      <c r="M119" s="13">
        <f>-E119</f>
        <v>-277119.40905734006</v>
      </c>
      <c r="N119" s="14">
        <f>+N118+M119</f>
        <v>-277119.40905734006</v>
      </c>
      <c r="O119" s="13"/>
      <c r="P119" s="14">
        <f>+P118+O119</f>
        <v>-10953797.717018843</v>
      </c>
      <c r="Q119" s="13"/>
      <c r="R119" s="14">
        <f>+R118+Q119</f>
        <v>-207137.3641052373</v>
      </c>
      <c r="S119" s="12"/>
    </row>
    <row r="120" spans="1:19" ht="15.75">
      <c r="A120" s="39"/>
      <c r="B120" s="6" t="s">
        <v>156</v>
      </c>
      <c r="C120" s="65"/>
      <c r="D120" s="73"/>
      <c r="E120" s="13"/>
      <c r="F120" s="14">
        <f t="shared" si="16"/>
        <v>10181320.740833528</v>
      </c>
      <c r="G120" s="29">
        <f>-E119</f>
        <v>-277119.40905734006</v>
      </c>
      <c r="H120" s="14">
        <f t="shared" si="17"/>
        <v>-223239.0238146849</v>
      </c>
      <c r="I120" s="13">
        <f>+H117*$G$430/12</f>
        <v>-1371.3925683256248</v>
      </c>
      <c r="J120" s="14">
        <f t="shared" si="18"/>
        <v>205765.97153691167</v>
      </c>
      <c r="K120" s="315"/>
      <c r="L120" s="15"/>
      <c r="M120" s="13">
        <f>-G120</f>
        <v>277119.40905734006</v>
      </c>
      <c r="N120" s="14">
        <f>+N119+M120</f>
        <v>0</v>
      </c>
      <c r="O120" s="13"/>
      <c r="P120" s="14">
        <f>+P119+O120</f>
        <v>-10953797.717018843</v>
      </c>
      <c r="Q120" s="13">
        <f>-I120</f>
        <v>1371.3925683256248</v>
      </c>
      <c r="R120" s="14">
        <f>+R119+Q120</f>
        <v>-205765.97153691167</v>
      </c>
      <c r="S120" s="12"/>
    </row>
    <row r="121" spans="1:19" ht="15.75">
      <c r="A121" s="41" t="s">
        <v>54</v>
      </c>
      <c r="B121" s="6" t="s">
        <v>15</v>
      </c>
      <c r="C121" s="65"/>
      <c r="D121" s="73"/>
      <c r="E121" s="13"/>
      <c r="F121" s="14">
        <f t="shared" si="16"/>
        <v>10181320.740833528</v>
      </c>
      <c r="G121" s="29">
        <f>+$J$421</f>
        <v>280869.5</v>
      </c>
      <c r="H121" s="14">
        <f t="shared" si="17"/>
        <v>57630.476185315114</v>
      </c>
      <c r="I121" s="13"/>
      <c r="J121" s="14">
        <f t="shared" si="18"/>
        <v>205765.97153691167</v>
      </c>
      <c r="K121" s="315"/>
      <c r="L121" s="15"/>
      <c r="M121" s="13"/>
      <c r="N121" s="14">
        <f aca="true" t="shared" si="19" ref="N121:N137">+N120+M121</f>
        <v>0</v>
      </c>
      <c r="O121" s="13">
        <f>-G121</f>
        <v>-280869.5</v>
      </c>
      <c r="P121" s="14">
        <f aca="true" t="shared" si="20" ref="P121:P137">+P120+O121</f>
        <v>-11234667.217018843</v>
      </c>
      <c r="Q121" s="13"/>
      <c r="R121" s="14">
        <f aca="true" t="shared" si="21" ref="R121:R137">+R120+Q121</f>
        <v>-205765.97153691167</v>
      </c>
      <c r="S121" s="12"/>
    </row>
    <row r="122" spans="1:19" ht="15.75">
      <c r="A122" s="39"/>
      <c r="B122" s="6" t="s">
        <v>17</v>
      </c>
      <c r="C122" s="65"/>
      <c r="D122" s="73"/>
      <c r="E122" s="13">
        <f>+'Total Billings'!D61</f>
        <v>229602.94685384998</v>
      </c>
      <c r="F122" s="14">
        <f t="shared" si="16"/>
        <v>10410923.687687378</v>
      </c>
      <c r="G122" s="29"/>
      <c r="H122" s="14">
        <f t="shared" si="17"/>
        <v>57630.476185315114</v>
      </c>
      <c r="I122" s="13"/>
      <c r="J122" s="14">
        <f t="shared" si="18"/>
        <v>205765.97153691167</v>
      </c>
      <c r="K122" s="315"/>
      <c r="L122" s="15"/>
      <c r="M122" s="13">
        <f>-E122</f>
        <v>-229602.94685384998</v>
      </c>
      <c r="N122" s="14">
        <f t="shared" si="19"/>
        <v>-229602.94685384998</v>
      </c>
      <c r="O122" s="13"/>
      <c r="P122" s="14">
        <f t="shared" si="20"/>
        <v>-11234667.217018843</v>
      </c>
      <c r="Q122" s="13"/>
      <c r="R122" s="14">
        <f t="shared" si="21"/>
        <v>-205765.97153691167</v>
      </c>
      <c r="S122" s="12"/>
    </row>
    <row r="123" spans="1:19" ht="15.75">
      <c r="A123" s="39"/>
      <c r="B123" s="6" t="s">
        <v>156</v>
      </c>
      <c r="C123" s="65"/>
      <c r="D123" s="73"/>
      <c r="E123" s="13"/>
      <c r="F123" s="14">
        <f t="shared" si="16"/>
        <v>10410923.687687378</v>
      </c>
      <c r="G123" s="29">
        <f>-E122</f>
        <v>-229602.94685384998</v>
      </c>
      <c r="H123" s="14">
        <f t="shared" si="17"/>
        <v>-171972.47066853486</v>
      </c>
      <c r="I123" s="13">
        <f>+H120*$G$430/12</f>
        <v>-1348.7357688803877</v>
      </c>
      <c r="J123" s="14">
        <f t="shared" si="18"/>
        <v>204417.2357680313</v>
      </c>
      <c r="K123" s="315"/>
      <c r="L123" s="15"/>
      <c r="M123" s="13">
        <f>-G123</f>
        <v>229602.94685384998</v>
      </c>
      <c r="N123" s="14">
        <f t="shared" si="19"/>
        <v>0</v>
      </c>
      <c r="O123" s="13"/>
      <c r="P123" s="14">
        <f t="shared" si="20"/>
        <v>-11234667.217018843</v>
      </c>
      <c r="Q123" s="13">
        <f>-I123</f>
        <v>1348.7357688803877</v>
      </c>
      <c r="R123" s="14">
        <f t="shared" si="21"/>
        <v>-204417.2357680313</v>
      </c>
      <c r="S123" s="12"/>
    </row>
    <row r="124" spans="1:19" ht="15.75">
      <c r="A124" s="41" t="s">
        <v>55</v>
      </c>
      <c r="B124" s="6" t="s">
        <v>15</v>
      </c>
      <c r="C124" s="65"/>
      <c r="D124" s="73"/>
      <c r="E124" s="13"/>
      <c r="F124" s="14">
        <f t="shared" si="16"/>
        <v>10410923.687687378</v>
      </c>
      <c r="G124" s="29">
        <f>+$J$421</f>
        <v>280869.5</v>
      </c>
      <c r="H124" s="14">
        <f t="shared" si="17"/>
        <v>108897.02933146514</v>
      </c>
      <c r="I124" s="13"/>
      <c r="J124" s="14">
        <f t="shared" si="18"/>
        <v>204417.2357680313</v>
      </c>
      <c r="K124" s="315"/>
      <c r="L124" s="15"/>
      <c r="M124" s="13"/>
      <c r="N124" s="14">
        <f t="shared" si="19"/>
        <v>0</v>
      </c>
      <c r="O124" s="13">
        <f>-G124</f>
        <v>-280869.5</v>
      </c>
      <c r="P124" s="14">
        <f t="shared" si="20"/>
        <v>-11515536.717018843</v>
      </c>
      <c r="Q124" s="13"/>
      <c r="R124" s="14">
        <f t="shared" si="21"/>
        <v>-204417.2357680313</v>
      </c>
      <c r="S124" s="12"/>
    </row>
    <row r="125" spans="1:19" ht="15.75">
      <c r="A125" s="39"/>
      <c r="B125" s="6" t="s">
        <v>17</v>
      </c>
      <c r="C125" s="65"/>
      <c r="D125" s="73"/>
      <c r="E125" s="13">
        <f>+'Total Billings'!D62</f>
        <v>296206.4198318</v>
      </c>
      <c r="F125" s="14">
        <f t="shared" si="16"/>
        <v>10707130.107519178</v>
      </c>
      <c r="G125" s="29"/>
      <c r="H125" s="14">
        <f t="shared" si="17"/>
        <v>108897.02933146514</v>
      </c>
      <c r="I125" s="13"/>
      <c r="J125" s="14">
        <f t="shared" si="18"/>
        <v>204417.2357680313</v>
      </c>
      <c r="K125" s="315"/>
      <c r="L125" s="15"/>
      <c r="M125" s="13">
        <f>-E125</f>
        <v>-296206.4198318</v>
      </c>
      <c r="N125" s="14">
        <f t="shared" si="19"/>
        <v>-296206.4198318</v>
      </c>
      <c r="O125" s="13"/>
      <c r="P125" s="14">
        <f t="shared" si="20"/>
        <v>-11515536.717018843</v>
      </c>
      <c r="Q125" s="13"/>
      <c r="R125" s="14">
        <f t="shared" si="21"/>
        <v>-204417.2357680313</v>
      </c>
      <c r="S125" s="12"/>
    </row>
    <row r="126" spans="1:19" ht="15.75">
      <c r="A126" s="39"/>
      <c r="B126" s="6" t="s">
        <v>156</v>
      </c>
      <c r="C126" s="65"/>
      <c r="D126" s="73"/>
      <c r="E126" s="13"/>
      <c r="F126" s="14">
        <f t="shared" si="16"/>
        <v>10707130.107519178</v>
      </c>
      <c r="G126" s="29">
        <f>-E125</f>
        <v>-296206.4198318</v>
      </c>
      <c r="H126" s="14">
        <f t="shared" si="17"/>
        <v>-187309.39050033485</v>
      </c>
      <c r="I126" s="13">
        <f>+H123*$G$430/12</f>
        <v>-1039.000343622398</v>
      </c>
      <c r="J126" s="14">
        <f t="shared" si="18"/>
        <v>203378.2354244089</v>
      </c>
      <c r="K126" s="315"/>
      <c r="L126" s="15"/>
      <c r="M126" s="13">
        <f>-G126</f>
        <v>296206.4198318</v>
      </c>
      <c r="N126" s="14">
        <f t="shared" si="19"/>
        <v>0</v>
      </c>
      <c r="O126" s="13"/>
      <c r="P126" s="14">
        <f t="shared" si="20"/>
        <v>-11515536.717018843</v>
      </c>
      <c r="Q126" s="13">
        <f>-I126</f>
        <v>1039.000343622398</v>
      </c>
      <c r="R126" s="14">
        <f t="shared" si="21"/>
        <v>-203378.2354244089</v>
      </c>
      <c r="S126" s="12"/>
    </row>
    <row r="127" spans="1:24" ht="15.75">
      <c r="A127" s="41" t="s">
        <v>44</v>
      </c>
      <c r="B127" s="6" t="s">
        <v>15</v>
      </c>
      <c r="C127" s="65"/>
      <c r="D127" s="73"/>
      <c r="E127" s="29"/>
      <c r="F127" s="14">
        <f t="shared" si="16"/>
        <v>10707130.107519178</v>
      </c>
      <c r="G127" s="29">
        <f>+$J$421</f>
        <v>280869.5</v>
      </c>
      <c r="H127" s="14">
        <f t="shared" si="17"/>
        <v>93560.10949966515</v>
      </c>
      <c r="I127" s="29"/>
      <c r="J127" s="14">
        <f t="shared" si="18"/>
        <v>203378.2354244089</v>
      </c>
      <c r="K127" s="315"/>
      <c r="L127" s="28"/>
      <c r="M127" s="29"/>
      <c r="N127" s="14">
        <f t="shared" si="19"/>
        <v>0</v>
      </c>
      <c r="O127" s="13">
        <f>-G127</f>
        <v>-280869.5</v>
      </c>
      <c r="P127" s="14">
        <f t="shared" si="20"/>
        <v>-11796406.217018843</v>
      </c>
      <c r="Q127" s="29"/>
      <c r="R127" s="14">
        <f t="shared" si="21"/>
        <v>-203378.2354244089</v>
      </c>
      <c r="S127" s="30"/>
      <c r="T127" s="17"/>
      <c r="U127" s="17"/>
      <c r="V127" s="17"/>
      <c r="W127" s="17"/>
      <c r="X127" s="17"/>
    </row>
    <row r="128" spans="1:19" ht="15.75">
      <c r="A128" s="39"/>
      <c r="B128" s="6" t="s">
        <v>17</v>
      </c>
      <c r="C128" s="65"/>
      <c r="D128" s="73"/>
      <c r="E128" s="13">
        <f>+'Total Billings'!D63</f>
        <v>228433.50853335</v>
      </c>
      <c r="F128" s="14">
        <f t="shared" si="16"/>
        <v>10935563.616052527</v>
      </c>
      <c r="G128" s="29"/>
      <c r="H128" s="14">
        <f t="shared" si="17"/>
        <v>93560.10949966515</v>
      </c>
      <c r="I128" s="13"/>
      <c r="J128" s="14">
        <f t="shared" si="18"/>
        <v>203378.2354244089</v>
      </c>
      <c r="K128" s="315"/>
      <c r="L128" s="15"/>
      <c r="M128" s="13">
        <f>-E128</f>
        <v>-228433.50853335</v>
      </c>
      <c r="N128" s="14">
        <f t="shared" si="19"/>
        <v>-228433.50853335</v>
      </c>
      <c r="O128" s="13"/>
      <c r="P128" s="14">
        <f t="shared" si="20"/>
        <v>-11796406.217018843</v>
      </c>
      <c r="Q128" s="13"/>
      <c r="R128" s="14">
        <f t="shared" si="21"/>
        <v>-203378.2354244089</v>
      </c>
      <c r="S128" s="12"/>
    </row>
    <row r="129" spans="1:19" ht="15.75">
      <c r="A129" s="39"/>
      <c r="B129" s="6" t="s">
        <v>156</v>
      </c>
      <c r="C129" s="65"/>
      <c r="D129" s="73"/>
      <c r="E129" s="13"/>
      <c r="F129" s="14">
        <f t="shared" si="16"/>
        <v>10935563.616052527</v>
      </c>
      <c r="G129" s="29">
        <f>-E128</f>
        <v>-228433.50853335</v>
      </c>
      <c r="H129" s="14">
        <f t="shared" si="17"/>
        <v>-134873.39903368484</v>
      </c>
      <c r="I129" s="13">
        <f>+H126*$G$430/12</f>
        <v>-1131.660900939523</v>
      </c>
      <c r="J129" s="14">
        <f t="shared" si="18"/>
        <v>202246.57452346937</v>
      </c>
      <c r="K129" s="315"/>
      <c r="L129" s="15"/>
      <c r="M129" s="13">
        <f>-G129</f>
        <v>228433.50853335</v>
      </c>
      <c r="N129" s="14">
        <f t="shared" si="19"/>
        <v>0</v>
      </c>
      <c r="O129" s="13"/>
      <c r="P129" s="14">
        <f t="shared" si="20"/>
        <v>-11796406.217018843</v>
      </c>
      <c r="Q129" s="13">
        <f>-I129</f>
        <v>1131.660900939523</v>
      </c>
      <c r="R129" s="14">
        <f t="shared" si="21"/>
        <v>-202246.57452346937</v>
      </c>
      <c r="S129" s="12"/>
    </row>
    <row r="130" spans="1:19" ht="15.75">
      <c r="A130" s="41" t="s">
        <v>56</v>
      </c>
      <c r="B130" s="6" t="s">
        <v>15</v>
      </c>
      <c r="C130" s="65"/>
      <c r="D130" s="73"/>
      <c r="E130" s="13"/>
      <c r="F130" s="14">
        <f t="shared" si="16"/>
        <v>10935563.616052527</v>
      </c>
      <c r="G130" s="29">
        <f>+$J$421</f>
        <v>280869.5</v>
      </c>
      <c r="H130" s="14">
        <f t="shared" si="17"/>
        <v>145996.10096631516</v>
      </c>
      <c r="I130" s="13"/>
      <c r="J130" s="14">
        <f t="shared" si="18"/>
        <v>202246.57452346937</v>
      </c>
      <c r="K130" s="315"/>
      <c r="L130" s="15"/>
      <c r="M130" s="13"/>
      <c r="N130" s="14">
        <f t="shared" si="19"/>
        <v>0</v>
      </c>
      <c r="O130" s="13">
        <f>-G130</f>
        <v>-280869.5</v>
      </c>
      <c r="P130" s="14">
        <f t="shared" si="20"/>
        <v>-12077275.717018843</v>
      </c>
      <c r="Q130" s="13"/>
      <c r="R130" s="14">
        <f t="shared" si="21"/>
        <v>-202246.57452346937</v>
      </c>
      <c r="S130" s="12"/>
    </row>
    <row r="131" spans="1:19" ht="15.75">
      <c r="A131" s="39"/>
      <c r="B131" s="6" t="s">
        <v>17</v>
      </c>
      <c r="C131" s="65"/>
      <c r="D131" s="73"/>
      <c r="E131" s="13">
        <f>+'Total Billings'!D64</f>
        <v>280305.2882975</v>
      </c>
      <c r="F131" s="14">
        <f t="shared" si="16"/>
        <v>11215868.904350027</v>
      </c>
      <c r="G131" s="29"/>
      <c r="H131" s="14">
        <f t="shared" si="17"/>
        <v>145996.10096631516</v>
      </c>
      <c r="I131" s="13"/>
      <c r="J131" s="14">
        <f t="shared" si="18"/>
        <v>202246.57452346937</v>
      </c>
      <c r="K131" s="315"/>
      <c r="L131" s="15"/>
      <c r="M131" s="13">
        <f>-E131</f>
        <v>-280305.2882975</v>
      </c>
      <c r="N131" s="14">
        <f t="shared" si="19"/>
        <v>-280305.2882975</v>
      </c>
      <c r="O131" s="13"/>
      <c r="P131" s="14">
        <f t="shared" si="20"/>
        <v>-12077275.717018843</v>
      </c>
      <c r="Q131" s="13"/>
      <c r="R131" s="14">
        <f t="shared" si="21"/>
        <v>-202246.57452346937</v>
      </c>
      <c r="S131" s="12"/>
    </row>
    <row r="132" spans="1:19" ht="15.75">
      <c r="A132" s="39"/>
      <c r="B132" s="6" t="s">
        <v>156</v>
      </c>
      <c r="C132" s="65"/>
      <c r="D132" s="73"/>
      <c r="E132" s="13"/>
      <c r="F132" s="14">
        <f t="shared" si="16"/>
        <v>11215868.904350027</v>
      </c>
      <c r="G132" s="29">
        <f>-E131</f>
        <v>-280305.2882975</v>
      </c>
      <c r="H132" s="14">
        <f t="shared" si="17"/>
        <v>-134309.18733118483</v>
      </c>
      <c r="I132" s="13">
        <f>+H129*$G$430/12</f>
        <v>-814.8601191618459</v>
      </c>
      <c r="J132" s="14">
        <f t="shared" si="18"/>
        <v>201431.71440430754</v>
      </c>
      <c r="K132" s="315"/>
      <c r="L132" s="15"/>
      <c r="M132" s="13">
        <f>-G132</f>
        <v>280305.2882975</v>
      </c>
      <c r="N132" s="14">
        <f t="shared" si="19"/>
        <v>0</v>
      </c>
      <c r="O132" s="13"/>
      <c r="P132" s="14">
        <f t="shared" si="20"/>
        <v>-12077275.717018843</v>
      </c>
      <c r="Q132" s="13">
        <f>-I132</f>
        <v>814.8601191618459</v>
      </c>
      <c r="R132" s="14">
        <f t="shared" si="21"/>
        <v>-201431.71440430754</v>
      </c>
      <c r="S132" s="12"/>
    </row>
    <row r="133" spans="1:19" ht="15.75">
      <c r="A133" s="41" t="s">
        <v>46</v>
      </c>
      <c r="B133" s="309" t="s">
        <v>15</v>
      </c>
      <c r="C133" s="65"/>
      <c r="D133" s="73"/>
      <c r="E133" s="13"/>
      <c r="F133" s="14">
        <f t="shared" si="16"/>
        <v>11215868.904350027</v>
      </c>
      <c r="G133" s="29">
        <f>+$J$421</f>
        <v>280869.5</v>
      </c>
      <c r="H133" s="14">
        <f t="shared" si="17"/>
        <v>146560.31266881517</v>
      </c>
      <c r="I133" s="13"/>
      <c r="J133" s="14">
        <f t="shared" si="18"/>
        <v>201431.71440430754</v>
      </c>
      <c r="K133" s="315"/>
      <c r="L133" s="15"/>
      <c r="M133" s="13"/>
      <c r="N133" s="14">
        <f t="shared" si="19"/>
        <v>0</v>
      </c>
      <c r="O133" s="13">
        <f>-G133</f>
        <v>-280869.5</v>
      </c>
      <c r="P133" s="14">
        <f t="shared" si="20"/>
        <v>-12358145.217018843</v>
      </c>
      <c r="Q133" s="13"/>
      <c r="R133" s="14">
        <f t="shared" si="21"/>
        <v>-201431.71440430754</v>
      </c>
      <c r="S133" s="12"/>
    </row>
    <row r="134" spans="1:19" ht="15.75">
      <c r="A134" s="39"/>
      <c r="B134" s="6" t="s">
        <v>17</v>
      </c>
      <c r="C134" s="65"/>
      <c r="D134" s="73"/>
      <c r="E134" s="13">
        <f>+'Total Billings'!D65</f>
        <v>227668.48746614</v>
      </c>
      <c r="F134" s="14">
        <f t="shared" si="16"/>
        <v>11443537.391816167</v>
      </c>
      <c r="G134" s="29"/>
      <c r="H134" s="14">
        <f t="shared" si="17"/>
        <v>146560.31266881517</v>
      </c>
      <c r="I134" s="13"/>
      <c r="J134" s="14">
        <f t="shared" si="18"/>
        <v>201431.71440430754</v>
      </c>
      <c r="K134" s="315"/>
      <c r="L134" s="15"/>
      <c r="M134" s="13">
        <f>-E134</f>
        <v>-227668.48746614</v>
      </c>
      <c r="N134" s="14">
        <f t="shared" si="19"/>
        <v>-227668.48746614</v>
      </c>
      <c r="O134" s="13"/>
      <c r="P134" s="14">
        <f t="shared" si="20"/>
        <v>-12358145.217018843</v>
      </c>
      <c r="Q134" s="13"/>
      <c r="R134" s="14">
        <f t="shared" si="21"/>
        <v>-201431.71440430754</v>
      </c>
      <c r="S134" s="12"/>
    </row>
    <row r="135" spans="1:19" ht="15.75">
      <c r="A135" s="39"/>
      <c r="B135" s="6" t="s">
        <v>156</v>
      </c>
      <c r="C135" s="65"/>
      <c r="D135" s="73"/>
      <c r="E135" s="13"/>
      <c r="F135" s="14">
        <f t="shared" si="16"/>
        <v>11443537.391816167</v>
      </c>
      <c r="G135" s="29">
        <f>-E134</f>
        <v>-227668.48746614</v>
      </c>
      <c r="H135" s="14">
        <f t="shared" si="17"/>
        <v>-81108.17479732484</v>
      </c>
      <c r="I135" s="13">
        <f>+H132*$G$430/12</f>
        <v>-811.4513401259082</v>
      </c>
      <c r="J135" s="14">
        <f t="shared" si="18"/>
        <v>200620.26306418164</v>
      </c>
      <c r="K135" s="315"/>
      <c r="L135" s="15"/>
      <c r="M135" s="13">
        <f>-G135</f>
        <v>227668.48746614</v>
      </c>
      <c r="N135" s="14">
        <f t="shared" si="19"/>
        <v>0</v>
      </c>
      <c r="O135" s="13"/>
      <c r="P135" s="14">
        <f t="shared" si="20"/>
        <v>-12358145.217018843</v>
      </c>
      <c r="Q135" s="13">
        <f>-I135</f>
        <v>811.4513401259082</v>
      </c>
      <c r="R135" s="14">
        <f t="shared" si="21"/>
        <v>-200620.26306418164</v>
      </c>
      <c r="S135" s="12"/>
    </row>
    <row r="136" spans="1:19" ht="15.75">
      <c r="A136" s="39"/>
      <c r="B136" s="6" t="s">
        <v>101</v>
      </c>
      <c r="C136" s="65"/>
      <c r="D136" s="73"/>
      <c r="E136" s="13">
        <f>+'Total Billings'!D66</f>
        <v>424389.491532</v>
      </c>
      <c r="F136" s="14">
        <f t="shared" si="16"/>
        <v>11867926.883348167</v>
      </c>
      <c r="G136" s="29"/>
      <c r="H136" s="14">
        <f t="shared" si="17"/>
        <v>-81108.17479732484</v>
      </c>
      <c r="I136" s="13"/>
      <c r="J136" s="14">
        <f t="shared" si="18"/>
        <v>200620.26306418164</v>
      </c>
      <c r="K136" s="315"/>
      <c r="L136" s="15"/>
      <c r="M136" s="13">
        <f>-E136</f>
        <v>-424389.491532</v>
      </c>
      <c r="N136" s="14">
        <f t="shared" si="19"/>
        <v>-424389.491532</v>
      </c>
      <c r="O136" s="13"/>
      <c r="P136" s="14">
        <f t="shared" si="20"/>
        <v>-12358145.217018843</v>
      </c>
      <c r="Q136" s="13"/>
      <c r="R136" s="14">
        <f t="shared" si="21"/>
        <v>-200620.26306418164</v>
      </c>
      <c r="S136" s="12"/>
    </row>
    <row r="137" spans="1:19" ht="15.75">
      <c r="A137" s="342">
        <f>+H137+J137</f>
        <v>-304877.40326514316</v>
      </c>
      <c r="B137" s="6" t="s">
        <v>157</v>
      </c>
      <c r="C137" s="68">
        <f>+F137-F94</f>
        <v>3545654.5881947614</v>
      </c>
      <c r="D137" s="74">
        <f>+G99+G102+G105+G108+G111+G114+G118+G121+G124+G127+G130+G133</f>
        <v>3623724.25</v>
      </c>
      <c r="E137" s="13"/>
      <c r="F137" s="70">
        <f t="shared" si="16"/>
        <v>11867926.883348167</v>
      </c>
      <c r="G137" s="29">
        <f>-E136</f>
        <v>-424389.491532</v>
      </c>
      <c r="H137" s="14">
        <f t="shared" si="17"/>
        <v>-505497.6663293248</v>
      </c>
      <c r="I137" s="13"/>
      <c r="J137" s="64">
        <f t="shared" si="18"/>
        <v>200620.26306418164</v>
      </c>
      <c r="K137" s="316">
        <f>+J137-J94</f>
        <v>18563.336914862768</v>
      </c>
      <c r="L137" s="15"/>
      <c r="M137" s="13">
        <f>-G137</f>
        <v>424389.491532</v>
      </c>
      <c r="N137" s="14">
        <f t="shared" si="19"/>
        <v>0</v>
      </c>
      <c r="O137" s="13"/>
      <c r="P137" s="14">
        <f t="shared" si="20"/>
        <v>-12358145.217018843</v>
      </c>
      <c r="Q137" s="13"/>
      <c r="R137" s="14">
        <f t="shared" si="21"/>
        <v>-200620.26306418164</v>
      </c>
      <c r="S137" s="12"/>
    </row>
    <row r="138" spans="1:19" ht="15.75">
      <c r="A138" s="40" t="s">
        <v>102</v>
      </c>
      <c r="B138" s="6" t="s">
        <v>160</v>
      </c>
      <c r="C138" s="65"/>
      <c r="D138" s="73"/>
      <c r="E138" s="13">
        <f>+'Total Billings'!D75</f>
        <v>-424389.491532</v>
      </c>
      <c r="F138" s="14">
        <f>+F137+E138</f>
        <v>11443537.391816167</v>
      </c>
      <c r="G138" s="13"/>
      <c r="H138" s="14">
        <f>+H137+G138</f>
        <v>-505497.6663293248</v>
      </c>
      <c r="I138" s="25"/>
      <c r="J138" s="14">
        <f>+J137+I138</f>
        <v>200620.26306418164</v>
      </c>
      <c r="K138" s="315"/>
      <c r="L138" s="15"/>
      <c r="M138" s="13">
        <f>-E138</f>
        <v>424389.491532</v>
      </c>
      <c r="N138" s="14">
        <f>+N137+M138</f>
        <v>424389.491532</v>
      </c>
      <c r="O138" s="13"/>
      <c r="P138" s="14">
        <f>+P137+O138</f>
        <v>-12358145.217018843</v>
      </c>
      <c r="Q138" s="13"/>
      <c r="R138" s="14">
        <f>+R137+Q138</f>
        <v>-200620.26306418164</v>
      </c>
      <c r="S138" s="12"/>
    </row>
    <row r="139" spans="1:19" ht="15.75">
      <c r="A139" s="39"/>
      <c r="B139" s="6" t="s">
        <v>161</v>
      </c>
      <c r="C139" s="65"/>
      <c r="D139" s="73"/>
      <c r="E139" s="13"/>
      <c r="F139" s="14">
        <f>+F138+E139</f>
        <v>11443537.391816167</v>
      </c>
      <c r="G139" s="13">
        <f>-E138</f>
        <v>424389.491532</v>
      </c>
      <c r="H139" s="14">
        <f aca="true" t="shared" si="22" ref="H139:H169">+H138+G139</f>
        <v>-81108.17479732481</v>
      </c>
      <c r="I139" s="25"/>
      <c r="J139" s="14">
        <f aca="true" t="shared" si="23" ref="J139:J169">+J138+I139</f>
        <v>200620.26306418164</v>
      </c>
      <c r="K139" s="315"/>
      <c r="L139" s="15"/>
      <c r="M139" s="13">
        <f>-G139</f>
        <v>-424389.491532</v>
      </c>
      <c r="N139" s="14">
        <f>+N138+M139</f>
        <v>0</v>
      </c>
      <c r="O139" s="13"/>
      <c r="P139" s="14">
        <f>+P138+O139</f>
        <v>-12358145.217018843</v>
      </c>
      <c r="Q139" s="13"/>
      <c r="R139" s="14">
        <f>+R138+Q139</f>
        <v>-200620.26306418164</v>
      </c>
      <c r="S139" s="12"/>
    </row>
    <row r="140" spans="1:19" ht="15.75">
      <c r="A140" s="39"/>
      <c r="B140" s="6"/>
      <c r="C140" s="65"/>
      <c r="D140" s="73"/>
      <c r="E140" s="13"/>
      <c r="F140" s="14">
        <f>+F139+E140</f>
        <v>11443537.391816167</v>
      </c>
      <c r="G140" s="13"/>
      <c r="H140" s="14">
        <f t="shared" si="22"/>
        <v>-81108.17479732481</v>
      </c>
      <c r="I140" s="13"/>
      <c r="J140" s="14">
        <f t="shared" si="23"/>
        <v>200620.26306418164</v>
      </c>
      <c r="K140" s="315"/>
      <c r="L140" s="15"/>
      <c r="M140" s="13"/>
      <c r="N140" s="14">
        <f>+N139+M140</f>
        <v>0</v>
      </c>
      <c r="O140" s="13"/>
      <c r="P140" s="14">
        <f>+P139+O140</f>
        <v>-12358145.217018843</v>
      </c>
      <c r="Q140" s="13"/>
      <c r="R140" s="14">
        <f>+R139+Q140</f>
        <v>-200620.26306418164</v>
      </c>
      <c r="S140" s="12"/>
    </row>
    <row r="141" spans="1:19" ht="15.75">
      <c r="A141" s="39"/>
      <c r="B141" s="6"/>
      <c r="C141" s="65"/>
      <c r="D141" s="73"/>
      <c r="E141" s="13"/>
      <c r="F141" s="14">
        <f>+F140+E141</f>
        <v>11443537.391816167</v>
      </c>
      <c r="G141" s="13"/>
      <c r="H141" s="14">
        <f t="shared" si="22"/>
        <v>-81108.17479732481</v>
      </c>
      <c r="I141" s="13"/>
      <c r="J141" s="14">
        <f t="shared" si="23"/>
        <v>200620.26306418164</v>
      </c>
      <c r="K141" s="315"/>
      <c r="L141" s="15"/>
      <c r="M141" s="13"/>
      <c r="N141" s="14">
        <f>+N140+M141</f>
        <v>0</v>
      </c>
      <c r="O141" s="13"/>
      <c r="P141" s="14">
        <f>+P140+O141</f>
        <v>-12358145.217018843</v>
      </c>
      <c r="Q141" s="13"/>
      <c r="R141" s="14">
        <f>+R140+Q141</f>
        <v>-200620.26306418164</v>
      </c>
      <c r="S141" s="12"/>
    </row>
    <row r="142" spans="1:19" ht="15.75">
      <c r="A142" s="41" t="s">
        <v>47</v>
      </c>
      <c r="B142" s="309" t="s">
        <v>15</v>
      </c>
      <c r="C142" s="65"/>
      <c r="D142" s="73"/>
      <c r="E142" s="13"/>
      <c r="F142" s="14">
        <f>+F139+E142</f>
        <v>11443537.391816167</v>
      </c>
      <c r="G142" s="29">
        <f>+$J$421</f>
        <v>280869.5</v>
      </c>
      <c r="H142" s="14">
        <f t="shared" si="22"/>
        <v>199761.3252026752</v>
      </c>
      <c r="I142" s="25"/>
      <c r="J142" s="14">
        <f t="shared" si="23"/>
        <v>200620.26306418164</v>
      </c>
      <c r="K142" s="315"/>
      <c r="L142" s="15"/>
      <c r="M142" s="13"/>
      <c r="N142" s="14">
        <f>+N139+M142</f>
        <v>0</v>
      </c>
      <c r="O142" s="13">
        <f>-G142</f>
        <v>-280869.5</v>
      </c>
      <c r="P142" s="14">
        <f>+P139+O142</f>
        <v>-12639014.717018843</v>
      </c>
      <c r="Q142" s="13"/>
      <c r="R142" s="14">
        <f>+R139+Q142</f>
        <v>-200620.26306418164</v>
      </c>
      <c r="S142" s="12"/>
    </row>
    <row r="143" spans="1:19" ht="15.75">
      <c r="A143" s="39"/>
      <c r="B143" s="6" t="s">
        <v>17</v>
      </c>
      <c r="C143" s="65"/>
      <c r="D143" s="73"/>
      <c r="E143" s="13">
        <f>+'Total Billings'!D76</f>
        <v>319983.82372586</v>
      </c>
      <c r="F143" s="14">
        <f aca="true" t="shared" si="24" ref="F143:F150">+F142+E143</f>
        <v>11763521.215542028</v>
      </c>
      <c r="G143" s="13"/>
      <c r="H143" s="14">
        <f t="shared" si="22"/>
        <v>199761.3252026752</v>
      </c>
      <c r="I143" s="25"/>
      <c r="J143" s="14">
        <f t="shared" si="23"/>
        <v>200620.26306418164</v>
      </c>
      <c r="K143" s="315"/>
      <c r="L143" s="15"/>
      <c r="M143" s="13">
        <f>-E143</f>
        <v>-319983.82372586</v>
      </c>
      <c r="N143" s="14">
        <f aca="true" t="shared" si="25" ref="N143:N150">+N142+M143</f>
        <v>-319983.82372586</v>
      </c>
      <c r="O143" s="13"/>
      <c r="P143" s="14">
        <f aca="true" t="shared" si="26" ref="P143:P150">+P142+O143</f>
        <v>-12639014.717018843</v>
      </c>
      <c r="Q143" s="13"/>
      <c r="R143" s="14">
        <f aca="true" t="shared" si="27" ref="R143:R150">+R142+Q143</f>
        <v>-200620.26306418164</v>
      </c>
      <c r="S143" s="12"/>
    </row>
    <row r="144" spans="1:19" ht="15.75">
      <c r="A144" s="39"/>
      <c r="B144" s="6" t="s">
        <v>156</v>
      </c>
      <c r="C144" s="65"/>
      <c r="D144" s="73"/>
      <c r="E144" s="13"/>
      <c r="F144" s="14">
        <f t="shared" si="24"/>
        <v>11763521.215542028</v>
      </c>
      <c r="G144" s="13">
        <f>-E143</f>
        <v>-319983.82372586</v>
      </c>
      <c r="H144" s="14">
        <f t="shared" si="22"/>
        <v>-120222.4985231848</v>
      </c>
      <c r="I144" s="13">
        <f>(+H137)*$G$430/12</f>
        <v>-3054.0484007396703</v>
      </c>
      <c r="J144" s="14">
        <f t="shared" si="23"/>
        <v>197566.21466344196</v>
      </c>
      <c r="K144" s="315"/>
      <c r="L144" s="15"/>
      <c r="M144" s="13">
        <f>-G144</f>
        <v>319983.82372586</v>
      </c>
      <c r="N144" s="14">
        <f t="shared" si="25"/>
        <v>0</v>
      </c>
      <c r="O144" s="13"/>
      <c r="P144" s="14">
        <f t="shared" si="26"/>
        <v>-12639014.717018843</v>
      </c>
      <c r="Q144" s="13">
        <f>-I144</f>
        <v>3054.0484007396703</v>
      </c>
      <c r="R144" s="14">
        <f t="shared" si="27"/>
        <v>-197566.21466344196</v>
      </c>
      <c r="S144" s="12"/>
    </row>
    <row r="145" spans="1:19" ht="15.75">
      <c r="A145" s="41" t="s">
        <v>81</v>
      </c>
      <c r="B145" s="309" t="s">
        <v>15</v>
      </c>
      <c r="C145" s="65"/>
      <c r="D145" s="73"/>
      <c r="E145" s="13"/>
      <c r="F145" s="14">
        <f t="shared" si="24"/>
        <v>11763521.215542028</v>
      </c>
      <c r="G145" s="29">
        <f>+$J$421</f>
        <v>280869.5</v>
      </c>
      <c r="H145" s="14">
        <f t="shared" si="22"/>
        <v>160647.0014768152</v>
      </c>
      <c r="I145" s="25"/>
      <c r="J145" s="14">
        <f t="shared" si="23"/>
        <v>197566.21466344196</v>
      </c>
      <c r="K145" s="315"/>
      <c r="L145" s="15"/>
      <c r="M145" s="13"/>
      <c r="N145" s="14">
        <f t="shared" si="25"/>
        <v>0</v>
      </c>
      <c r="O145" s="13">
        <f>-G145</f>
        <v>-280869.5</v>
      </c>
      <c r="P145" s="14">
        <f t="shared" si="26"/>
        <v>-12919884.217018843</v>
      </c>
      <c r="Q145" s="13"/>
      <c r="R145" s="14">
        <f t="shared" si="27"/>
        <v>-197566.21466344196</v>
      </c>
      <c r="S145" s="12"/>
    </row>
    <row r="146" spans="1:19" ht="15.75">
      <c r="A146" s="39"/>
      <c r="B146" s="6" t="s">
        <v>17</v>
      </c>
      <c r="C146" s="65"/>
      <c r="D146" s="73"/>
      <c r="E146" s="13">
        <f>+'Total Billings'!D77</f>
        <v>272588.96240701305</v>
      </c>
      <c r="F146" s="14">
        <f t="shared" si="24"/>
        <v>12036110.177949041</v>
      </c>
      <c r="G146" s="13"/>
      <c r="H146" s="14">
        <f t="shared" si="22"/>
        <v>160647.0014768152</v>
      </c>
      <c r="I146" s="25"/>
      <c r="J146" s="14">
        <f t="shared" si="23"/>
        <v>197566.21466344196</v>
      </c>
      <c r="K146" s="315"/>
      <c r="L146" s="15"/>
      <c r="M146" s="13">
        <f>-E146</f>
        <v>-272588.96240701305</v>
      </c>
      <c r="N146" s="14">
        <f t="shared" si="25"/>
        <v>-272588.96240701305</v>
      </c>
      <c r="O146" s="13"/>
      <c r="P146" s="14">
        <f t="shared" si="26"/>
        <v>-12919884.217018843</v>
      </c>
      <c r="Q146" s="13"/>
      <c r="R146" s="14">
        <f t="shared" si="27"/>
        <v>-197566.21466344196</v>
      </c>
      <c r="S146" s="12"/>
    </row>
    <row r="147" spans="1:19" ht="15.75">
      <c r="A147" s="39"/>
      <c r="B147" s="6" t="s">
        <v>156</v>
      </c>
      <c r="C147" s="65"/>
      <c r="D147" s="73"/>
      <c r="E147" s="13"/>
      <c r="F147" s="14">
        <f t="shared" si="24"/>
        <v>12036110.177949041</v>
      </c>
      <c r="G147" s="13">
        <f>-E146</f>
        <v>-272588.96240701305</v>
      </c>
      <c r="H147" s="14">
        <f t="shared" si="22"/>
        <v>-111941.96093019785</v>
      </c>
      <c r="I147" s="13">
        <f>+H144*$G$430/12</f>
        <v>-726.3442619109081</v>
      </c>
      <c r="J147" s="14">
        <f t="shared" si="23"/>
        <v>196839.87040153105</v>
      </c>
      <c r="K147" s="315"/>
      <c r="L147" s="15"/>
      <c r="M147" s="13">
        <f>-G147</f>
        <v>272588.96240701305</v>
      </c>
      <c r="N147" s="14">
        <f t="shared" si="25"/>
        <v>0</v>
      </c>
      <c r="O147" s="13"/>
      <c r="P147" s="14">
        <f t="shared" si="26"/>
        <v>-12919884.217018843</v>
      </c>
      <c r="Q147" s="13">
        <f>-I147</f>
        <v>726.3442619109081</v>
      </c>
      <c r="R147" s="14">
        <f t="shared" si="27"/>
        <v>-196839.87040153105</v>
      </c>
      <c r="S147" s="12"/>
    </row>
    <row r="148" spans="1:19" ht="15.75">
      <c r="A148" s="41" t="s">
        <v>49</v>
      </c>
      <c r="B148" s="309" t="s">
        <v>15</v>
      </c>
      <c r="C148" s="65"/>
      <c r="D148" s="73"/>
      <c r="E148" s="13"/>
      <c r="F148" s="14">
        <f t="shared" si="24"/>
        <v>12036110.177949041</v>
      </c>
      <c r="G148" s="29">
        <f>+$J$421</f>
        <v>280869.5</v>
      </c>
      <c r="H148" s="14">
        <f t="shared" si="22"/>
        <v>168927.53906980215</v>
      </c>
      <c r="I148" s="25"/>
      <c r="J148" s="14">
        <f t="shared" si="23"/>
        <v>196839.87040153105</v>
      </c>
      <c r="K148" s="315"/>
      <c r="L148" s="15"/>
      <c r="M148" s="13"/>
      <c r="N148" s="14">
        <f t="shared" si="25"/>
        <v>0</v>
      </c>
      <c r="O148" s="13">
        <f>-G148</f>
        <v>-280869.5</v>
      </c>
      <c r="P148" s="14">
        <f t="shared" si="26"/>
        <v>-13200753.717018843</v>
      </c>
      <c r="Q148" s="13"/>
      <c r="R148" s="14">
        <f t="shared" si="27"/>
        <v>-196839.87040153105</v>
      </c>
      <c r="S148" s="12"/>
    </row>
    <row r="149" spans="1:19" ht="15.75">
      <c r="A149" s="39"/>
      <c r="B149" s="6" t="s">
        <v>17</v>
      </c>
      <c r="C149" s="65"/>
      <c r="D149" s="73"/>
      <c r="E149" s="13">
        <f>+'Total Billings'!D78</f>
        <v>327677.01939449296</v>
      </c>
      <c r="F149" s="14">
        <f t="shared" si="24"/>
        <v>12363787.197343534</v>
      </c>
      <c r="G149" s="13"/>
      <c r="H149" s="14">
        <f t="shared" si="22"/>
        <v>168927.53906980215</v>
      </c>
      <c r="I149" s="25"/>
      <c r="J149" s="14">
        <f t="shared" si="23"/>
        <v>196839.87040153105</v>
      </c>
      <c r="K149" s="315"/>
      <c r="L149" s="15"/>
      <c r="M149" s="13">
        <f>-E149</f>
        <v>-327677.01939449296</v>
      </c>
      <c r="N149" s="14">
        <f t="shared" si="25"/>
        <v>-327677.01939449296</v>
      </c>
      <c r="O149" s="13"/>
      <c r="P149" s="14">
        <f t="shared" si="26"/>
        <v>-13200753.717018843</v>
      </c>
      <c r="Q149" s="13"/>
      <c r="R149" s="14">
        <f t="shared" si="27"/>
        <v>-196839.87040153105</v>
      </c>
      <c r="S149" s="12"/>
    </row>
    <row r="150" spans="1:19" ht="15.75">
      <c r="A150" s="39"/>
      <c r="B150" s="6" t="s">
        <v>156</v>
      </c>
      <c r="C150" s="65"/>
      <c r="D150" s="73"/>
      <c r="E150" s="13"/>
      <c r="F150" s="14">
        <f t="shared" si="24"/>
        <v>12363787.197343534</v>
      </c>
      <c r="G150" s="13">
        <f>-E149</f>
        <v>-327677.01939449296</v>
      </c>
      <c r="H150" s="14">
        <f t="shared" si="22"/>
        <v>-158749.4803246908</v>
      </c>
      <c r="I150" s="13">
        <f>+H147*$G$430/12</f>
        <v>-676.3160139532787</v>
      </c>
      <c r="J150" s="14">
        <f t="shared" si="23"/>
        <v>196163.55438757778</v>
      </c>
      <c r="K150" s="315"/>
      <c r="L150" s="15"/>
      <c r="M150" s="13">
        <f>-G150</f>
        <v>327677.01939449296</v>
      </c>
      <c r="N150" s="14">
        <f t="shared" si="25"/>
        <v>0</v>
      </c>
      <c r="O150" s="13"/>
      <c r="P150" s="14">
        <f t="shared" si="26"/>
        <v>-13200753.717018843</v>
      </c>
      <c r="Q150" s="13">
        <f>-I150</f>
        <v>676.3160139532787</v>
      </c>
      <c r="R150" s="14">
        <f t="shared" si="27"/>
        <v>-196163.55438757778</v>
      </c>
      <c r="S150" s="12"/>
    </row>
    <row r="151" spans="1:19" ht="15.75">
      <c r="A151" s="41" t="s">
        <v>50</v>
      </c>
      <c r="B151" s="6" t="s">
        <v>153</v>
      </c>
      <c r="C151" s="65"/>
      <c r="D151" s="73"/>
      <c r="E151" s="13"/>
      <c r="F151" s="14">
        <f>+F150+E151</f>
        <v>12363787.197343534</v>
      </c>
      <c r="G151" s="29">
        <f>+$J$426</f>
        <v>283198.9641666667</v>
      </c>
      <c r="H151" s="14">
        <f t="shared" si="22"/>
        <v>124449.48384197586</v>
      </c>
      <c r="I151" s="13"/>
      <c r="J151" s="14">
        <f t="shared" si="23"/>
        <v>196163.55438757778</v>
      </c>
      <c r="K151" s="315"/>
      <c r="L151" s="15"/>
      <c r="M151" s="13"/>
      <c r="N151" s="14">
        <f>+N150+M151</f>
        <v>0</v>
      </c>
      <c r="O151" s="13">
        <f>-G151</f>
        <v>-283198.9641666667</v>
      </c>
      <c r="P151" s="14">
        <f>+P150+O151</f>
        <v>-13483952.68118551</v>
      </c>
      <c r="Q151" s="13"/>
      <c r="R151" s="14">
        <f>+R150+Q151</f>
        <v>-196163.55438757778</v>
      </c>
      <c r="S151" s="12"/>
    </row>
    <row r="152" spans="1:19" ht="15.75">
      <c r="A152" s="39"/>
      <c r="B152" s="6" t="s">
        <v>17</v>
      </c>
      <c r="C152" s="65"/>
      <c r="D152" s="73"/>
      <c r="E152" s="13">
        <f>+'Total Billings'!D79</f>
        <v>261429.84701102</v>
      </c>
      <c r="F152" s="14">
        <f aca="true" t="shared" si="28" ref="F152:F159">+F151+E152</f>
        <v>12625217.044354554</v>
      </c>
      <c r="G152" s="13"/>
      <c r="H152" s="14">
        <f t="shared" si="22"/>
        <v>124449.48384197586</v>
      </c>
      <c r="I152" s="13"/>
      <c r="J152" s="14">
        <f t="shared" si="23"/>
        <v>196163.55438757778</v>
      </c>
      <c r="K152" s="315"/>
      <c r="L152" s="15"/>
      <c r="M152" s="13">
        <f>-E152</f>
        <v>-261429.84701102</v>
      </c>
      <c r="N152" s="14">
        <f aca="true" t="shared" si="29" ref="N152:N159">+N151+M152</f>
        <v>-261429.84701102</v>
      </c>
      <c r="O152" s="13"/>
      <c r="P152" s="14">
        <f aca="true" t="shared" si="30" ref="P152:P169">+P151+O152</f>
        <v>-13483952.68118551</v>
      </c>
      <c r="Q152" s="13"/>
      <c r="R152" s="14">
        <f aca="true" t="shared" si="31" ref="R152:R169">+R151+Q152</f>
        <v>-196163.55438757778</v>
      </c>
      <c r="S152" s="12"/>
    </row>
    <row r="153" spans="1:19" ht="15.75">
      <c r="A153" s="39"/>
      <c r="B153" s="6" t="s">
        <v>156</v>
      </c>
      <c r="C153" s="65"/>
      <c r="D153" s="73"/>
      <c r="E153" s="13"/>
      <c r="F153" s="14">
        <f t="shared" si="28"/>
        <v>12625217.044354554</v>
      </c>
      <c r="G153" s="13">
        <f>-E152</f>
        <v>-261429.84701102</v>
      </c>
      <c r="H153" s="14">
        <f t="shared" si="22"/>
        <v>-136980.36316904414</v>
      </c>
      <c r="I153" s="13">
        <f>+H150*$G$430/12</f>
        <v>-959.1114436283402</v>
      </c>
      <c r="J153" s="14">
        <f t="shared" si="23"/>
        <v>195204.44294394943</v>
      </c>
      <c r="K153" s="315"/>
      <c r="L153" s="15"/>
      <c r="M153" s="13">
        <f>-G153</f>
        <v>261429.84701102</v>
      </c>
      <c r="N153" s="14">
        <f t="shared" si="29"/>
        <v>0</v>
      </c>
      <c r="O153" s="13"/>
      <c r="P153" s="14">
        <f t="shared" si="30"/>
        <v>-13483952.68118551</v>
      </c>
      <c r="Q153" s="13">
        <f>-I153</f>
        <v>959.1114436283402</v>
      </c>
      <c r="R153" s="14">
        <f t="shared" si="31"/>
        <v>-195204.44294394943</v>
      </c>
      <c r="S153" s="12"/>
    </row>
    <row r="154" spans="1:19" ht="15.75">
      <c r="A154" s="41" t="s">
        <v>51</v>
      </c>
      <c r="B154" s="6" t="s">
        <v>153</v>
      </c>
      <c r="C154" s="65"/>
      <c r="D154" s="73"/>
      <c r="E154" s="13"/>
      <c r="F154" s="14">
        <f t="shared" si="28"/>
        <v>12625217.044354554</v>
      </c>
      <c r="G154" s="29">
        <f>+$J$426</f>
        <v>283198.9641666667</v>
      </c>
      <c r="H154" s="14">
        <f t="shared" si="22"/>
        <v>146218.60099762253</v>
      </c>
      <c r="I154" s="13"/>
      <c r="J154" s="14">
        <f t="shared" si="23"/>
        <v>195204.44294394943</v>
      </c>
      <c r="K154" s="315"/>
      <c r="L154" s="15"/>
      <c r="M154" s="13"/>
      <c r="N154" s="14">
        <f t="shared" si="29"/>
        <v>0</v>
      </c>
      <c r="O154" s="13">
        <f>-G154</f>
        <v>-283198.9641666667</v>
      </c>
      <c r="P154" s="14">
        <f t="shared" si="30"/>
        <v>-13767151.645352177</v>
      </c>
      <c r="Q154" s="13"/>
      <c r="R154" s="14">
        <f t="shared" si="31"/>
        <v>-195204.44294394943</v>
      </c>
      <c r="S154" s="12"/>
    </row>
    <row r="155" spans="1:19" ht="15.75">
      <c r="A155" s="39"/>
      <c r="B155" s="6" t="s">
        <v>17</v>
      </c>
      <c r="C155" s="65"/>
      <c r="D155" s="73"/>
      <c r="E155" s="13">
        <f>+'Total Billings'!D80</f>
        <v>315395.30452239997</v>
      </c>
      <c r="F155" s="14">
        <f t="shared" si="28"/>
        <v>12940612.348876955</v>
      </c>
      <c r="G155" s="13"/>
      <c r="H155" s="14">
        <f t="shared" si="22"/>
        <v>146218.60099762253</v>
      </c>
      <c r="I155" s="13"/>
      <c r="J155" s="14">
        <f t="shared" si="23"/>
        <v>195204.44294394943</v>
      </c>
      <c r="K155" s="315"/>
      <c r="L155" s="15"/>
      <c r="M155" s="13">
        <f>-E155</f>
        <v>-315395.30452239997</v>
      </c>
      <c r="N155" s="14">
        <f t="shared" si="29"/>
        <v>-315395.30452239997</v>
      </c>
      <c r="O155" s="13"/>
      <c r="P155" s="14">
        <f t="shared" si="30"/>
        <v>-13767151.645352177</v>
      </c>
      <c r="Q155" s="13"/>
      <c r="R155" s="14">
        <f t="shared" si="31"/>
        <v>-195204.44294394943</v>
      </c>
      <c r="S155" s="12"/>
    </row>
    <row r="156" spans="1:19" ht="15.75">
      <c r="A156" s="39"/>
      <c r="B156" s="6" t="s">
        <v>156</v>
      </c>
      <c r="C156" s="65"/>
      <c r="D156" s="73"/>
      <c r="E156" s="13"/>
      <c r="F156" s="14">
        <f t="shared" si="28"/>
        <v>12940612.348876955</v>
      </c>
      <c r="G156" s="13">
        <f>-E155</f>
        <v>-315395.30452239997</v>
      </c>
      <c r="H156" s="14">
        <f t="shared" si="22"/>
        <v>-169176.70352477743</v>
      </c>
      <c r="I156" s="13">
        <f>+H153*$G$430/12</f>
        <v>-827.5896941463083</v>
      </c>
      <c r="J156" s="14">
        <f t="shared" si="23"/>
        <v>194376.85324980313</v>
      </c>
      <c r="K156" s="315"/>
      <c r="L156" s="15"/>
      <c r="M156" s="13">
        <f>-G156</f>
        <v>315395.30452239997</v>
      </c>
      <c r="N156" s="14">
        <f t="shared" si="29"/>
        <v>0</v>
      </c>
      <c r="O156" s="13"/>
      <c r="P156" s="14">
        <f t="shared" si="30"/>
        <v>-13767151.645352177</v>
      </c>
      <c r="Q156" s="13">
        <f>-I156</f>
        <v>827.5896941463083</v>
      </c>
      <c r="R156" s="14">
        <f t="shared" si="31"/>
        <v>-194376.85324980313</v>
      </c>
      <c r="S156" s="12"/>
    </row>
    <row r="157" spans="1:19" ht="15.75">
      <c r="A157" s="41" t="s">
        <v>52</v>
      </c>
      <c r="B157" s="6" t="s">
        <v>153</v>
      </c>
      <c r="C157" s="65"/>
      <c r="D157" s="73"/>
      <c r="E157" s="13"/>
      <c r="F157" s="14">
        <f t="shared" si="28"/>
        <v>12940612.348876955</v>
      </c>
      <c r="G157" s="29">
        <f>+$J$426</f>
        <v>283198.9641666667</v>
      </c>
      <c r="H157" s="14">
        <f t="shared" si="22"/>
        <v>114022.26064188924</v>
      </c>
      <c r="I157" s="13"/>
      <c r="J157" s="14">
        <f t="shared" si="23"/>
        <v>194376.85324980313</v>
      </c>
      <c r="K157" s="315"/>
      <c r="L157" s="15"/>
      <c r="M157" s="13"/>
      <c r="N157" s="14">
        <f t="shared" si="29"/>
        <v>0</v>
      </c>
      <c r="O157" s="13">
        <f>-G157</f>
        <v>-283198.9641666667</v>
      </c>
      <c r="P157" s="14">
        <f t="shared" si="30"/>
        <v>-14050350.609518845</v>
      </c>
      <c r="Q157" s="13"/>
      <c r="R157" s="14">
        <f t="shared" si="31"/>
        <v>-194376.85324980313</v>
      </c>
      <c r="S157" s="12"/>
    </row>
    <row r="158" spans="1:19" ht="15.75">
      <c r="A158" s="39"/>
      <c r="B158" s="6" t="s">
        <v>17</v>
      </c>
      <c r="C158" s="65"/>
      <c r="D158" s="73"/>
      <c r="E158" s="13">
        <f>+'Total Billings'!D81</f>
        <v>237500.822772</v>
      </c>
      <c r="F158" s="14">
        <f t="shared" si="28"/>
        <v>13178113.171648955</v>
      </c>
      <c r="G158" s="13"/>
      <c r="H158" s="14">
        <f t="shared" si="22"/>
        <v>114022.26064188924</v>
      </c>
      <c r="I158" s="13"/>
      <c r="J158" s="14">
        <f t="shared" si="23"/>
        <v>194376.85324980313</v>
      </c>
      <c r="K158" s="315"/>
      <c r="L158" s="15"/>
      <c r="M158" s="13">
        <f>-E158</f>
        <v>-237500.822772</v>
      </c>
      <c r="N158" s="14">
        <f t="shared" si="29"/>
        <v>-237500.822772</v>
      </c>
      <c r="O158" s="13"/>
      <c r="P158" s="14">
        <f t="shared" si="30"/>
        <v>-14050350.609518845</v>
      </c>
      <c r="Q158" s="13"/>
      <c r="R158" s="14">
        <f t="shared" si="31"/>
        <v>-194376.85324980313</v>
      </c>
      <c r="S158" s="12"/>
    </row>
    <row r="159" spans="1:19" ht="15.75">
      <c r="A159" s="42"/>
      <c r="B159" s="6" t="s">
        <v>156</v>
      </c>
      <c r="C159" s="65"/>
      <c r="D159" s="73"/>
      <c r="E159" s="13"/>
      <c r="F159" s="14">
        <f t="shared" si="28"/>
        <v>13178113.171648955</v>
      </c>
      <c r="G159" s="13">
        <f>-E158</f>
        <v>-237500.822772</v>
      </c>
      <c r="H159" s="14">
        <f t="shared" si="22"/>
        <v>-123478.56213011077</v>
      </c>
      <c r="I159" s="13">
        <f>+H156*$G$430/12</f>
        <v>-1022.1092504621969</v>
      </c>
      <c r="J159" s="14">
        <f t="shared" si="23"/>
        <v>193354.74399934092</v>
      </c>
      <c r="K159" s="315"/>
      <c r="L159" s="15"/>
      <c r="M159" s="13">
        <f>-G159</f>
        <v>237500.822772</v>
      </c>
      <c r="N159" s="14">
        <f t="shared" si="29"/>
        <v>0</v>
      </c>
      <c r="O159" s="13"/>
      <c r="P159" s="14">
        <f t="shared" si="30"/>
        <v>-14050350.609518845</v>
      </c>
      <c r="Q159" s="13">
        <f>-I159</f>
        <v>1022.1092504621969</v>
      </c>
      <c r="R159" s="14">
        <f t="shared" si="31"/>
        <v>-193354.74399934092</v>
      </c>
      <c r="S159" s="12"/>
    </row>
    <row r="160" spans="1:19" ht="15.75">
      <c r="A160" s="42"/>
      <c r="B160" s="6" t="s">
        <v>138</v>
      </c>
      <c r="C160" s="65"/>
      <c r="D160" s="73"/>
      <c r="E160" s="13"/>
      <c r="F160" s="14"/>
      <c r="G160" s="341">
        <f>-338551-335462</f>
        <v>-674013</v>
      </c>
      <c r="H160" s="14">
        <f t="shared" si="22"/>
        <v>-797491.5621301108</v>
      </c>
      <c r="I160" s="13"/>
      <c r="J160" s="14">
        <f t="shared" si="23"/>
        <v>193354.74399934092</v>
      </c>
      <c r="K160" s="315"/>
      <c r="L160" s="15"/>
      <c r="M160" s="13"/>
      <c r="N160" s="14"/>
      <c r="O160" s="13">
        <f>-G160</f>
        <v>674013</v>
      </c>
      <c r="P160" s="14">
        <f t="shared" si="30"/>
        <v>-13376337.609518845</v>
      </c>
      <c r="Q160" s="13"/>
      <c r="R160" s="14">
        <f t="shared" si="31"/>
        <v>-193354.74399934092</v>
      </c>
      <c r="S160" s="12"/>
    </row>
    <row r="161" spans="1:19" ht="15.75">
      <c r="A161" s="41" t="s">
        <v>53</v>
      </c>
      <c r="B161" s="6" t="s">
        <v>153</v>
      </c>
      <c r="C161" s="65"/>
      <c r="D161" s="73"/>
      <c r="E161" s="13"/>
      <c r="F161" s="14">
        <f>+F159+E161</f>
        <v>13178113.171648955</v>
      </c>
      <c r="G161" s="29">
        <f>+$J$426</f>
        <v>283198.9641666667</v>
      </c>
      <c r="H161" s="14">
        <f t="shared" si="22"/>
        <v>-514292.59796344413</v>
      </c>
      <c r="I161" s="13"/>
      <c r="J161" s="14">
        <f t="shared" si="23"/>
        <v>193354.74399934092</v>
      </c>
      <c r="K161" s="315"/>
      <c r="L161" s="15"/>
      <c r="M161" s="13"/>
      <c r="N161" s="14">
        <f>+N159+M161</f>
        <v>0</v>
      </c>
      <c r="O161" s="13">
        <f>-G161</f>
        <v>-283198.9641666667</v>
      </c>
      <c r="P161" s="14">
        <f t="shared" si="30"/>
        <v>-13659536.573685512</v>
      </c>
      <c r="Q161" s="13"/>
      <c r="R161" s="14">
        <f t="shared" si="31"/>
        <v>-193354.74399934092</v>
      </c>
      <c r="S161" s="12"/>
    </row>
    <row r="162" spans="1:19" ht="15.75">
      <c r="A162" s="39"/>
      <c r="B162" s="6" t="s">
        <v>17</v>
      </c>
      <c r="C162" s="65"/>
      <c r="D162" s="73"/>
      <c r="E162" s="13">
        <f>+'Total Billings'!D82</f>
        <v>332343.2200124</v>
      </c>
      <c r="F162" s="14">
        <f aca="true" t="shared" si="32" ref="F162:F169">+F161+E162</f>
        <v>13510456.391661355</v>
      </c>
      <c r="G162" s="13"/>
      <c r="H162" s="14">
        <f t="shared" si="22"/>
        <v>-514292.59796344413</v>
      </c>
      <c r="I162" s="13"/>
      <c r="J162" s="14">
        <f t="shared" si="23"/>
        <v>193354.74399934092</v>
      </c>
      <c r="K162" s="315"/>
      <c r="L162" s="15"/>
      <c r="M162" s="13">
        <f>-E162</f>
        <v>-332343.2200124</v>
      </c>
      <c r="N162" s="14">
        <f aca="true" t="shared" si="33" ref="N162:N169">+N161+M162</f>
        <v>-332343.2200124</v>
      </c>
      <c r="O162" s="13"/>
      <c r="P162" s="14">
        <f t="shared" si="30"/>
        <v>-13659536.573685512</v>
      </c>
      <c r="Q162" s="13"/>
      <c r="R162" s="14">
        <f t="shared" si="31"/>
        <v>-193354.74399934092</v>
      </c>
      <c r="S162" s="12"/>
    </row>
    <row r="163" spans="1:19" ht="15.75">
      <c r="A163" s="39"/>
      <c r="B163" s="6" t="s">
        <v>156</v>
      </c>
      <c r="C163" s="65"/>
      <c r="D163" s="73"/>
      <c r="E163" s="13"/>
      <c r="F163" s="14">
        <f t="shared" si="32"/>
        <v>13510456.391661355</v>
      </c>
      <c r="G163" s="13">
        <f>-E162</f>
        <v>-332343.2200124</v>
      </c>
      <c r="H163" s="14">
        <f t="shared" si="22"/>
        <v>-846635.8179758441</v>
      </c>
      <c r="I163" s="13">
        <f>+H160*$G$430/12</f>
        <v>-4818.178187869419</v>
      </c>
      <c r="J163" s="14">
        <f t="shared" si="23"/>
        <v>188536.5658114715</v>
      </c>
      <c r="K163" s="315"/>
      <c r="L163" s="15"/>
      <c r="M163" s="13">
        <f>-G163</f>
        <v>332343.2200124</v>
      </c>
      <c r="N163" s="14">
        <f t="shared" si="33"/>
        <v>0</v>
      </c>
      <c r="O163" s="13"/>
      <c r="P163" s="14">
        <f t="shared" si="30"/>
        <v>-13659536.573685512</v>
      </c>
      <c r="Q163" s="13">
        <f>-I163</f>
        <v>4818.178187869419</v>
      </c>
      <c r="R163" s="14">
        <f t="shared" si="31"/>
        <v>-188536.5658114715</v>
      </c>
      <c r="S163" s="12"/>
    </row>
    <row r="164" spans="1:19" ht="15.75">
      <c r="A164" s="41" t="s">
        <v>54</v>
      </c>
      <c r="B164" s="6" t="s">
        <v>153</v>
      </c>
      <c r="C164" s="65"/>
      <c r="D164" s="73"/>
      <c r="E164" s="13"/>
      <c r="F164" s="14">
        <f t="shared" si="32"/>
        <v>13510456.391661355</v>
      </c>
      <c r="G164" s="29">
        <f>+$J$426</f>
        <v>283198.9641666667</v>
      </c>
      <c r="H164" s="14">
        <f t="shared" si="22"/>
        <v>-563436.8538091774</v>
      </c>
      <c r="I164" s="13"/>
      <c r="J164" s="14">
        <f t="shared" si="23"/>
        <v>188536.5658114715</v>
      </c>
      <c r="K164" s="315"/>
      <c r="L164" s="15"/>
      <c r="M164" s="13"/>
      <c r="N164" s="14">
        <f t="shared" si="33"/>
        <v>0</v>
      </c>
      <c r="O164" s="13">
        <f>-G164</f>
        <v>-283198.9641666667</v>
      </c>
      <c r="P164" s="14">
        <f t="shared" si="30"/>
        <v>-13942735.53785218</v>
      </c>
      <c r="Q164" s="13"/>
      <c r="R164" s="14">
        <f t="shared" si="31"/>
        <v>-188536.5658114715</v>
      </c>
      <c r="S164" s="12"/>
    </row>
    <row r="165" spans="1:19" ht="15.75">
      <c r="A165" s="39"/>
      <c r="B165" s="6" t="s">
        <v>17</v>
      </c>
      <c r="C165" s="65"/>
      <c r="D165" s="73"/>
      <c r="E165" s="13">
        <f>+'Total Billings'!D83</f>
        <v>278493.44124039996</v>
      </c>
      <c r="F165" s="14">
        <f t="shared" si="32"/>
        <v>13788949.832901755</v>
      </c>
      <c r="G165" s="13"/>
      <c r="H165" s="14">
        <f t="shared" si="22"/>
        <v>-563436.8538091774</v>
      </c>
      <c r="I165" s="13"/>
      <c r="J165" s="14">
        <f t="shared" si="23"/>
        <v>188536.5658114715</v>
      </c>
      <c r="K165" s="315"/>
      <c r="L165" s="15"/>
      <c r="M165" s="13">
        <f>-E165</f>
        <v>-278493.44124039996</v>
      </c>
      <c r="N165" s="14">
        <f t="shared" si="33"/>
        <v>-278493.44124039996</v>
      </c>
      <c r="O165" s="13"/>
      <c r="P165" s="14">
        <f t="shared" si="30"/>
        <v>-13942735.53785218</v>
      </c>
      <c r="Q165" s="13"/>
      <c r="R165" s="14">
        <f t="shared" si="31"/>
        <v>-188536.5658114715</v>
      </c>
      <c r="S165" s="12"/>
    </row>
    <row r="166" spans="1:19" ht="15.75">
      <c r="A166" s="39"/>
      <c r="B166" s="6" t="s">
        <v>156</v>
      </c>
      <c r="C166" s="65"/>
      <c r="D166" s="73"/>
      <c r="E166" s="13"/>
      <c r="F166" s="14">
        <f t="shared" si="32"/>
        <v>13788949.832901755</v>
      </c>
      <c r="G166" s="13">
        <f>-E165</f>
        <v>-278493.44124039996</v>
      </c>
      <c r="H166" s="14">
        <f t="shared" si="22"/>
        <v>-841930.2950495774</v>
      </c>
      <c r="I166" s="13">
        <f>+H163*$G$430/12</f>
        <v>-5115.091400270724</v>
      </c>
      <c r="J166" s="14">
        <f t="shared" si="23"/>
        <v>183421.47441120076</v>
      </c>
      <c r="K166" s="315"/>
      <c r="L166" s="15"/>
      <c r="M166" s="13">
        <f>-G166</f>
        <v>278493.44124039996</v>
      </c>
      <c r="N166" s="14">
        <f t="shared" si="33"/>
        <v>0</v>
      </c>
      <c r="O166" s="13"/>
      <c r="P166" s="14">
        <f t="shared" si="30"/>
        <v>-13942735.53785218</v>
      </c>
      <c r="Q166" s="13">
        <f>-I166</f>
        <v>5115.091400270724</v>
      </c>
      <c r="R166" s="14">
        <f t="shared" si="31"/>
        <v>-183421.47441120076</v>
      </c>
      <c r="S166" s="12"/>
    </row>
    <row r="167" spans="1:19" ht="15.75">
      <c r="A167" s="41" t="s">
        <v>55</v>
      </c>
      <c r="B167" s="6" t="s">
        <v>153</v>
      </c>
      <c r="C167" s="65"/>
      <c r="D167" s="73"/>
      <c r="E167" s="13"/>
      <c r="F167" s="14">
        <f t="shared" si="32"/>
        <v>13788949.832901755</v>
      </c>
      <c r="G167" s="29">
        <f>+$J$426</f>
        <v>283198.9641666667</v>
      </c>
      <c r="H167" s="14">
        <f t="shared" si="22"/>
        <v>-558731.3308829106</v>
      </c>
      <c r="I167" s="13"/>
      <c r="J167" s="14">
        <f t="shared" si="23"/>
        <v>183421.47441120076</v>
      </c>
      <c r="K167" s="315"/>
      <c r="L167" s="15"/>
      <c r="M167" s="13"/>
      <c r="N167" s="14">
        <f t="shared" si="33"/>
        <v>0</v>
      </c>
      <c r="O167" s="13">
        <f>-G167</f>
        <v>-283198.9641666667</v>
      </c>
      <c r="P167" s="14">
        <f t="shared" si="30"/>
        <v>-14225934.502018847</v>
      </c>
      <c r="Q167" s="13"/>
      <c r="R167" s="14">
        <f t="shared" si="31"/>
        <v>-183421.47441120076</v>
      </c>
      <c r="S167" s="12"/>
    </row>
    <row r="168" spans="1:19" ht="15.75">
      <c r="A168" s="39"/>
      <c r="B168" s="6" t="s">
        <v>17</v>
      </c>
      <c r="C168" s="65"/>
      <c r="D168" s="73"/>
      <c r="E168" s="13">
        <f>+'Total Billings'!D84</f>
        <v>364691.9429384</v>
      </c>
      <c r="F168" s="14">
        <f t="shared" si="32"/>
        <v>14153641.775840156</v>
      </c>
      <c r="G168" s="13"/>
      <c r="H168" s="14">
        <f t="shared" si="22"/>
        <v>-558731.3308829106</v>
      </c>
      <c r="I168" s="13"/>
      <c r="J168" s="14">
        <f t="shared" si="23"/>
        <v>183421.47441120076</v>
      </c>
      <c r="K168" s="315"/>
      <c r="L168" s="15"/>
      <c r="M168" s="13">
        <f>-E168</f>
        <v>-364691.9429384</v>
      </c>
      <c r="N168" s="14">
        <f t="shared" si="33"/>
        <v>-364691.9429384</v>
      </c>
      <c r="O168" s="13"/>
      <c r="P168" s="14">
        <f t="shared" si="30"/>
        <v>-14225934.502018847</v>
      </c>
      <c r="Q168" s="13"/>
      <c r="R168" s="14">
        <f t="shared" si="31"/>
        <v>-183421.47441120076</v>
      </c>
      <c r="S168" s="12"/>
    </row>
    <row r="169" spans="1:19" ht="15.75">
      <c r="A169" s="39"/>
      <c r="B169" s="6" t="s">
        <v>156</v>
      </c>
      <c r="C169" s="65"/>
      <c r="D169" s="73"/>
      <c r="E169" s="13"/>
      <c r="F169" s="14">
        <f t="shared" si="32"/>
        <v>14153641.775840156</v>
      </c>
      <c r="G169" s="13">
        <f>-E168</f>
        <v>-364691.9429384</v>
      </c>
      <c r="H169" s="14">
        <f t="shared" si="22"/>
        <v>-923423.2738213106</v>
      </c>
      <c r="I169" s="13">
        <f>+H166*$G$430/12</f>
        <v>-5086.662199257863</v>
      </c>
      <c r="J169" s="14">
        <f t="shared" si="23"/>
        <v>178334.8122119429</v>
      </c>
      <c r="K169" s="315"/>
      <c r="L169" s="15"/>
      <c r="M169" s="13">
        <f>-G169</f>
        <v>364691.9429384</v>
      </c>
      <c r="N169" s="14">
        <f t="shared" si="33"/>
        <v>0</v>
      </c>
      <c r="O169" s="13"/>
      <c r="P169" s="14">
        <f t="shared" si="30"/>
        <v>-14225934.502018847</v>
      </c>
      <c r="Q169" s="13">
        <f>-I169</f>
        <v>5086.662199257863</v>
      </c>
      <c r="R169" s="14">
        <f t="shared" si="31"/>
        <v>-178334.8122119429</v>
      </c>
      <c r="S169" s="12"/>
    </row>
    <row r="170" spans="1:19" ht="15.75">
      <c r="A170" s="41" t="s">
        <v>44</v>
      </c>
      <c r="B170" s="6" t="s">
        <v>153</v>
      </c>
      <c r="C170" s="65"/>
      <c r="D170" s="73"/>
      <c r="E170" s="13"/>
      <c r="F170" s="14">
        <f>+F169+E170</f>
        <v>14153641.775840156</v>
      </c>
      <c r="G170" s="29">
        <f>+$J$426</f>
        <v>283198.9641666667</v>
      </c>
      <c r="H170" s="14">
        <f>+H169+G170</f>
        <v>-640224.309654644</v>
      </c>
      <c r="I170" s="13"/>
      <c r="J170" s="14">
        <f>+J169+I170</f>
        <v>178334.8122119429</v>
      </c>
      <c r="K170" s="315"/>
      <c r="L170" s="15"/>
      <c r="M170" s="13"/>
      <c r="N170" s="14">
        <f>+N169+M170</f>
        <v>0</v>
      </c>
      <c r="O170" s="13">
        <f>-G170</f>
        <v>-283198.9641666667</v>
      </c>
      <c r="P170" s="14">
        <f>+P169+O170</f>
        <v>-14509133.466185514</v>
      </c>
      <c r="Q170" s="13"/>
      <c r="R170" s="14">
        <f>+R169+Q170</f>
        <v>-178334.8122119429</v>
      </c>
      <c r="S170" s="12"/>
    </row>
    <row r="171" spans="1:19" ht="15.75">
      <c r="A171" s="39"/>
      <c r="B171" s="6" t="s">
        <v>17</v>
      </c>
      <c r="C171" s="65"/>
      <c r="D171" s="73"/>
      <c r="E171" s="13">
        <f>+'Total Billings'!D85</f>
        <v>257109.42848560002</v>
      </c>
      <c r="F171" s="14">
        <f>+F170+E171</f>
        <v>14410751.204325756</v>
      </c>
      <c r="G171" s="13"/>
      <c r="H171" s="14">
        <f>+H170+G171</f>
        <v>-640224.309654644</v>
      </c>
      <c r="I171" s="13"/>
      <c r="J171" s="14">
        <f>+J170+I171</f>
        <v>178334.8122119429</v>
      </c>
      <c r="K171" s="315"/>
      <c r="L171" s="15"/>
      <c r="M171" s="13">
        <f>-E171</f>
        <v>-257109.42848560002</v>
      </c>
      <c r="N171" s="14">
        <f>+N170+M171</f>
        <v>-257109.42848560002</v>
      </c>
      <c r="O171" s="13"/>
      <c r="P171" s="14">
        <f>+P170+O171</f>
        <v>-14509133.466185514</v>
      </c>
      <c r="Q171" s="13"/>
      <c r="R171" s="14">
        <f>+R170+Q171</f>
        <v>-178334.8122119429</v>
      </c>
      <c r="S171" s="12"/>
    </row>
    <row r="172" spans="1:19" ht="15.75">
      <c r="A172" s="39"/>
      <c r="B172" s="6" t="s">
        <v>156</v>
      </c>
      <c r="C172" s="65"/>
      <c r="D172" s="73"/>
      <c r="E172" s="13"/>
      <c r="F172" s="14">
        <f>+F171+E172</f>
        <v>14410751.204325756</v>
      </c>
      <c r="G172" s="13">
        <f>-E171</f>
        <v>-257109.42848560002</v>
      </c>
      <c r="H172" s="14">
        <f>+H171+G172</f>
        <v>-897333.738140244</v>
      </c>
      <c r="I172" s="13">
        <f>+H169*$G$430/12</f>
        <v>-5579.015612670418</v>
      </c>
      <c r="J172" s="14">
        <f>+J171+I172</f>
        <v>172755.79659927246</v>
      </c>
      <c r="K172" s="315"/>
      <c r="L172" s="15"/>
      <c r="M172" s="13">
        <f>-G172</f>
        <v>257109.42848560002</v>
      </c>
      <c r="N172" s="14">
        <f>+N171+M172</f>
        <v>0</v>
      </c>
      <c r="O172" s="13"/>
      <c r="P172" s="14">
        <f>+P171+O172</f>
        <v>-14509133.466185514</v>
      </c>
      <c r="Q172" s="13">
        <f>-I172</f>
        <v>5579.015612670418</v>
      </c>
      <c r="R172" s="14">
        <f>+R171+Q172</f>
        <v>-172755.79659927246</v>
      </c>
      <c r="S172" s="12"/>
    </row>
    <row r="173" spans="1:19" ht="15.75">
      <c r="A173" s="41" t="s">
        <v>56</v>
      </c>
      <c r="B173" s="6" t="s">
        <v>153</v>
      </c>
      <c r="C173" s="65"/>
      <c r="D173" s="73"/>
      <c r="E173" s="13"/>
      <c r="F173" s="14">
        <f aca="true" t="shared" si="34" ref="F173:F180">+F172+E173</f>
        <v>14410751.204325756</v>
      </c>
      <c r="G173" s="29">
        <f>+$J$426</f>
        <v>283198.9641666667</v>
      </c>
      <c r="H173" s="14">
        <f aca="true" t="shared" si="35" ref="H173:H180">+H172+G173</f>
        <v>-614134.7739735774</v>
      </c>
      <c r="I173" s="13"/>
      <c r="J173" s="14">
        <f aca="true" t="shared" si="36" ref="J173:J180">+J172+I173</f>
        <v>172755.79659927246</v>
      </c>
      <c r="K173" s="315"/>
      <c r="L173" s="15"/>
      <c r="M173" s="13"/>
      <c r="N173" s="14">
        <f aca="true" t="shared" si="37" ref="N173:N180">+N172+M173</f>
        <v>0</v>
      </c>
      <c r="O173" s="13">
        <f>-G173</f>
        <v>-283198.9641666667</v>
      </c>
      <c r="P173" s="14">
        <f aca="true" t="shared" si="38" ref="P173:P180">+P172+O173</f>
        <v>-14792332.430352181</v>
      </c>
      <c r="Q173" s="13"/>
      <c r="R173" s="14">
        <f aca="true" t="shared" si="39" ref="R173:R180">+R172+Q173</f>
        <v>-172755.79659927246</v>
      </c>
      <c r="S173" s="12"/>
    </row>
    <row r="174" spans="1:19" ht="15.75">
      <c r="A174" s="39"/>
      <c r="B174" s="6" t="s">
        <v>17</v>
      </c>
      <c r="C174" s="65"/>
      <c r="D174" s="73"/>
      <c r="E174" s="13">
        <f>+'Total Billings'!D86</f>
        <v>309013.22099680005</v>
      </c>
      <c r="F174" s="14">
        <f t="shared" si="34"/>
        <v>14719764.425322557</v>
      </c>
      <c r="G174" s="13"/>
      <c r="H174" s="14">
        <f t="shared" si="35"/>
        <v>-614134.7739735774</v>
      </c>
      <c r="I174" s="13"/>
      <c r="J174" s="14">
        <f t="shared" si="36"/>
        <v>172755.79659927246</v>
      </c>
      <c r="K174" s="315"/>
      <c r="L174" s="15"/>
      <c r="M174" s="13">
        <f>-E174</f>
        <v>-309013.22099680005</v>
      </c>
      <c r="N174" s="14">
        <f t="shared" si="37"/>
        <v>-309013.22099680005</v>
      </c>
      <c r="O174" s="13"/>
      <c r="P174" s="14">
        <f t="shared" si="38"/>
        <v>-14792332.430352181</v>
      </c>
      <c r="Q174" s="13"/>
      <c r="R174" s="14">
        <f t="shared" si="39"/>
        <v>-172755.79659927246</v>
      </c>
      <c r="S174" s="12"/>
    </row>
    <row r="175" spans="1:19" ht="15.75">
      <c r="A175" s="39"/>
      <c r="B175" s="6" t="s">
        <v>156</v>
      </c>
      <c r="C175" s="65"/>
      <c r="D175" s="73"/>
      <c r="E175" s="13"/>
      <c r="F175" s="14">
        <f t="shared" si="34"/>
        <v>14719764.425322557</v>
      </c>
      <c r="G175" s="13">
        <f>-E174</f>
        <v>-309013.22099680005</v>
      </c>
      <c r="H175" s="14">
        <f t="shared" si="35"/>
        <v>-923147.9949703775</v>
      </c>
      <c r="I175" s="13">
        <f>+H172*$G$430/12</f>
        <v>-5421.391334597308</v>
      </c>
      <c r="J175" s="14">
        <f t="shared" si="36"/>
        <v>167334.40526467515</v>
      </c>
      <c r="K175" s="315"/>
      <c r="L175" s="15"/>
      <c r="M175" s="13">
        <f>-G175</f>
        <v>309013.22099680005</v>
      </c>
      <c r="N175" s="14">
        <f t="shared" si="37"/>
        <v>0</v>
      </c>
      <c r="O175" s="13"/>
      <c r="P175" s="14">
        <f t="shared" si="38"/>
        <v>-14792332.430352181</v>
      </c>
      <c r="Q175" s="13">
        <f>-I175</f>
        <v>5421.391334597308</v>
      </c>
      <c r="R175" s="14">
        <f t="shared" si="39"/>
        <v>-167334.40526467515</v>
      </c>
      <c r="S175" s="12"/>
    </row>
    <row r="176" spans="1:19" ht="15.75">
      <c r="A176" s="41" t="s">
        <v>46</v>
      </c>
      <c r="B176" s="6" t="s">
        <v>153</v>
      </c>
      <c r="C176" s="65"/>
      <c r="D176" s="73"/>
      <c r="E176" s="13"/>
      <c r="F176" s="14">
        <f t="shared" si="34"/>
        <v>14719764.425322557</v>
      </c>
      <c r="G176" s="29">
        <f>+$J$426</f>
        <v>283198.9641666667</v>
      </c>
      <c r="H176" s="14">
        <f t="shared" si="35"/>
        <v>-639949.0308037109</v>
      </c>
      <c r="I176" s="13"/>
      <c r="J176" s="14">
        <f t="shared" si="36"/>
        <v>167334.40526467515</v>
      </c>
      <c r="K176" s="315"/>
      <c r="L176" s="15"/>
      <c r="M176" s="13"/>
      <c r="N176" s="14">
        <f t="shared" si="37"/>
        <v>0</v>
      </c>
      <c r="O176" s="13">
        <f>-G176</f>
        <v>-283198.9641666667</v>
      </c>
      <c r="P176" s="14">
        <f t="shared" si="38"/>
        <v>-15075531.394518849</v>
      </c>
      <c r="Q176" s="13"/>
      <c r="R176" s="14">
        <f t="shared" si="39"/>
        <v>-167334.40526467515</v>
      </c>
      <c r="S176" s="12"/>
    </row>
    <row r="177" spans="1:19" ht="15.75">
      <c r="A177" s="39"/>
      <c r="B177" s="6" t="s">
        <v>17</v>
      </c>
      <c r="C177" s="65"/>
      <c r="D177" s="73"/>
      <c r="E177" s="13">
        <f>+'Total Billings'!D87</f>
        <v>248943.90761</v>
      </c>
      <c r="F177" s="14">
        <f t="shared" si="34"/>
        <v>14968708.332932556</v>
      </c>
      <c r="G177" s="13"/>
      <c r="H177" s="14">
        <f t="shared" si="35"/>
        <v>-639949.0308037109</v>
      </c>
      <c r="I177" s="13"/>
      <c r="J177" s="14">
        <f t="shared" si="36"/>
        <v>167334.40526467515</v>
      </c>
      <c r="K177" s="315"/>
      <c r="L177" s="15"/>
      <c r="M177" s="13">
        <f>-E177</f>
        <v>-248943.90761</v>
      </c>
      <c r="N177" s="14">
        <f t="shared" si="37"/>
        <v>-248943.90761</v>
      </c>
      <c r="O177" s="13"/>
      <c r="P177" s="14">
        <f t="shared" si="38"/>
        <v>-15075531.394518849</v>
      </c>
      <c r="Q177" s="13"/>
      <c r="R177" s="14">
        <f t="shared" si="39"/>
        <v>-167334.40526467515</v>
      </c>
      <c r="S177" s="12"/>
    </row>
    <row r="178" spans="1:19" ht="15.75">
      <c r="A178" s="39"/>
      <c r="B178" s="6" t="s">
        <v>156</v>
      </c>
      <c r="C178" s="65"/>
      <c r="D178" s="73"/>
      <c r="E178" s="13"/>
      <c r="F178" s="14">
        <f t="shared" si="34"/>
        <v>14968708.332932556</v>
      </c>
      <c r="G178" s="13">
        <f>-E177</f>
        <v>-248943.90761</v>
      </c>
      <c r="H178" s="14">
        <f t="shared" si="35"/>
        <v>-888892.9384137109</v>
      </c>
      <c r="I178" s="13">
        <f>+H175*$G$430/12</f>
        <v>-5577.352469612698</v>
      </c>
      <c r="J178" s="14">
        <f t="shared" si="36"/>
        <v>161757.05279506245</v>
      </c>
      <c r="K178" s="315"/>
      <c r="L178" s="15"/>
      <c r="M178" s="13">
        <f>-G178</f>
        <v>248943.90761</v>
      </c>
      <c r="N178" s="14">
        <f t="shared" si="37"/>
        <v>0</v>
      </c>
      <c r="O178" s="13"/>
      <c r="P178" s="14">
        <f t="shared" si="38"/>
        <v>-15075531.394518849</v>
      </c>
      <c r="Q178" s="13">
        <f>-I178</f>
        <v>5577.352469612698</v>
      </c>
      <c r="R178" s="14">
        <f t="shared" si="39"/>
        <v>-161757.05279506245</v>
      </c>
      <c r="S178" s="12"/>
    </row>
    <row r="179" spans="1:19" ht="15.75">
      <c r="A179" s="39"/>
      <c r="B179" s="6" t="s">
        <v>104</v>
      </c>
      <c r="C179" s="65"/>
      <c r="D179" s="73"/>
      <c r="E179" s="36">
        <f>+'Total Billings'!D88</f>
        <v>439247.77930839994</v>
      </c>
      <c r="F179" s="14">
        <f t="shared" si="34"/>
        <v>15407956.112240955</v>
      </c>
      <c r="G179" s="13"/>
      <c r="H179" s="14">
        <f t="shared" si="35"/>
        <v>-888892.9384137109</v>
      </c>
      <c r="I179" s="13"/>
      <c r="J179" s="14">
        <f t="shared" si="36"/>
        <v>161757.05279506245</v>
      </c>
      <c r="K179" s="315"/>
      <c r="L179" s="15"/>
      <c r="M179" s="13">
        <f>-E179</f>
        <v>-439247.77930839994</v>
      </c>
      <c r="N179" s="14">
        <f t="shared" si="37"/>
        <v>-439247.77930839994</v>
      </c>
      <c r="O179" s="13"/>
      <c r="P179" s="14">
        <f t="shared" si="38"/>
        <v>-15075531.394518849</v>
      </c>
      <c r="Q179" s="13"/>
      <c r="R179" s="14">
        <f t="shared" si="39"/>
        <v>-161757.05279506245</v>
      </c>
      <c r="S179" s="12"/>
    </row>
    <row r="180" spans="1:19" ht="15.75">
      <c r="A180" s="342">
        <f>+H180+J180</f>
        <v>-1166383.6649270484</v>
      </c>
      <c r="B180" s="6" t="s">
        <v>162</v>
      </c>
      <c r="C180" s="68">
        <f>+F180-F137</f>
        <v>3540029.2288927883</v>
      </c>
      <c r="D180" s="74">
        <f>+G142+G145+G148+G151+G154+G157+G161+G164+G167+G170+G173+G176</f>
        <v>3391399.1775000007</v>
      </c>
      <c r="E180" s="13"/>
      <c r="F180" s="70">
        <f t="shared" si="34"/>
        <v>15407956.112240955</v>
      </c>
      <c r="G180" s="29">
        <f>-E179</f>
        <v>-439247.77930839994</v>
      </c>
      <c r="H180" s="14">
        <f t="shared" si="35"/>
        <v>-1328140.717722111</v>
      </c>
      <c r="I180" s="13"/>
      <c r="J180" s="64">
        <f t="shared" si="36"/>
        <v>161757.05279506245</v>
      </c>
      <c r="K180" s="316">
        <f>+J180-J137</f>
        <v>-38863.21026911918</v>
      </c>
      <c r="L180" s="15"/>
      <c r="M180" s="13">
        <f>-G180</f>
        <v>439247.77930839994</v>
      </c>
      <c r="N180" s="14">
        <f t="shared" si="37"/>
        <v>0</v>
      </c>
      <c r="O180" s="13"/>
      <c r="P180" s="14">
        <f t="shared" si="38"/>
        <v>-15075531.394518849</v>
      </c>
      <c r="Q180" s="13"/>
      <c r="R180" s="14">
        <f t="shared" si="39"/>
        <v>-161757.05279506245</v>
      </c>
      <c r="S180" s="12"/>
    </row>
    <row r="181" spans="1:19" ht="15.75">
      <c r="A181" s="40" t="s">
        <v>110</v>
      </c>
      <c r="B181" s="6" t="s">
        <v>160</v>
      </c>
      <c r="C181" s="65"/>
      <c r="D181" s="73"/>
      <c r="E181" s="36">
        <f>+'Total Billings'!D96</f>
        <v>-439247.77930839994</v>
      </c>
      <c r="F181" s="14">
        <f>+F180+E181</f>
        <v>14968708.332932556</v>
      </c>
      <c r="G181" s="13"/>
      <c r="H181" s="14">
        <f>+H180+G181</f>
        <v>-1328140.717722111</v>
      </c>
      <c r="I181" s="25"/>
      <c r="J181" s="14">
        <f>+J180+I181</f>
        <v>161757.05279506245</v>
      </c>
      <c r="K181" s="315"/>
      <c r="L181" s="15"/>
      <c r="M181" s="13">
        <f>-E181</f>
        <v>439247.77930839994</v>
      </c>
      <c r="N181" s="14">
        <f>+N180+M181</f>
        <v>439247.77930839994</v>
      </c>
      <c r="O181" s="13"/>
      <c r="P181" s="14">
        <f>+P180+O181</f>
        <v>-15075531.394518849</v>
      </c>
      <c r="Q181" s="13"/>
      <c r="R181" s="14">
        <f>+R180+Q181</f>
        <v>-161757.05279506245</v>
      </c>
      <c r="S181" s="12"/>
    </row>
    <row r="182" spans="1:19" ht="15.75">
      <c r="A182" s="39"/>
      <c r="B182" s="6" t="s">
        <v>163</v>
      </c>
      <c r="C182" s="65"/>
      <c r="D182" s="73"/>
      <c r="E182" s="29"/>
      <c r="F182" s="14">
        <f>+F181+E182</f>
        <v>14968708.332932556</v>
      </c>
      <c r="G182" s="13">
        <f>-E181</f>
        <v>439247.77930839994</v>
      </c>
      <c r="H182" s="14">
        <f>+H181+G182</f>
        <v>-888892.938413711</v>
      </c>
      <c r="I182" s="25"/>
      <c r="J182" s="14">
        <f>+J181+I182</f>
        <v>161757.05279506245</v>
      </c>
      <c r="K182" s="315"/>
      <c r="L182" s="15"/>
      <c r="M182" s="13">
        <f>-G182</f>
        <v>-439247.77930839994</v>
      </c>
      <c r="N182" s="14">
        <f>+N181+M182</f>
        <v>0</v>
      </c>
      <c r="O182" s="13"/>
      <c r="P182" s="14">
        <f>+P181+O182</f>
        <v>-15075531.394518849</v>
      </c>
      <c r="Q182" s="13"/>
      <c r="R182" s="14">
        <f>+R181+Q182</f>
        <v>-161757.05279506245</v>
      </c>
      <c r="S182" s="12"/>
    </row>
    <row r="183" spans="1:19" ht="15.75">
      <c r="A183" s="41" t="s">
        <v>47</v>
      </c>
      <c r="B183" s="6" t="s">
        <v>153</v>
      </c>
      <c r="C183" s="65"/>
      <c r="D183" s="73"/>
      <c r="E183" s="29"/>
      <c r="F183" s="14">
        <f>+F182+E183</f>
        <v>14968708.332932556</v>
      </c>
      <c r="G183" s="29">
        <f>+$J$426</f>
        <v>283198.9641666667</v>
      </c>
      <c r="H183" s="14">
        <f>+H182+G183</f>
        <v>-605693.9742470444</v>
      </c>
      <c r="I183" s="13"/>
      <c r="J183" s="14">
        <f>+J182+I183</f>
        <v>161757.05279506245</v>
      </c>
      <c r="K183" s="315"/>
      <c r="L183" s="15"/>
      <c r="M183" s="13"/>
      <c r="N183" s="14">
        <f>+N182+M183</f>
        <v>0</v>
      </c>
      <c r="O183" s="13">
        <f>-G183</f>
        <v>-283198.9641666667</v>
      </c>
      <c r="P183" s="14">
        <f>+P182+O183</f>
        <v>-15358730.358685516</v>
      </c>
      <c r="Q183" s="13"/>
      <c r="R183" s="14">
        <f>+R182+Q183</f>
        <v>-161757.05279506245</v>
      </c>
      <c r="S183" s="12"/>
    </row>
    <row r="184" spans="1:19" ht="15.75">
      <c r="A184" s="39"/>
      <c r="B184" s="6" t="s">
        <v>17</v>
      </c>
      <c r="C184" s="65"/>
      <c r="D184" s="73"/>
      <c r="E184" s="29">
        <f>+'Total Billings'!D97</f>
        <v>320433.8813844</v>
      </c>
      <c r="F184" s="14">
        <f>+F183+E184</f>
        <v>15289142.214316957</v>
      </c>
      <c r="G184" s="13"/>
      <c r="H184" s="14">
        <f>+H183+G184</f>
        <v>-605693.9742470444</v>
      </c>
      <c r="I184" s="13"/>
      <c r="J184" s="14">
        <f>+J183+I184</f>
        <v>161757.05279506245</v>
      </c>
      <c r="K184" s="315"/>
      <c r="L184" s="15"/>
      <c r="M184" s="13">
        <f>-E184</f>
        <v>-320433.8813844</v>
      </c>
      <c r="N184" s="14">
        <f>+N183+M184</f>
        <v>-320433.8813844</v>
      </c>
      <c r="O184" s="13"/>
      <c r="P184" s="14">
        <f>+P183+O184</f>
        <v>-15358730.358685516</v>
      </c>
      <c r="Q184" s="13"/>
      <c r="R184" s="14">
        <f>+R183+Q184</f>
        <v>-161757.05279506245</v>
      </c>
      <c r="S184" s="12"/>
    </row>
    <row r="185" spans="1:19" ht="15.75">
      <c r="A185" s="39"/>
      <c r="B185" s="6" t="s">
        <v>156</v>
      </c>
      <c r="C185" s="65"/>
      <c r="D185" s="73"/>
      <c r="E185" s="29"/>
      <c r="F185" s="14">
        <f>+F184+E185</f>
        <v>15289142.214316957</v>
      </c>
      <c r="G185" s="29">
        <f>-E184</f>
        <v>-320433.8813844</v>
      </c>
      <c r="H185" s="14">
        <f>+H184+G185</f>
        <v>-926127.8556314444</v>
      </c>
      <c r="I185" s="13">
        <f>+H180*$G$430/12</f>
        <v>-8024.18350290442</v>
      </c>
      <c r="J185" s="14">
        <f>+J184+I185</f>
        <v>153732.86929215802</v>
      </c>
      <c r="K185" s="315"/>
      <c r="L185" s="15"/>
      <c r="M185" s="13">
        <f>-G185</f>
        <v>320433.8813844</v>
      </c>
      <c r="N185" s="14">
        <f>+N184+M185</f>
        <v>0</v>
      </c>
      <c r="O185" s="13"/>
      <c r="P185" s="14">
        <f>+P184+O185</f>
        <v>-15358730.358685516</v>
      </c>
      <c r="Q185" s="13">
        <f>-I185</f>
        <v>8024.18350290442</v>
      </c>
      <c r="R185" s="14">
        <f>+R184+Q185</f>
        <v>-153732.86929215802</v>
      </c>
      <c r="S185" s="12"/>
    </row>
    <row r="186" spans="1:19" ht="15.75">
      <c r="A186" s="41" t="s">
        <v>48</v>
      </c>
      <c r="B186" s="6" t="s">
        <v>153</v>
      </c>
      <c r="C186" s="65"/>
      <c r="D186" s="73"/>
      <c r="E186" s="29"/>
      <c r="F186" s="14">
        <f aca="true" t="shared" si="40" ref="F186:F191">+F185+E186</f>
        <v>15289142.214316957</v>
      </c>
      <c r="G186" s="29">
        <f>+$J$426</f>
        <v>283198.9641666667</v>
      </c>
      <c r="H186" s="14">
        <f aca="true" t="shared" si="41" ref="H186:H191">+H185+G186</f>
        <v>-642928.8914647778</v>
      </c>
      <c r="I186" s="13"/>
      <c r="J186" s="14">
        <f aca="true" t="shared" si="42" ref="J186:J191">+J185+I186</f>
        <v>153732.86929215802</v>
      </c>
      <c r="K186" s="315"/>
      <c r="L186" s="15"/>
      <c r="M186" s="13"/>
      <c r="N186" s="14">
        <f aca="true" t="shared" si="43" ref="N186:N191">+N185+M186</f>
        <v>0</v>
      </c>
      <c r="O186" s="13">
        <f>-G186</f>
        <v>-283198.9641666667</v>
      </c>
      <c r="P186" s="14">
        <f aca="true" t="shared" si="44" ref="P186:P191">+P185+O186</f>
        <v>-15641929.322852183</v>
      </c>
      <c r="Q186" s="13"/>
      <c r="R186" s="14">
        <f aca="true" t="shared" si="45" ref="R186:R191">+R185+Q186</f>
        <v>-153732.86929215802</v>
      </c>
      <c r="S186" s="12"/>
    </row>
    <row r="187" spans="1:19" ht="15.75">
      <c r="A187" s="39"/>
      <c r="B187" s="6" t="s">
        <v>17</v>
      </c>
      <c r="C187" s="65"/>
      <c r="D187" s="73"/>
      <c r="E187" s="29">
        <f>+'Total Billings'!D98</f>
        <v>307810.3582786</v>
      </c>
      <c r="F187" s="14">
        <f t="shared" si="40"/>
        <v>15596952.572595557</v>
      </c>
      <c r="G187" s="29"/>
      <c r="H187" s="14">
        <f t="shared" si="41"/>
        <v>-642928.8914647778</v>
      </c>
      <c r="I187" s="13"/>
      <c r="J187" s="14">
        <f t="shared" si="42"/>
        <v>153732.86929215802</v>
      </c>
      <c r="K187" s="315"/>
      <c r="L187" s="15"/>
      <c r="M187" s="13">
        <f>-E187</f>
        <v>-307810.3582786</v>
      </c>
      <c r="N187" s="14">
        <f t="shared" si="43"/>
        <v>-307810.3582786</v>
      </c>
      <c r="O187" s="13"/>
      <c r="P187" s="14">
        <f t="shared" si="44"/>
        <v>-15641929.322852183</v>
      </c>
      <c r="Q187" s="13"/>
      <c r="R187" s="14">
        <f t="shared" si="45"/>
        <v>-153732.86929215802</v>
      </c>
      <c r="S187" s="12"/>
    </row>
    <row r="188" spans="1:19" ht="15.75">
      <c r="A188" s="39"/>
      <c r="B188" s="6" t="s">
        <v>156</v>
      </c>
      <c r="C188" s="65"/>
      <c r="D188" s="73"/>
      <c r="E188" s="29"/>
      <c r="F188" s="14">
        <f t="shared" si="40"/>
        <v>15596952.572595557</v>
      </c>
      <c r="G188" s="29">
        <f>-E187</f>
        <v>-307810.3582786</v>
      </c>
      <c r="H188" s="14">
        <f t="shared" si="41"/>
        <v>-950739.2497433778</v>
      </c>
      <c r="I188" s="13">
        <f>+H185*$G$430/12</f>
        <v>-5595.355794439976</v>
      </c>
      <c r="J188" s="14">
        <f t="shared" si="42"/>
        <v>148137.51349771806</v>
      </c>
      <c r="K188" s="315"/>
      <c r="L188" s="15"/>
      <c r="M188" s="13">
        <f>-G188</f>
        <v>307810.3582786</v>
      </c>
      <c r="N188" s="14">
        <f t="shared" si="43"/>
        <v>0</v>
      </c>
      <c r="O188" s="13"/>
      <c r="P188" s="14">
        <f t="shared" si="44"/>
        <v>-15641929.322852183</v>
      </c>
      <c r="Q188" s="13">
        <f>-I188</f>
        <v>5595.355794439976</v>
      </c>
      <c r="R188" s="14">
        <f t="shared" si="45"/>
        <v>-148137.51349771806</v>
      </c>
      <c r="S188" s="12"/>
    </row>
    <row r="189" spans="1:19" ht="15.75">
      <c r="A189" s="41" t="s">
        <v>49</v>
      </c>
      <c r="B189" s="6" t="s">
        <v>153</v>
      </c>
      <c r="C189" s="65"/>
      <c r="D189" s="73"/>
      <c r="E189" s="29"/>
      <c r="F189" s="14">
        <f t="shared" si="40"/>
        <v>15596952.572595557</v>
      </c>
      <c r="G189" s="29">
        <f>+$J$426</f>
        <v>283198.9641666667</v>
      </c>
      <c r="H189" s="14">
        <f t="shared" si="41"/>
        <v>-667540.2855767112</v>
      </c>
      <c r="I189" s="13"/>
      <c r="J189" s="14">
        <f t="shared" si="42"/>
        <v>148137.51349771806</v>
      </c>
      <c r="K189" s="315"/>
      <c r="L189" s="15"/>
      <c r="M189" s="13"/>
      <c r="N189" s="14">
        <f t="shared" si="43"/>
        <v>0</v>
      </c>
      <c r="O189" s="13">
        <f>-G189</f>
        <v>-283198.9641666667</v>
      </c>
      <c r="P189" s="14">
        <f t="shared" si="44"/>
        <v>-15925128.28701885</v>
      </c>
      <c r="Q189" s="13"/>
      <c r="R189" s="14">
        <f t="shared" si="45"/>
        <v>-148137.51349771806</v>
      </c>
      <c r="S189" s="12"/>
    </row>
    <row r="190" spans="1:19" ht="15.75">
      <c r="A190" s="39"/>
      <c r="B190" s="6" t="s">
        <v>17</v>
      </c>
      <c r="C190" s="65"/>
      <c r="D190" s="73"/>
      <c r="E190" s="29">
        <f>+'Total Billings'!D99</f>
        <v>364397.2423906</v>
      </c>
      <c r="F190" s="14">
        <f t="shared" si="40"/>
        <v>15961349.814986156</v>
      </c>
      <c r="G190" s="29"/>
      <c r="H190" s="14">
        <f t="shared" si="41"/>
        <v>-667540.2855767112</v>
      </c>
      <c r="I190" s="13"/>
      <c r="J190" s="14">
        <f t="shared" si="42"/>
        <v>148137.51349771806</v>
      </c>
      <c r="K190" s="315"/>
      <c r="L190" s="15"/>
      <c r="M190" s="13">
        <f>-E190</f>
        <v>-364397.2423906</v>
      </c>
      <c r="N190" s="14">
        <f t="shared" si="43"/>
        <v>-364397.2423906</v>
      </c>
      <c r="O190" s="13"/>
      <c r="P190" s="14">
        <f t="shared" si="44"/>
        <v>-15925128.28701885</v>
      </c>
      <c r="Q190" s="13"/>
      <c r="R190" s="14">
        <f t="shared" si="45"/>
        <v>-148137.51349771806</v>
      </c>
      <c r="S190" s="12"/>
    </row>
    <row r="191" spans="1:19" ht="15.75">
      <c r="A191" s="39"/>
      <c r="B191" s="6" t="s">
        <v>156</v>
      </c>
      <c r="C191" s="65"/>
      <c r="D191" s="73"/>
      <c r="E191" s="29"/>
      <c r="F191" s="14">
        <f t="shared" si="40"/>
        <v>15961349.814986156</v>
      </c>
      <c r="G191" s="29">
        <f>-E190</f>
        <v>-364397.2423906</v>
      </c>
      <c r="H191" s="14">
        <f t="shared" si="41"/>
        <v>-1031937.5279673112</v>
      </c>
      <c r="I191" s="13">
        <f>+H188*$G$430/12</f>
        <v>-5744.049633866241</v>
      </c>
      <c r="J191" s="14">
        <f t="shared" si="42"/>
        <v>142393.46386385182</v>
      </c>
      <c r="K191" s="315"/>
      <c r="L191" s="15"/>
      <c r="M191" s="13">
        <f>-G191</f>
        <v>364397.2423906</v>
      </c>
      <c r="N191" s="14">
        <f t="shared" si="43"/>
        <v>0</v>
      </c>
      <c r="O191" s="13"/>
      <c r="P191" s="14">
        <f t="shared" si="44"/>
        <v>-15925128.28701885</v>
      </c>
      <c r="Q191" s="13">
        <f>-I191</f>
        <v>5744.049633866241</v>
      </c>
      <c r="R191" s="14">
        <f t="shared" si="45"/>
        <v>-142393.46386385182</v>
      </c>
      <c r="S191" s="12"/>
    </row>
    <row r="192" spans="1:19" ht="15.75">
      <c r="A192" s="41" t="s">
        <v>50</v>
      </c>
      <c r="B192" s="6" t="s">
        <v>153</v>
      </c>
      <c r="C192" s="65"/>
      <c r="D192" s="73"/>
      <c r="E192" s="29"/>
      <c r="F192" s="14">
        <f aca="true" t="shared" si="46" ref="F192:F202">+F191+E192</f>
        <v>15961349.814986156</v>
      </c>
      <c r="G192" s="29">
        <f>+$J$426</f>
        <v>283198.9641666667</v>
      </c>
      <c r="H192" s="14">
        <f aca="true" t="shared" si="47" ref="H192:H220">+H191+G192</f>
        <v>-748738.5638006446</v>
      </c>
      <c r="I192" s="13"/>
      <c r="J192" s="14">
        <f aca="true" t="shared" si="48" ref="J192:J220">+J191+I192</f>
        <v>142393.46386385182</v>
      </c>
      <c r="K192" s="315"/>
      <c r="L192" s="15"/>
      <c r="M192" s="13"/>
      <c r="N192" s="14">
        <f aca="true" t="shared" si="49" ref="N192:N201">+N191+M192</f>
        <v>0</v>
      </c>
      <c r="O192" s="13">
        <f>-G192</f>
        <v>-283198.9641666667</v>
      </c>
      <c r="P192" s="14">
        <f aca="true" t="shared" si="50" ref="P192:P256">+P191+O192</f>
        <v>-16208327.251185518</v>
      </c>
      <c r="Q192" s="13"/>
      <c r="R192" s="14">
        <f aca="true" t="shared" si="51" ref="R192:R256">+R191+Q192</f>
        <v>-142393.46386385182</v>
      </c>
      <c r="S192" s="12"/>
    </row>
    <row r="193" spans="1:19" ht="15.75">
      <c r="A193" s="39"/>
      <c r="B193" s="6" t="s">
        <v>155</v>
      </c>
      <c r="C193" s="65"/>
      <c r="D193" s="73"/>
      <c r="E193" s="29">
        <f>+'Total Billings'!D114</f>
        <v>616378.6651768</v>
      </c>
      <c r="F193" s="14">
        <f t="shared" si="46"/>
        <v>16577728.480162956</v>
      </c>
      <c r="G193" s="53"/>
      <c r="H193" s="14">
        <f>+H192+G193</f>
        <v>-748738.5638006446</v>
      </c>
      <c r="I193" s="13"/>
      <c r="J193" s="14">
        <f t="shared" si="48"/>
        <v>142393.46386385182</v>
      </c>
      <c r="K193" s="315"/>
      <c r="L193" s="15"/>
      <c r="M193" s="13">
        <f>-E193</f>
        <v>-616378.6651768</v>
      </c>
      <c r="N193" s="14">
        <f t="shared" si="49"/>
        <v>-616378.6651768</v>
      </c>
      <c r="O193" s="13"/>
      <c r="P193" s="14">
        <f t="shared" si="50"/>
        <v>-16208327.251185518</v>
      </c>
      <c r="Q193" s="13"/>
      <c r="R193" s="14">
        <f t="shared" si="51"/>
        <v>-142393.46386385182</v>
      </c>
      <c r="S193" s="12"/>
    </row>
    <row r="194" spans="1:19" ht="16.5" thickBot="1">
      <c r="A194" s="39"/>
      <c r="B194" s="6" t="s">
        <v>156</v>
      </c>
      <c r="C194" s="65"/>
      <c r="D194" s="73"/>
      <c r="E194" s="29"/>
      <c r="F194" s="14">
        <f t="shared" si="46"/>
        <v>16577728.480162956</v>
      </c>
      <c r="G194" s="29">
        <f>-E193</f>
        <v>-616378.6651768</v>
      </c>
      <c r="H194" s="14">
        <f>+H193+G194</f>
        <v>-1365117.2289774446</v>
      </c>
      <c r="I194" s="13">
        <f>+H191*$G$430/12</f>
        <v>-6234.622564802506</v>
      </c>
      <c r="J194" s="14">
        <f t="shared" si="48"/>
        <v>136158.84129904932</v>
      </c>
      <c r="K194" s="315"/>
      <c r="L194" s="15"/>
      <c r="M194" s="13">
        <f>-G194</f>
        <v>616378.6651768</v>
      </c>
      <c r="N194" s="14">
        <f t="shared" si="49"/>
        <v>0</v>
      </c>
      <c r="O194" s="13"/>
      <c r="P194" s="14">
        <f t="shared" si="50"/>
        <v>-16208327.251185518</v>
      </c>
      <c r="Q194" s="13">
        <f>-I194</f>
        <v>6234.622564802506</v>
      </c>
      <c r="R194" s="14">
        <f t="shared" si="51"/>
        <v>-136158.84129904932</v>
      </c>
      <c r="S194" s="12"/>
    </row>
    <row r="195" spans="1:19" ht="16.5" thickBot="1">
      <c r="A195" s="196">
        <f>+H195+J195</f>
        <v>-1511453.3876783953</v>
      </c>
      <c r="B195" s="6" t="s">
        <v>140</v>
      </c>
      <c r="C195" s="68">
        <f>+F195-F180</f>
        <v>1169772.3679220006</v>
      </c>
      <c r="D195" s="74">
        <f>+G183+G186+G189+G192</f>
        <v>1132795.8566666667</v>
      </c>
      <c r="E195" s="29"/>
      <c r="F195" s="70">
        <f t="shared" si="46"/>
        <v>16577728.480162956</v>
      </c>
      <c r="G195" s="340">
        <f>-250861-31634</f>
        <v>-282495</v>
      </c>
      <c r="H195" s="79">
        <f>+H194+G195</f>
        <v>-1647612.2289774446</v>
      </c>
      <c r="I195" s="13"/>
      <c r="J195" s="80">
        <f>+J194+I195</f>
        <v>136158.84129904932</v>
      </c>
      <c r="K195" s="317">
        <f>+J195-J180</f>
        <v>-25598.21149601313</v>
      </c>
      <c r="L195" s="15"/>
      <c r="M195" s="13"/>
      <c r="N195" s="14"/>
      <c r="O195" s="13">
        <f>-G195</f>
        <v>282495</v>
      </c>
      <c r="P195" s="14">
        <f t="shared" si="50"/>
        <v>-15925832.251185518</v>
      </c>
      <c r="Q195" s="13"/>
      <c r="R195" s="14"/>
      <c r="S195" s="12"/>
    </row>
    <row r="196" spans="1:19" ht="15.75">
      <c r="A196" s="41" t="s">
        <v>51</v>
      </c>
      <c r="B196" s="6" t="s">
        <v>150</v>
      </c>
      <c r="C196" s="65"/>
      <c r="D196" s="73"/>
      <c r="E196" s="29"/>
      <c r="F196" s="14">
        <f>+F194+E196</f>
        <v>16577728.480162956</v>
      </c>
      <c r="G196" s="29"/>
      <c r="H196" s="14">
        <f>+H194+G195</f>
        <v>-1647612.2289774446</v>
      </c>
      <c r="I196" s="13"/>
      <c r="J196" s="14">
        <f>+J194+I196</f>
        <v>136158.84129904932</v>
      </c>
      <c r="K196" s="315"/>
      <c r="L196" s="15"/>
      <c r="M196" s="13"/>
      <c r="N196" s="14">
        <f>+N194+M196</f>
        <v>0</v>
      </c>
      <c r="O196" s="13">
        <f>-G196</f>
        <v>0</v>
      </c>
      <c r="P196" s="14">
        <f t="shared" si="50"/>
        <v>-15925832.251185518</v>
      </c>
      <c r="Q196" s="13"/>
      <c r="R196" s="14">
        <f>+R194+Q196</f>
        <v>-136158.84129904932</v>
      </c>
      <c r="S196" s="12"/>
    </row>
    <row r="197" spans="1:19" ht="15.75">
      <c r="A197" s="39"/>
      <c r="B197" s="6" t="s">
        <v>154</v>
      </c>
      <c r="C197" s="65"/>
      <c r="D197" s="73"/>
      <c r="E197" s="29"/>
      <c r="F197" s="14">
        <f t="shared" si="46"/>
        <v>16577728.480162956</v>
      </c>
      <c r="G197" s="29"/>
      <c r="H197" s="14">
        <f t="shared" si="47"/>
        <v>-1647612.2289774446</v>
      </c>
      <c r="I197" s="13"/>
      <c r="J197" s="14">
        <f t="shared" si="48"/>
        <v>136158.84129904932</v>
      </c>
      <c r="K197" s="315"/>
      <c r="L197" s="15"/>
      <c r="M197" s="13">
        <f>-E197</f>
        <v>0</v>
      </c>
      <c r="N197" s="14">
        <f t="shared" si="49"/>
        <v>0</v>
      </c>
      <c r="O197" s="13"/>
      <c r="P197" s="14">
        <f t="shared" si="50"/>
        <v>-15925832.251185518</v>
      </c>
      <c r="Q197" s="13"/>
      <c r="R197" s="14">
        <f t="shared" si="51"/>
        <v>-136158.84129904932</v>
      </c>
      <c r="S197" s="12"/>
    </row>
    <row r="198" spans="1:19" ht="15.75">
      <c r="A198" s="39"/>
      <c r="B198" s="6" t="s">
        <v>156</v>
      </c>
      <c r="C198" s="65"/>
      <c r="D198" s="73"/>
      <c r="E198" s="29"/>
      <c r="F198" s="14">
        <f t="shared" si="46"/>
        <v>16577728.480162956</v>
      </c>
      <c r="G198" s="29">
        <f>-E197</f>
        <v>0</v>
      </c>
      <c r="H198" s="14">
        <f t="shared" si="47"/>
        <v>-1647612.2289774446</v>
      </c>
      <c r="I198" s="13">
        <f>+H195*$G$431/12</f>
        <v>-5684.262189972184</v>
      </c>
      <c r="J198" s="14">
        <f t="shared" si="48"/>
        <v>130474.57910907714</v>
      </c>
      <c r="K198" s="315"/>
      <c r="L198" s="15"/>
      <c r="M198" s="13">
        <f>-G198</f>
        <v>0</v>
      </c>
      <c r="N198" s="14">
        <f t="shared" si="49"/>
        <v>0</v>
      </c>
      <c r="O198" s="13"/>
      <c r="P198" s="14">
        <f t="shared" si="50"/>
        <v>-15925832.251185518</v>
      </c>
      <c r="Q198" s="13">
        <f>-I198</f>
        <v>5684.262189972184</v>
      </c>
      <c r="R198" s="14">
        <f t="shared" si="51"/>
        <v>-130474.57910907714</v>
      </c>
      <c r="S198" s="12"/>
    </row>
    <row r="199" spans="1:19" ht="15.75">
      <c r="A199" s="41" t="s">
        <v>52</v>
      </c>
      <c r="B199" s="6" t="s">
        <v>150</v>
      </c>
      <c r="C199" s="65"/>
      <c r="D199" s="73"/>
      <c r="E199" s="29"/>
      <c r="F199" s="14">
        <f t="shared" si="46"/>
        <v>16577728.480162956</v>
      </c>
      <c r="G199" s="29"/>
      <c r="H199" s="14">
        <f t="shared" si="47"/>
        <v>-1647612.2289774446</v>
      </c>
      <c r="I199" s="13"/>
      <c r="J199" s="14">
        <f t="shared" si="48"/>
        <v>130474.57910907714</v>
      </c>
      <c r="K199" s="315"/>
      <c r="L199" s="15"/>
      <c r="M199" s="13"/>
      <c r="N199" s="14">
        <f t="shared" si="49"/>
        <v>0</v>
      </c>
      <c r="O199" s="13">
        <f>-G199</f>
        <v>0</v>
      </c>
      <c r="P199" s="14">
        <f t="shared" si="50"/>
        <v>-15925832.251185518</v>
      </c>
      <c r="Q199" s="13"/>
      <c r="R199" s="14">
        <f t="shared" si="51"/>
        <v>-130474.57910907714</v>
      </c>
      <c r="S199" s="12"/>
    </row>
    <row r="200" spans="1:19" ht="15.75">
      <c r="A200" s="39"/>
      <c r="B200" s="6" t="s">
        <v>154</v>
      </c>
      <c r="C200" s="65"/>
      <c r="D200" s="73"/>
      <c r="E200" s="29"/>
      <c r="F200" s="14">
        <f t="shared" si="46"/>
        <v>16577728.480162956</v>
      </c>
      <c r="G200" s="29"/>
      <c r="H200" s="14">
        <f t="shared" si="47"/>
        <v>-1647612.2289774446</v>
      </c>
      <c r="I200" s="13"/>
      <c r="J200" s="14">
        <f t="shared" si="48"/>
        <v>130474.57910907714</v>
      </c>
      <c r="K200" s="315"/>
      <c r="L200" s="15"/>
      <c r="M200" s="13">
        <f>-E200</f>
        <v>0</v>
      </c>
      <c r="N200" s="14">
        <f t="shared" si="49"/>
        <v>0</v>
      </c>
      <c r="O200" s="13"/>
      <c r="P200" s="14">
        <f t="shared" si="50"/>
        <v>-15925832.251185518</v>
      </c>
      <c r="Q200" s="13"/>
      <c r="R200" s="14">
        <f t="shared" si="51"/>
        <v>-130474.57910907714</v>
      </c>
      <c r="S200" s="12"/>
    </row>
    <row r="201" spans="1:19" ht="15.75">
      <c r="A201" s="42"/>
      <c r="B201" s="6" t="s">
        <v>156</v>
      </c>
      <c r="C201" s="65"/>
      <c r="D201" s="73"/>
      <c r="E201" s="29"/>
      <c r="F201" s="14">
        <f t="shared" si="46"/>
        <v>16577728.480162956</v>
      </c>
      <c r="G201" s="29">
        <f>-E200</f>
        <v>0</v>
      </c>
      <c r="H201" s="14">
        <f t="shared" si="47"/>
        <v>-1647612.2289774446</v>
      </c>
      <c r="I201" s="13">
        <f>+H198*$G$431/12</f>
        <v>-5684.262189972184</v>
      </c>
      <c r="J201" s="14">
        <f t="shared" si="48"/>
        <v>124790.31691910495</v>
      </c>
      <c r="K201" s="315"/>
      <c r="L201" s="15"/>
      <c r="M201" s="13">
        <f>-G201</f>
        <v>0</v>
      </c>
      <c r="N201" s="14">
        <f t="shared" si="49"/>
        <v>0</v>
      </c>
      <c r="O201" s="13"/>
      <c r="P201" s="14">
        <f t="shared" si="50"/>
        <v>-15925832.251185518</v>
      </c>
      <c r="Q201" s="13">
        <f>-I201</f>
        <v>5684.262189972184</v>
      </c>
      <c r="R201" s="14">
        <f t="shared" si="51"/>
        <v>-124790.31691910495</v>
      </c>
      <c r="S201" s="12"/>
    </row>
    <row r="202" spans="1:19" ht="15.75">
      <c r="A202" s="42"/>
      <c r="B202" s="54"/>
      <c r="C202" s="69"/>
      <c r="D202" s="76"/>
      <c r="E202" s="29"/>
      <c r="F202" s="14">
        <f t="shared" si="46"/>
        <v>16577728.480162956</v>
      </c>
      <c r="G202" s="53"/>
      <c r="H202" s="14">
        <f t="shared" si="47"/>
        <v>-1647612.2289774446</v>
      </c>
      <c r="I202" s="13"/>
      <c r="J202" s="14">
        <f t="shared" si="48"/>
        <v>124790.31691910495</v>
      </c>
      <c r="K202" s="315"/>
      <c r="L202" s="15"/>
      <c r="M202" s="13"/>
      <c r="N202" s="14"/>
      <c r="O202" s="13">
        <f>-G202</f>
        <v>0</v>
      </c>
      <c r="P202" s="14">
        <f t="shared" si="50"/>
        <v>-15925832.251185518</v>
      </c>
      <c r="Q202" s="13"/>
      <c r="R202" s="14">
        <f t="shared" si="51"/>
        <v>-124790.31691910495</v>
      </c>
      <c r="S202" s="12"/>
    </row>
    <row r="203" spans="1:19" ht="15.75">
      <c r="A203" s="41" t="s">
        <v>53</v>
      </c>
      <c r="B203" s="6" t="s">
        <v>150</v>
      </c>
      <c r="C203" s="65"/>
      <c r="D203" s="73"/>
      <c r="E203" s="29"/>
      <c r="F203" s="14">
        <f>+F201+E203</f>
        <v>16577728.480162956</v>
      </c>
      <c r="G203" s="29"/>
      <c r="H203" s="14">
        <f t="shared" si="47"/>
        <v>-1647612.2289774446</v>
      </c>
      <c r="I203" s="13"/>
      <c r="J203" s="14">
        <f t="shared" si="48"/>
        <v>124790.31691910495</v>
      </c>
      <c r="K203" s="315"/>
      <c r="L203" s="15"/>
      <c r="M203" s="13"/>
      <c r="N203" s="14">
        <f>+N201+M203</f>
        <v>0</v>
      </c>
      <c r="O203" s="13">
        <f>-G203</f>
        <v>0</v>
      </c>
      <c r="P203" s="14">
        <f t="shared" si="50"/>
        <v>-15925832.251185518</v>
      </c>
      <c r="Q203" s="13"/>
      <c r="R203" s="14">
        <f t="shared" si="51"/>
        <v>-124790.31691910495</v>
      </c>
      <c r="S203" s="12"/>
    </row>
    <row r="204" spans="1:19" ht="15.75">
      <c r="A204" s="39"/>
      <c r="B204" s="6" t="s">
        <v>154</v>
      </c>
      <c r="C204" s="65"/>
      <c r="D204" s="73"/>
      <c r="E204" s="29"/>
      <c r="F204" s="14">
        <f aca="true" t="shared" si="52" ref="F204:F211">+F203+E204</f>
        <v>16577728.480162956</v>
      </c>
      <c r="G204" s="29"/>
      <c r="H204" s="14">
        <f t="shared" si="47"/>
        <v>-1647612.2289774446</v>
      </c>
      <c r="I204" s="13"/>
      <c r="J204" s="14">
        <f t="shared" si="48"/>
        <v>124790.31691910495</v>
      </c>
      <c r="K204" s="315"/>
      <c r="L204" s="15"/>
      <c r="M204" s="13">
        <f>-E204</f>
        <v>0</v>
      </c>
      <c r="N204" s="14">
        <f aca="true" t="shared" si="53" ref="N204:N211">+N203+M204</f>
        <v>0</v>
      </c>
      <c r="O204" s="13"/>
      <c r="P204" s="14">
        <f t="shared" si="50"/>
        <v>-15925832.251185518</v>
      </c>
      <c r="Q204" s="13"/>
      <c r="R204" s="14">
        <f t="shared" si="51"/>
        <v>-124790.31691910495</v>
      </c>
      <c r="S204" s="12"/>
    </row>
    <row r="205" spans="1:19" ht="15.75">
      <c r="A205" s="39"/>
      <c r="B205" s="6" t="s">
        <v>156</v>
      </c>
      <c r="C205" s="65"/>
      <c r="D205" s="73"/>
      <c r="E205" s="29"/>
      <c r="F205" s="14">
        <f t="shared" si="52"/>
        <v>16577728.480162956</v>
      </c>
      <c r="G205" s="29">
        <f>-E204</f>
        <v>0</v>
      </c>
      <c r="H205" s="14">
        <f t="shared" si="47"/>
        <v>-1647612.2289774446</v>
      </c>
      <c r="I205" s="13">
        <f>+H202*$G$432/12</f>
        <v>-6302.116775838726</v>
      </c>
      <c r="J205" s="14">
        <f t="shared" si="48"/>
        <v>118488.20014326622</v>
      </c>
      <c r="K205" s="315"/>
      <c r="L205" s="15"/>
      <c r="M205" s="13">
        <f>-G205</f>
        <v>0</v>
      </c>
      <c r="N205" s="14">
        <f t="shared" si="53"/>
        <v>0</v>
      </c>
      <c r="O205" s="13"/>
      <c r="P205" s="14">
        <f t="shared" si="50"/>
        <v>-15925832.251185518</v>
      </c>
      <c r="Q205" s="13">
        <f>-I205</f>
        <v>6302.116775838726</v>
      </c>
      <c r="R205" s="14">
        <f t="shared" si="51"/>
        <v>-118488.20014326622</v>
      </c>
      <c r="S205" s="12"/>
    </row>
    <row r="206" spans="1:19" ht="15.75">
      <c r="A206" s="41" t="s">
        <v>54</v>
      </c>
      <c r="B206" s="6" t="s">
        <v>150</v>
      </c>
      <c r="C206" s="65"/>
      <c r="D206" s="73"/>
      <c r="E206" s="29"/>
      <c r="F206" s="14">
        <f t="shared" si="52"/>
        <v>16577728.480162956</v>
      </c>
      <c r="G206" s="29"/>
      <c r="H206" s="14">
        <f t="shared" si="47"/>
        <v>-1647612.2289774446</v>
      </c>
      <c r="I206" s="13"/>
      <c r="J206" s="14">
        <f t="shared" si="48"/>
        <v>118488.20014326622</v>
      </c>
      <c r="K206" s="315"/>
      <c r="L206" s="15"/>
      <c r="M206" s="13"/>
      <c r="N206" s="14">
        <f t="shared" si="53"/>
        <v>0</v>
      </c>
      <c r="O206" s="13">
        <f>-G206</f>
        <v>0</v>
      </c>
      <c r="P206" s="14">
        <f t="shared" si="50"/>
        <v>-15925832.251185518</v>
      </c>
      <c r="Q206" s="13"/>
      <c r="R206" s="14">
        <f t="shared" si="51"/>
        <v>-118488.20014326622</v>
      </c>
      <c r="S206" s="12"/>
    </row>
    <row r="207" spans="1:19" ht="15.75">
      <c r="A207" s="39"/>
      <c r="B207" s="6" t="s">
        <v>154</v>
      </c>
      <c r="C207" s="65"/>
      <c r="D207" s="73"/>
      <c r="E207" s="29"/>
      <c r="F207" s="14">
        <f t="shared" si="52"/>
        <v>16577728.480162956</v>
      </c>
      <c r="G207" s="13"/>
      <c r="H207" s="14">
        <f t="shared" si="47"/>
        <v>-1647612.2289774446</v>
      </c>
      <c r="I207" s="13"/>
      <c r="J207" s="14">
        <f t="shared" si="48"/>
        <v>118488.20014326622</v>
      </c>
      <c r="K207" s="315"/>
      <c r="L207" s="15"/>
      <c r="M207" s="13">
        <f>-E207</f>
        <v>0</v>
      </c>
      <c r="N207" s="14">
        <f t="shared" si="53"/>
        <v>0</v>
      </c>
      <c r="O207" s="13"/>
      <c r="P207" s="14">
        <f t="shared" si="50"/>
        <v>-15925832.251185518</v>
      </c>
      <c r="Q207" s="13"/>
      <c r="R207" s="14">
        <f t="shared" si="51"/>
        <v>-118488.20014326622</v>
      </c>
      <c r="S207" s="12"/>
    </row>
    <row r="208" spans="1:19" ht="15.75">
      <c r="A208" s="39"/>
      <c r="B208" s="6" t="s">
        <v>156</v>
      </c>
      <c r="C208" s="65"/>
      <c r="D208" s="73"/>
      <c r="E208" s="29"/>
      <c r="F208" s="14">
        <f t="shared" si="52"/>
        <v>16577728.480162956</v>
      </c>
      <c r="G208" s="13">
        <f>-E207</f>
        <v>0</v>
      </c>
      <c r="H208" s="14">
        <f t="shared" si="47"/>
        <v>-1647612.2289774446</v>
      </c>
      <c r="I208" s="13">
        <f>+H205*$G$432/12</f>
        <v>-6302.116775838726</v>
      </c>
      <c r="J208" s="14">
        <f t="shared" si="48"/>
        <v>112186.08336742749</v>
      </c>
      <c r="K208" s="315"/>
      <c r="L208" s="15"/>
      <c r="M208" s="13">
        <f>-G208</f>
        <v>0</v>
      </c>
      <c r="N208" s="14">
        <f t="shared" si="53"/>
        <v>0</v>
      </c>
      <c r="O208" s="13"/>
      <c r="P208" s="14">
        <f t="shared" si="50"/>
        <v>-15925832.251185518</v>
      </c>
      <c r="Q208" s="13">
        <f>-I208</f>
        <v>6302.116775838726</v>
      </c>
      <c r="R208" s="14">
        <f t="shared" si="51"/>
        <v>-112186.08336742749</v>
      </c>
      <c r="S208" s="12"/>
    </row>
    <row r="209" spans="1:19" ht="15.75">
      <c r="A209" s="41" t="s">
        <v>55</v>
      </c>
      <c r="B209" s="6" t="s">
        <v>150</v>
      </c>
      <c r="C209" s="65"/>
      <c r="D209" s="73"/>
      <c r="E209" s="29"/>
      <c r="F209" s="14">
        <f t="shared" si="52"/>
        <v>16577728.480162956</v>
      </c>
      <c r="G209" s="29"/>
      <c r="H209" s="14">
        <f t="shared" si="47"/>
        <v>-1647612.2289774446</v>
      </c>
      <c r="I209" s="13"/>
      <c r="J209" s="14">
        <f t="shared" si="48"/>
        <v>112186.08336742749</v>
      </c>
      <c r="K209" s="315"/>
      <c r="L209" s="15"/>
      <c r="M209" s="13"/>
      <c r="N209" s="14">
        <f t="shared" si="53"/>
        <v>0</v>
      </c>
      <c r="O209" s="13">
        <f>-G209</f>
        <v>0</v>
      </c>
      <c r="P209" s="14">
        <f t="shared" si="50"/>
        <v>-15925832.251185518</v>
      </c>
      <c r="Q209" s="13"/>
      <c r="R209" s="14">
        <f t="shared" si="51"/>
        <v>-112186.08336742749</v>
      </c>
      <c r="S209" s="12"/>
    </row>
    <row r="210" spans="1:19" ht="15.75">
      <c r="A210" s="39"/>
      <c r="B210" s="6" t="s">
        <v>154</v>
      </c>
      <c r="C210" s="65"/>
      <c r="D210" s="73"/>
      <c r="E210" s="29"/>
      <c r="F210" s="14">
        <f t="shared" si="52"/>
        <v>16577728.480162956</v>
      </c>
      <c r="G210" s="13"/>
      <c r="H210" s="14">
        <f t="shared" si="47"/>
        <v>-1647612.2289774446</v>
      </c>
      <c r="I210" s="13"/>
      <c r="J210" s="14">
        <f t="shared" si="48"/>
        <v>112186.08336742749</v>
      </c>
      <c r="K210" s="315"/>
      <c r="L210" s="15"/>
      <c r="M210" s="13">
        <f>-E210</f>
        <v>0</v>
      </c>
      <c r="N210" s="14">
        <f t="shared" si="53"/>
        <v>0</v>
      </c>
      <c r="O210" s="13"/>
      <c r="P210" s="14">
        <f t="shared" si="50"/>
        <v>-15925832.251185518</v>
      </c>
      <c r="Q210" s="13"/>
      <c r="R210" s="14">
        <f t="shared" si="51"/>
        <v>-112186.08336742749</v>
      </c>
      <c r="S210" s="12"/>
    </row>
    <row r="211" spans="1:19" ht="15.75">
      <c r="A211" s="39"/>
      <c r="B211" s="6" t="s">
        <v>156</v>
      </c>
      <c r="C211" s="65"/>
      <c r="D211" s="73"/>
      <c r="E211" s="29"/>
      <c r="F211" s="14">
        <f t="shared" si="52"/>
        <v>16577728.480162956</v>
      </c>
      <c r="G211" s="13">
        <f>-E210</f>
        <v>0</v>
      </c>
      <c r="H211" s="14">
        <f t="shared" si="47"/>
        <v>-1647612.2289774446</v>
      </c>
      <c r="I211" s="13">
        <f>+H208*$G$432/12</f>
        <v>-6302.116775838726</v>
      </c>
      <c r="J211" s="14">
        <f t="shared" si="48"/>
        <v>105883.96659158876</v>
      </c>
      <c r="K211" s="315"/>
      <c r="L211" s="15"/>
      <c r="M211" s="13">
        <f>-G211</f>
        <v>0</v>
      </c>
      <c r="N211" s="14">
        <f t="shared" si="53"/>
        <v>0</v>
      </c>
      <c r="O211" s="13"/>
      <c r="P211" s="14">
        <f t="shared" si="50"/>
        <v>-15925832.251185518</v>
      </c>
      <c r="Q211" s="13">
        <f>-I211</f>
        <v>6302.116775838726</v>
      </c>
      <c r="R211" s="14">
        <f t="shared" si="51"/>
        <v>-105883.96659158876</v>
      </c>
      <c r="S211" s="12"/>
    </row>
    <row r="212" spans="1:19" ht="15.75">
      <c r="A212" s="41" t="s">
        <v>44</v>
      </c>
      <c r="B212" s="6" t="s">
        <v>150</v>
      </c>
      <c r="C212" s="65"/>
      <c r="D212" s="73"/>
      <c r="E212" s="29"/>
      <c r="F212" s="14">
        <f aca="true" t="shared" si="54" ref="F212:F217">+F211+E212</f>
        <v>16577728.480162956</v>
      </c>
      <c r="G212" s="29"/>
      <c r="H212" s="14">
        <f t="shared" si="47"/>
        <v>-1647612.2289774446</v>
      </c>
      <c r="I212" s="13"/>
      <c r="J212" s="14">
        <f t="shared" si="48"/>
        <v>105883.96659158876</v>
      </c>
      <c r="K212" s="315"/>
      <c r="L212" s="15"/>
      <c r="M212" s="13"/>
      <c r="N212" s="14">
        <f aca="true" t="shared" si="55" ref="N212:N217">+N211+M212</f>
        <v>0</v>
      </c>
      <c r="O212" s="13">
        <f>-G212</f>
        <v>0</v>
      </c>
      <c r="P212" s="14">
        <f t="shared" si="50"/>
        <v>-15925832.251185518</v>
      </c>
      <c r="Q212" s="13"/>
      <c r="R212" s="14">
        <f t="shared" si="51"/>
        <v>-105883.96659158876</v>
      </c>
      <c r="S212" s="12"/>
    </row>
    <row r="213" spans="1:19" ht="15.75">
      <c r="A213" s="39"/>
      <c r="B213" s="6" t="s">
        <v>154</v>
      </c>
      <c r="C213" s="65"/>
      <c r="D213" s="73"/>
      <c r="E213" s="13"/>
      <c r="F213" s="14">
        <f t="shared" si="54"/>
        <v>16577728.480162956</v>
      </c>
      <c r="G213" s="13"/>
      <c r="H213" s="14">
        <f t="shared" si="47"/>
        <v>-1647612.2289774446</v>
      </c>
      <c r="I213" s="13"/>
      <c r="J213" s="14">
        <f t="shared" si="48"/>
        <v>105883.96659158876</v>
      </c>
      <c r="K213" s="315"/>
      <c r="L213" s="15"/>
      <c r="M213" s="13">
        <f>-E213</f>
        <v>0</v>
      </c>
      <c r="N213" s="14">
        <f t="shared" si="55"/>
        <v>0</v>
      </c>
      <c r="O213" s="13"/>
      <c r="P213" s="14">
        <f t="shared" si="50"/>
        <v>-15925832.251185518</v>
      </c>
      <c r="Q213" s="13"/>
      <c r="R213" s="14">
        <f t="shared" si="51"/>
        <v>-105883.96659158876</v>
      </c>
      <c r="S213" s="12"/>
    </row>
    <row r="214" spans="1:19" ht="15.75">
      <c r="A214" s="39"/>
      <c r="B214" s="6" t="s">
        <v>156</v>
      </c>
      <c r="C214" s="65"/>
      <c r="D214" s="73"/>
      <c r="E214" s="13"/>
      <c r="F214" s="14">
        <f t="shared" si="54"/>
        <v>16577728.480162956</v>
      </c>
      <c r="G214" s="13">
        <f>-E213</f>
        <v>0</v>
      </c>
      <c r="H214" s="14">
        <f t="shared" si="47"/>
        <v>-1647612.2289774446</v>
      </c>
      <c r="I214" s="13">
        <f>+H211*$G$433/12</f>
        <v>-6302.116775838726</v>
      </c>
      <c r="J214" s="14">
        <f t="shared" si="48"/>
        <v>99581.84981575003</v>
      </c>
      <c r="K214" s="315"/>
      <c r="L214" s="15"/>
      <c r="M214" s="13">
        <f>-G214</f>
        <v>0</v>
      </c>
      <c r="N214" s="14">
        <f t="shared" si="55"/>
        <v>0</v>
      </c>
      <c r="O214" s="13"/>
      <c r="P214" s="14">
        <f t="shared" si="50"/>
        <v>-15925832.251185518</v>
      </c>
      <c r="Q214" s="13">
        <f>-I214</f>
        <v>6302.116775838726</v>
      </c>
      <c r="R214" s="14">
        <f t="shared" si="51"/>
        <v>-99581.84981575003</v>
      </c>
      <c r="S214" s="12"/>
    </row>
    <row r="215" spans="1:19" ht="15.75">
      <c r="A215" s="41" t="s">
        <v>56</v>
      </c>
      <c r="B215" s="6" t="s">
        <v>150</v>
      </c>
      <c r="C215" s="65"/>
      <c r="D215" s="73"/>
      <c r="E215" s="13"/>
      <c r="F215" s="14">
        <f t="shared" si="54"/>
        <v>16577728.480162956</v>
      </c>
      <c r="G215" s="29"/>
      <c r="H215" s="14">
        <f t="shared" si="47"/>
        <v>-1647612.2289774446</v>
      </c>
      <c r="I215" s="13"/>
      <c r="J215" s="14">
        <f t="shared" si="48"/>
        <v>99581.84981575003</v>
      </c>
      <c r="K215" s="315"/>
      <c r="L215" s="15"/>
      <c r="M215" s="13"/>
      <c r="N215" s="14">
        <f t="shared" si="55"/>
        <v>0</v>
      </c>
      <c r="O215" s="13">
        <f>-G215</f>
        <v>0</v>
      </c>
      <c r="P215" s="14">
        <f t="shared" si="50"/>
        <v>-15925832.251185518</v>
      </c>
      <c r="Q215" s="13"/>
      <c r="R215" s="14">
        <f t="shared" si="51"/>
        <v>-99581.84981575003</v>
      </c>
      <c r="S215" s="12"/>
    </row>
    <row r="216" spans="1:19" ht="15.75">
      <c r="A216" s="39"/>
      <c r="B216" s="6" t="s">
        <v>154</v>
      </c>
      <c r="C216" s="65"/>
      <c r="D216" s="73"/>
      <c r="E216" s="13"/>
      <c r="F216" s="14">
        <f t="shared" si="54"/>
        <v>16577728.480162956</v>
      </c>
      <c r="G216" s="13"/>
      <c r="H216" s="14">
        <f t="shared" si="47"/>
        <v>-1647612.2289774446</v>
      </c>
      <c r="I216" s="13"/>
      <c r="J216" s="14">
        <f t="shared" si="48"/>
        <v>99581.84981575003</v>
      </c>
      <c r="K216" s="315"/>
      <c r="L216" s="15"/>
      <c r="M216" s="13">
        <f>-E216</f>
        <v>0</v>
      </c>
      <c r="N216" s="14">
        <f t="shared" si="55"/>
        <v>0</v>
      </c>
      <c r="O216" s="13"/>
      <c r="P216" s="14">
        <f t="shared" si="50"/>
        <v>-15925832.251185518</v>
      </c>
      <c r="Q216" s="13"/>
      <c r="R216" s="14">
        <f t="shared" si="51"/>
        <v>-99581.84981575003</v>
      </c>
      <c r="S216" s="12"/>
    </row>
    <row r="217" spans="1:19" ht="15.75">
      <c r="A217" s="39"/>
      <c r="B217" s="6" t="s">
        <v>156</v>
      </c>
      <c r="C217" s="65"/>
      <c r="D217" s="73"/>
      <c r="E217" s="13"/>
      <c r="F217" s="14">
        <f t="shared" si="54"/>
        <v>16577728.480162956</v>
      </c>
      <c r="G217" s="13">
        <f>-E216</f>
        <v>0</v>
      </c>
      <c r="H217" s="14">
        <f t="shared" si="47"/>
        <v>-1647612.2289774446</v>
      </c>
      <c r="I217" s="13">
        <f>+H214*$G$433/12</f>
        <v>-6302.116775838726</v>
      </c>
      <c r="J217" s="14">
        <f t="shared" si="48"/>
        <v>93279.7330399113</v>
      </c>
      <c r="K217" s="315"/>
      <c r="L217" s="15"/>
      <c r="M217" s="13">
        <f>-G217</f>
        <v>0</v>
      </c>
      <c r="N217" s="14">
        <f t="shared" si="55"/>
        <v>0</v>
      </c>
      <c r="O217" s="13"/>
      <c r="P217" s="14">
        <f t="shared" si="50"/>
        <v>-15925832.251185518</v>
      </c>
      <c r="Q217" s="13">
        <f>-I217</f>
        <v>6302.116775838726</v>
      </c>
      <c r="R217" s="14">
        <f t="shared" si="51"/>
        <v>-93279.7330399113</v>
      </c>
      <c r="S217" s="12"/>
    </row>
    <row r="218" spans="1:19" ht="15.75">
      <c r="A218" s="41" t="s">
        <v>46</v>
      </c>
      <c r="B218" s="6" t="s">
        <v>150</v>
      </c>
      <c r="C218" s="65"/>
      <c r="D218" s="73"/>
      <c r="E218" s="13"/>
      <c r="F218" s="14">
        <f>+F217+E218</f>
        <v>16577728.480162956</v>
      </c>
      <c r="G218" s="29"/>
      <c r="H218" s="14">
        <f t="shared" si="47"/>
        <v>-1647612.2289774446</v>
      </c>
      <c r="I218" s="13"/>
      <c r="J218" s="14">
        <f t="shared" si="48"/>
        <v>93279.7330399113</v>
      </c>
      <c r="K218" s="315"/>
      <c r="L218" s="15"/>
      <c r="M218" s="13"/>
      <c r="N218" s="14">
        <f>+N217+M218</f>
        <v>0</v>
      </c>
      <c r="O218" s="13">
        <f>-G218</f>
        <v>0</v>
      </c>
      <c r="P218" s="14">
        <f t="shared" si="50"/>
        <v>-15925832.251185518</v>
      </c>
      <c r="Q218" s="13"/>
      <c r="R218" s="14">
        <f t="shared" si="51"/>
        <v>-93279.7330399113</v>
      </c>
      <c r="S218" s="12"/>
    </row>
    <row r="219" spans="1:19" ht="15.75">
      <c r="A219" s="39"/>
      <c r="B219" s="6" t="s">
        <v>154</v>
      </c>
      <c r="C219" s="65"/>
      <c r="D219" s="73"/>
      <c r="E219" s="13"/>
      <c r="F219" s="14">
        <f>+F218+E219</f>
        <v>16577728.480162956</v>
      </c>
      <c r="G219" s="13"/>
      <c r="H219" s="14">
        <f t="shared" si="47"/>
        <v>-1647612.2289774446</v>
      </c>
      <c r="I219" s="13"/>
      <c r="J219" s="14">
        <f t="shared" si="48"/>
        <v>93279.7330399113</v>
      </c>
      <c r="K219" s="318" t="s">
        <v>142</v>
      </c>
      <c r="L219" s="15"/>
      <c r="M219" s="13">
        <f>-E219</f>
        <v>0</v>
      </c>
      <c r="N219" s="14">
        <f>+N218+M219</f>
        <v>0</v>
      </c>
      <c r="O219" s="13"/>
      <c r="P219" s="14">
        <f t="shared" si="50"/>
        <v>-15925832.251185518</v>
      </c>
      <c r="Q219" s="13"/>
      <c r="R219" s="14">
        <f t="shared" si="51"/>
        <v>-93279.7330399113</v>
      </c>
      <c r="S219" s="12"/>
    </row>
    <row r="220" spans="2:19" ht="15.75">
      <c r="B220" s="6" t="s">
        <v>156</v>
      </c>
      <c r="C220" s="65"/>
      <c r="D220" s="73"/>
      <c r="E220" s="13"/>
      <c r="F220" s="14">
        <f>+F219+E220</f>
        <v>16577728.480162956</v>
      </c>
      <c r="G220" s="13">
        <f>-E219</f>
        <v>0</v>
      </c>
      <c r="H220" s="14">
        <f t="shared" si="47"/>
        <v>-1647612.2289774446</v>
      </c>
      <c r="I220" s="13">
        <f>+H217*$G$433/12</f>
        <v>-6302.116775838726</v>
      </c>
      <c r="J220" s="64">
        <f t="shared" si="48"/>
        <v>86977.61626407257</v>
      </c>
      <c r="K220" s="316">
        <f>+J220-J195</f>
        <v>-49181.22503497676</v>
      </c>
      <c r="L220" s="15"/>
      <c r="M220" s="13">
        <f>-G220</f>
        <v>0</v>
      </c>
      <c r="N220" s="14">
        <f>+N219+M220</f>
        <v>0</v>
      </c>
      <c r="O220" s="13"/>
      <c r="P220" s="14">
        <f t="shared" si="50"/>
        <v>-15925832.251185518</v>
      </c>
      <c r="Q220" s="13">
        <f>-I220</f>
        <v>6302.116775838726</v>
      </c>
      <c r="R220" s="14">
        <f t="shared" si="51"/>
        <v>-86977.61626407257</v>
      </c>
      <c r="S220" s="12"/>
    </row>
    <row r="221" spans="1:19" ht="15.75">
      <c r="A221" s="78" t="s">
        <v>111</v>
      </c>
      <c r="B221" s="6" t="s">
        <v>150</v>
      </c>
      <c r="C221" s="65"/>
      <c r="D221" s="73"/>
      <c r="E221" s="13"/>
      <c r="F221" s="14">
        <f aca="true" t="shared" si="56" ref="F221:F226">+F220+E221</f>
        <v>16577728.480162956</v>
      </c>
      <c r="G221" s="29"/>
      <c r="H221" s="14">
        <f aca="true" t="shared" si="57" ref="H221:H229">+H220+G221</f>
        <v>-1647612.2289774446</v>
      </c>
      <c r="I221" s="13"/>
      <c r="J221" s="14">
        <f aca="true" t="shared" si="58" ref="J221:J229">+J220+I221</f>
        <v>86977.61626407257</v>
      </c>
      <c r="K221" s="319" t="s">
        <v>141</v>
      </c>
      <c r="L221" s="15"/>
      <c r="M221" s="13"/>
      <c r="N221" s="14">
        <f aca="true" t="shared" si="59" ref="N221:N226">+N220+M221</f>
        <v>0</v>
      </c>
      <c r="O221" s="13">
        <f>-G221</f>
        <v>0</v>
      </c>
      <c r="P221" s="14">
        <f t="shared" si="50"/>
        <v>-15925832.251185518</v>
      </c>
      <c r="Q221" s="13"/>
      <c r="R221" s="14">
        <f t="shared" si="51"/>
        <v>-86977.61626407257</v>
      </c>
      <c r="S221" s="12"/>
    </row>
    <row r="222" spans="1:19" ht="15.75">
      <c r="A222" s="39"/>
      <c r="B222" s="6" t="s">
        <v>154</v>
      </c>
      <c r="C222" s="65"/>
      <c r="D222" s="73"/>
      <c r="E222" s="13"/>
      <c r="F222" s="14">
        <f t="shared" si="56"/>
        <v>16577728.480162956</v>
      </c>
      <c r="G222" s="13"/>
      <c r="H222" s="14">
        <f t="shared" si="57"/>
        <v>-1647612.2289774446</v>
      </c>
      <c r="I222" s="13"/>
      <c r="J222" s="14">
        <f t="shared" si="58"/>
        <v>86977.61626407257</v>
      </c>
      <c r="K222" s="316">
        <f>+J220-J180</f>
        <v>-74779.43653098989</v>
      </c>
      <c r="L222" s="15"/>
      <c r="M222" s="13">
        <f>-E222</f>
        <v>0</v>
      </c>
      <c r="N222" s="14">
        <f t="shared" si="59"/>
        <v>0</v>
      </c>
      <c r="O222" s="13"/>
      <c r="P222" s="14">
        <f t="shared" si="50"/>
        <v>-15925832.251185518</v>
      </c>
      <c r="Q222" s="13"/>
      <c r="R222" s="14">
        <f t="shared" si="51"/>
        <v>-86977.61626407257</v>
      </c>
      <c r="S222" s="12"/>
    </row>
    <row r="223" spans="1:19" ht="15.75">
      <c r="A223" s="39"/>
      <c r="B223" s="6" t="s">
        <v>156</v>
      </c>
      <c r="C223" s="65"/>
      <c r="D223" s="73"/>
      <c r="E223" s="13"/>
      <c r="F223" s="14">
        <f t="shared" si="56"/>
        <v>16577728.480162956</v>
      </c>
      <c r="G223" s="13">
        <f>-E222</f>
        <v>0</v>
      </c>
      <c r="H223" s="14">
        <f t="shared" si="57"/>
        <v>-1647612.2289774446</v>
      </c>
      <c r="I223" s="13">
        <f>+H220*$G$433/12</f>
        <v>-6302.116775838726</v>
      </c>
      <c r="J223" s="14">
        <f t="shared" si="58"/>
        <v>80675.49948823384</v>
      </c>
      <c r="K223" s="315"/>
      <c r="L223" s="15"/>
      <c r="M223" s="13">
        <f>-G223</f>
        <v>0</v>
      </c>
      <c r="N223" s="14">
        <f t="shared" si="59"/>
        <v>0</v>
      </c>
      <c r="O223" s="13"/>
      <c r="P223" s="14">
        <f t="shared" si="50"/>
        <v>-15925832.251185518</v>
      </c>
      <c r="Q223" s="13">
        <f>-I223</f>
        <v>6302.116775838726</v>
      </c>
      <c r="R223" s="14">
        <f t="shared" si="51"/>
        <v>-80675.49948823384</v>
      </c>
      <c r="S223" s="12"/>
    </row>
    <row r="224" spans="1:19" ht="15.75">
      <c r="A224" s="41" t="s">
        <v>48</v>
      </c>
      <c r="B224" s="6" t="s">
        <v>150</v>
      </c>
      <c r="C224" s="65"/>
      <c r="D224" s="73"/>
      <c r="E224" s="13"/>
      <c r="F224" s="14">
        <f t="shared" si="56"/>
        <v>16577728.480162956</v>
      </c>
      <c r="G224" s="29"/>
      <c r="H224" s="14">
        <f t="shared" si="57"/>
        <v>-1647612.2289774446</v>
      </c>
      <c r="I224" s="13"/>
      <c r="J224" s="14">
        <f t="shared" si="58"/>
        <v>80675.49948823384</v>
      </c>
      <c r="K224" s="315"/>
      <c r="L224" s="15"/>
      <c r="M224" s="13"/>
      <c r="N224" s="14">
        <f t="shared" si="59"/>
        <v>0</v>
      </c>
      <c r="O224" s="13">
        <f>-G224</f>
        <v>0</v>
      </c>
      <c r="P224" s="14">
        <f t="shared" si="50"/>
        <v>-15925832.251185518</v>
      </c>
      <c r="Q224" s="13"/>
      <c r="R224" s="14">
        <f t="shared" si="51"/>
        <v>-80675.49948823384</v>
      </c>
      <c r="S224" s="12"/>
    </row>
    <row r="225" spans="1:19" ht="15.75">
      <c r="A225" s="39"/>
      <c r="B225" s="6" t="s">
        <v>154</v>
      </c>
      <c r="C225" s="65"/>
      <c r="D225" s="73"/>
      <c r="E225" s="13"/>
      <c r="F225" s="14">
        <f t="shared" si="56"/>
        <v>16577728.480162956</v>
      </c>
      <c r="G225" s="13"/>
      <c r="H225" s="14">
        <f t="shared" si="57"/>
        <v>-1647612.2289774446</v>
      </c>
      <c r="I225" s="13"/>
      <c r="J225" s="14">
        <f t="shared" si="58"/>
        <v>80675.49948823384</v>
      </c>
      <c r="K225" s="315"/>
      <c r="L225" s="15"/>
      <c r="M225" s="13">
        <f>-E225</f>
        <v>0</v>
      </c>
      <c r="N225" s="14">
        <f t="shared" si="59"/>
        <v>0</v>
      </c>
      <c r="O225" s="13"/>
      <c r="P225" s="14">
        <f t="shared" si="50"/>
        <v>-15925832.251185518</v>
      </c>
      <c r="Q225" s="13"/>
      <c r="R225" s="14">
        <f t="shared" si="51"/>
        <v>-80675.49948823384</v>
      </c>
      <c r="S225" s="12"/>
    </row>
    <row r="226" spans="1:19" ht="15.75">
      <c r="A226" s="39"/>
      <c r="B226" s="6" t="s">
        <v>156</v>
      </c>
      <c r="C226" s="65"/>
      <c r="D226" s="73"/>
      <c r="E226" s="13"/>
      <c r="F226" s="14">
        <f t="shared" si="56"/>
        <v>16577728.480162956</v>
      </c>
      <c r="G226" s="13">
        <f>-E225</f>
        <v>0</v>
      </c>
      <c r="H226" s="14">
        <f t="shared" si="57"/>
        <v>-1647612.2289774446</v>
      </c>
      <c r="I226" s="13">
        <f>+H223*$G$433/12</f>
        <v>-6302.116775838726</v>
      </c>
      <c r="J226" s="14">
        <f t="shared" si="58"/>
        <v>74373.3827123951</v>
      </c>
      <c r="K226" s="315"/>
      <c r="L226" s="15"/>
      <c r="M226" s="13">
        <f>-G226</f>
        <v>0</v>
      </c>
      <c r="N226" s="14">
        <f t="shared" si="59"/>
        <v>0</v>
      </c>
      <c r="O226" s="13"/>
      <c r="P226" s="14">
        <f t="shared" si="50"/>
        <v>-15925832.251185518</v>
      </c>
      <c r="Q226" s="13">
        <f>-I226</f>
        <v>6302.116775838726</v>
      </c>
      <c r="R226" s="14">
        <f t="shared" si="51"/>
        <v>-74373.3827123951</v>
      </c>
      <c r="S226" s="12"/>
    </row>
    <row r="227" spans="1:19" ht="15.75">
      <c r="A227" s="41" t="s">
        <v>49</v>
      </c>
      <c r="B227" s="6" t="s">
        <v>150</v>
      </c>
      <c r="C227" s="65"/>
      <c r="D227" s="73"/>
      <c r="E227" s="13"/>
      <c r="F227" s="14">
        <f aca="true" t="shared" si="60" ref="F227:F238">+F226+E227</f>
        <v>16577728.480162956</v>
      </c>
      <c r="G227" s="29"/>
      <c r="H227" s="14">
        <f t="shared" si="57"/>
        <v>-1647612.2289774446</v>
      </c>
      <c r="I227" s="13"/>
      <c r="J227" s="14">
        <f t="shared" si="58"/>
        <v>74373.3827123951</v>
      </c>
      <c r="K227" s="315"/>
      <c r="L227" s="15"/>
      <c r="M227" s="13"/>
      <c r="N227" s="14">
        <f aca="true" t="shared" si="61" ref="N227:N238">+N226+M227</f>
        <v>0</v>
      </c>
      <c r="O227" s="13">
        <f>-G227</f>
        <v>0</v>
      </c>
      <c r="P227" s="14">
        <f t="shared" si="50"/>
        <v>-15925832.251185518</v>
      </c>
      <c r="Q227" s="13"/>
      <c r="R227" s="14">
        <f t="shared" si="51"/>
        <v>-74373.3827123951</v>
      </c>
      <c r="S227" s="12"/>
    </row>
    <row r="228" spans="1:19" ht="15.75">
      <c r="A228" s="39"/>
      <c r="B228" s="6" t="s">
        <v>154</v>
      </c>
      <c r="C228" s="65"/>
      <c r="D228" s="73"/>
      <c r="E228" s="13"/>
      <c r="F228" s="14">
        <f t="shared" si="60"/>
        <v>16577728.480162956</v>
      </c>
      <c r="G228" s="13"/>
      <c r="H228" s="14">
        <f t="shared" si="57"/>
        <v>-1647612.2289774446</v>
      </c>
      <c r="I228" s="13"/>
      <c r="J228" s="14">
        <f t="shared" si="58"/>
        <v>74373.3827123951</v>
      </c>
      <c r="K228" s="315"/>
      <c r="L228" s="15"/>
      <c r="M228" s="13">
        <f>-E228</f>
        <v>0</v>
      </c>
      <c r="N228" s="14">
        <f t="shared" si="61"/>
        <v>0</v>
      </c>
      <c r="O228" s="13"/>
      <c r="P228" s="14">
        <f t="shared" si="50"/>
        <v>-15925832.251185518</v>
      </c>
      <c r="Q228" s="13"/>
      <c r="R228" s="14">
        <f t="shared" si="51"/>
        <v>-74373.3827123951</v>
      </c>
      <c r="S228" s="12"/>
    </row>
    <row r="229" spans="1:19" ht="15.75">
      <c r="A229" s="39"/>
      <c r="B229" s="6" t="s">
        <v>156</v>
      </c>
      <c r="C229" s="65"/>
      <c r="D229" s="73"/>
      <c r="E229" s="13"/>
      <c r="F229" s="14">
        <f t="shared" si="60"/>
        <v>16577728.480162956</v>
      </c>
      <c r="G229" s="13">
        <f>-E228</f>
        <v>0</v>
      </c>
      <c r="H229" s="14">
        <f t="shared" si="57"/>
        <v>-1647612.2289774446</v>
      </c>
      <c r="I229" s="13">
        <f>+H226*$G$433/12</f>
        <v>-6302.116775838726</v>
      </c>
      <c r="J229" s="14">
        <f t="shared" si="58"/>
        <v>68071.26593655637</v>
      </c>
      <c r="K229" s="315"/>
      <c r="L229" s="15"/>
      <c r="M229" s="13">
        <f>-G229</f>
        <v>0</v>
      </c>
      <c r="N229" s="14">
        <f t="shared" si="61"/>
        <v>0</v>
      </c>
      <c r="O229" s="13"/>
      <c r="P229" s="14">
        <f t="shared" si="50"/>
        <v>-15925832.251185518</v>
      </c>
      <c r="Q229" s="13">
        <f>-I229</f>
        <v>6302.116775838726</v>
      </c>
      <c r="R229" s="14">
        <f t="shared" si="51"/>
        <v>-68071.26593655637</v>
      </c>
      <c r="S229" s="12"/>
    </row>
    <row r="230" spans="1:19" ht="15.75">
      <c r="A230" s="39" t="s">
        <v>50</v>
      </c>
      <c r="B230" s="6" t="s">
        <v>150</v>
      </c>
      <c r="C230" s="65"/>
      <c r="D230" s="73"/>
      <c r="E230" s="13"/>
      <c r="F230" s="14">
        <f t="shared" si="60"/>
        <v>16577728.480162956</v>
      </c>
      <c r="G230" s="29"/>
      <c r="H230" s="14">
        <f aca="true" t="shared" si="62" ref="H230:H235">+H229+G230</f>
        <v>-1647612.2289774446</v>
      </c>
      <c r="I230" s="13"/>
      <c r="J230" s="14">
        <f aca="true" t="shared" si="63" ref="J230:J235">+J229+I230</f>
        <v>68071.26593655637</v>
      </c>
      <c r="K230" s="315"/>
      <c r="L230" s="15"/>
      <c r="M230" s="13"/>
      <c r="N230" s="14">
        <f t="shared" si="61"/>
        <v>0</v>
      </c>
      <c r="O230" s="13">
        <f>-G230</f>
        <v>0</v>
      </c>
      <c r="P230" s="14">
        <f t="shared" si="50"/>
        <v>-15925832.251185518</v>
      </c>
      <c r="Q230" s="13"/>
      <c r="R230" s="14">
        <f t="shared" si="51"/>
        <v>-68071.26593655637</v>
      </c>
      <c r="S230" s="12"/>
    </row>
    <row r="231" spans="1:19" ht="15.75">
      <c r="A231" s="39"/>
      <c r="B231" s="6" t="s">
        <v>154</v>
      </c>
      <c r="C231" s="65"/>
      <c r="D231" s="73"/>
      <c r="E231" s="13"/>
      <c r="F231" s="14">
        <f t="shared" si="60"/>
        <v>16577728.480162956</v>
      </c>
      <c r="G231" s="13"/>
      <c r="H231" s="14">
        <f t="shared" si="62"/>
        <v>-1647612.2289774446</v>
      </c>
      <c r="I231" s="13"/>
      <c r="J231" s="14">
        <f t="shared" si="63"/>
        <v>68071.26593655637</v>
      </c>
      <c r="K231" s="315"/>
      <c r="L231" s="15"/>
      <c r="M231" s="13">
        <f>-E231</f>
        <v>0</v>
      </c>
      <c r="N231" s="14">
        <f t="shared" si="61"/>
        <v>0</v>
      </c>
      <c r="O231" s="13"/>
      <c r="P231" s="14">
        <f t="shared" si="50"/>
        <v>-15925832.251185518</v>
      </c>
      <c r="Q231" s="13"/>
      <c r="R231" s="14">
        <f t="shared" si="51"/>
        <v>-68071.26593655637</v>
      </c>
      <c r="S231" s="12"/>
    </row>
    <row r="232" spans="1:19" ht="15.75">
      <c r="A232" s="39"/>
      <c r="B232" s="6" t="s">
        <v>156</v>
      </c>
      <c r="C232" s="65"/>
      <c r="D232" s="73"/>
      <c r="E232" s="13"/>
      <c r="F232" s="14">
        <f t="shared" si="60"/>
        <v>16577728.480162956</v>
      </c>
      <c r="G232" s="13">
        <f>-E231</f>
        <v>0</v>
      </c>
      <c r="H232" s="14">
        <f t="shared" si="62"/>
        <v>-1647612.2289774446</v>
      </c>
      <c r="I232" s="13">
        <f>+H229*$G$433/12</f>
        <v>-6302.116775838726</v>
      </c>
      <c r="J232" s="14">
        <f t="shared" si="63"/>
        <v>61769.14916071765</v>
      </c>
      <c r="K232" s="315"/>
      <c r="L232" s="15"/>
      <c r="M232" s="13">
        <f>-G232</f>
        <v>0</v>
      </c>
      <c r="N232" s="14">
        <f t="shared" si="61"/>
        <v>0</v>
      </c>
      <c r="O232" s="13"/>
      <c r="P232" s="14">
        <f t="shared" si="50"/>
        <v>-15925832.251185518</v>
      </c>
      <c r="Q232" s="13">
        <f>-I232</f>
        <v>6302.116775838726</v>
      </c>
      <c r="R232" s="14">
        <f t="shared" si="51"/>
        <v>-61769.14916071765</v>
      </c>
      <c r="S232" s="12"/>
    </row>
    <row r="233" spans="1:19" ht="15.75">
      <c r="A233" s="39" t="s">
        <v>51</v>
      </c>
      <c r="B233" s="6" t="s">
        <v>150</v>
      </c>
      <c r="C233" s="65"/>
      <c r="D233" s="73"/>
      <c r="E233" s="13"/>
      <c r="F233" s="14">
        <f t="shared" si="60"/>
        <v>16577728.480162956</v>
      </c>
      <c r="G233" s="29"/>
      <c r="H233" s="14">
        <f t="shared" si="62"/>
        <v>-1647612.2289774446</v>
      </c>
      <c r="I233" s="13"/>
      <c r="J233" s="14">
        <f t="shared" si="63"/>
        <v>61769.14916071765</v>
      </c>
      <c r="K233" s="315"/>
      <c r="L233" s="15"/>
      <c r="M233" s="13"/>
      <c r="N233" s="14">
        <f t="shared" si="61"/>
        <v>0</v>
      </c>
      <c r="O233" s="13">
        <f>-G233</f>
        <v>0</v>
      </c>
      <c r="P233" s="14">
        <f t="shared" si="50"/>
        <v>-15925832.251185518</v>
      </c>
      <c r="Q233" s="13"/>
      <c r="R233" s="14">
        <f t="shared" si="51"/>
        <v>-61769.14916071765</v>
      </c>
      <c r="S233" s="12"/>
    </row>
    <row r="234" spans="1:19" ht="15.75">
      <c r="A234" s="39"/>
      <c r="B234" s="6" t="s">
        <v>154</v>
      </c>
      <c r="C234" s="65"/>
      <c r="D234" s="73"/>
      <c r="E234" s="13"/>
      <c r="F234" s="14">
        <f t="shared" si="60"/>
        <v>16577728.480162956</v>
      </c>
      <c r="G234" s="13"/>
      <c r="H234" s="14">
        <f t="shared" si="62"/>
        <v>-1647612.2289774446</v>
      </c>
      <c r="I234" s="13"/>
      <c r="J234" s="14">
        <f t="shared" si="63"/>
        <v>61769.14916071765</v>
      </c>
      <c r="K234" s="315"/>
      <c r="L234" s="15"/>
      <c r="M234" s="13">
        <f>-E234</f>
        <v>0</v>
      </c>
      <c r="N234" s="14">
        <f t="shared" si="61"/>
        <v>0</v>
      </c>
      <c r="O234" s="13"/>
      <c r="P234" s="14">
        <f t="shared" si="50"/>
        <v>-15925832.251185518</v>
      </c>
      <c r="Q234" s="13"/>
      <c r="R234" s="14">
        <f t="shared" si="51"/>
        <v>-61769.14916071765</v>
      </c>
      <c r="S234" s="12"/>
    </row>
    <row r="235" spans="1:19" ht="15.75">
      <c r="A235" s="39"/>
      <c r="B235" s="6" t="s">
        <v>156</v>
      </c>
      <c r="C235" s="65"/>
      <c r="D235" s="73"/>
      <c r="E235" s="13"/>
      <c r="F235" s="14">
        <f t="shared" si="60"/>
        <v>16577728.480162956</v>
      </c>
      <c r="G235" s="13">
        <f>-E234</f>
        <v>0</v>
      </c>
      <c r="H235" s="14">
        <f t="shared" si="62"/>
        <v>-1647612.2289774446</v>
      </c>
      <c r="I235" s="13">
        <f>+H232*$G$433/12</f>
        <v>-6302.116775838726</v>
      </c>
      <c r="J235" s="14">
        <f t="shared" si="63"/>
        <v>55467.03238487893</v>
      </c>
      <c r="K235" s="315"/>
      <c r="L235" s="15"/>
      <c r="M235" s="13">
        <f>-G235</f>
        <v>0</v>
      </c>
      <c r="N235" s="14">
        <f t="shared" si="61"/>
        <v>0</v>
      </c>
      <c r="O235" s="13"/>
      <c r="P235" s="14">
        <f t="shared" si="50"/>
        <v>-15925832.251185518</v>
      </c>
      <c r="Q235" s="13">
        <f>-I235</f>
        <v>6302.116775838726</v>
      </c>
      <c r="R235" s="14">
        <f t="shared" si="51"/>
        <v>-55467.03238487893</v>
      </c>
      <c r="S235" s="12"/>
    </row>
    <row r="236" spans="1:19" ht="15.75">
      <c r="A236" s="39" t="s">
        <v>52</v>
      </c>
      <c r="B236" s="6" t="s">
        <v>150</v>
      </c>
      <c r="C236" s="65"/>
      <c r="D236" s="73"/>
      <c r="E236" s="13"/>
      <c r="F236" s="14">
        <f t="shared" si="60"/>
        <v>16577728.480162956</v>
      </c>
      <c r="G236" s="29"/>
      <c r="H236" s="14">
        <f aca="true" t="shared" si="64" ref="H236:H247">+H235+G236</f>
        <v>-1647612.2289774446</v>
      </c>
      <c r="I236" s="13"/>
      <c r="J236" s="14">
        <f aca="true" t="shared" si="65" ref="J236:J247">+J235+I236</f>
        <v>55467.03238487893</v>
      </c>
      <c r="K236" s="315"/>
      <c r="L236" s="15"/>
      <c r="M236" s="13"/>
      <c r="N236" s="14">
        <f t="shared" si="61"/>
        <v>0</v>
      </c>
      <c r="O236" s="13">
        <f>-G236</f>
        <v>0</v>
      </c>
      <c r="P236" s="14">
        <f t="shared" si="50"/>
        <v>-15925832.251185518</v>
      </c>
      <c r="Q236" s="13"/>
      <c r="R236" s="14">
        <f t="shared" si="51"/>
        <v>-55467.03238487893</v>
      </c>
      <c r="S236" s="12"/>
    </row>
    <row r="237" spans="1:19" ht="15.75">
      <c r="A237" s="39"/>
      <c r="B237" s="6" t="s">
        <v>154</v>
      </c>
      <c r="C237" s="65"/>
      <c r="D237" s="73"/>
      <c r="E237" s="13"/>
      <c r="F237" s="14">
        <f t="shared" si="60"/>
        <v>16577728.480162956</v>
      </c>
      <c r="G237" s="13"/>
      <c r="H237" s="14">
        <f t="shared" si="64"/>
        <v>-1647612.2289774446</v>
      </c>
      <c r="I237" s="13"/>
      <c r="J237" s="14">
        <f t="shared" si="65"/>
        <v>55467.03238487893</v>
      </c>
      <c r="K237" s="315"/>
      <c r="L237" s="15"/>
      <c r="M237" s="13">
        <f>-E237</f>
        <v>0</v>
      </c>
      <c r="N237" s="14">
        <f t="shared" si="61"/>
        <v>0</v>
      </c>
      <c r="O237" s="13"/>
      <c r="P237" s="14">
        <f t="shared" si="50"/>
        <v>-15925832.251185518</v>
      </c>
      <c r="Q237" s="13"/>
      <c r="R237" s="14">
        <f t="shared" si="51"/>
        <v>-55467.03238487893</v>
      </c>
      <c r="S237" s="12"/>
    </row>
    <row r="238" spans="1:19" ht="15.75">
      <c r="A238" s="39"/>
      <c r="B238" s="6" t="s">
        <v>156</v>
      </c>
      <c r="C238" s="65"/>
      <c r="D238" s="73"/>
      <c r="E238" s="13"/>
      <c r="F238" s="14">
        <f t="shared" si="60"/>
        <v>16577728.480162956</v>
      </c>
      <c r="G238" s="13">
        <f>-E237</f>
        <v>0</v>
      </c>
      <c r="H238" s="14">
        <f t="shared" si="64"/>
        <v>-1647612.2289774446</v>
      </c>
      <c r="I238" s="13">
        <f>+H235*$G$433/12</f>
        <v>-6302.116775838726</v>
      </c>
      <c r="J238" s="14">
        <f t="shared" si="65"/>
        <v>49164.9156090402</v>
      </c>
      <c r="K238" s="315"/>
      <c r="L238" s="15"/>
      <c r="M238" s="13">
        <f>-G238</f>
        <v>0</v>
      </c>
      <c r="N238" s="14">
        <f t="shared" si="61"/>
        <v>0</v>
      </c>
      <c r="O238" s="13"/>
      <c r="P238" s="14">
        <f t="shared" si="50"/>
        <v>-15925832.251185518</v>
      </c>
      <c r="Q238" s="13">
        <f>-I238</f>
        <v>6302.116775838726</v>
      </c>
      <c r="R238" s="14">
        <f t="shared" si="51"/>
        <v>-49164.9156090402</v>
      </c>
      <c r="S238" s="12"/>
    </row>
    <row r="239" spans="1:19" ht="15.75">
      <c r="A239" s="39" t="s">
        <v>53</v>
      </c>
      <c r="B239" s="6" t="s">
        <v>150</v>
      </c>
      <c r="C239" s="65"/>
      <c r="D239" s="73"/>
      <c r="E239" s="13"/>
      <c r="F239" s="14">
        <f aca="true" t="shared" si="66" ref="F239:F247">+F238+E239</f>
        <v>16577728.480162956</v>
      </c>
      <c r="G239" s="29"/>
      <c r="H239" s="14">
        <f t="shared" si="64"/>
        <v>-1647612.2289774446</v>
      </c>
      <c r="I239" s="13"/>
      <c r="J239" s="14">
        <f t="shared" si="65"/>
        <v>49164.9156090402</v>
      </c>
      <c r="K239" s="315"/>
      <c r="L239" s="15"/>
      <c r="M239" s="13"/>
      <c r="N239" s="14">
        <f aca="true" t="shared" si="67" ref="N239:N247">+N238+M239</f>
        <v>0</v>
      </c>
      <c r="O239" s="13">
        <f>-G239</f>
        <v>0</v>
      </c>
      <c r="P239" s="14">
        <f t="shared" si="50"/>
        <v>-15925832.251185518</v>
      </c>
      <c r="Q239" s="13"/>
      <c r="R239" s="14">
        <f t="shared" si="51"/>
        <v>-49164.9156090402</v>
      </c>
      <c r="S239" s="12"/>
    </row>
    <row r="240" spans="1:19" ht="15.75">
      <c r="A240" s="39"/>
      <c r="B240" s="6" t="s">
        <v>154</v>
      </c>
      <c r="C240" s="65"/>
      <c r="D240" s="73"/>
      <c r="E240" s="13"/>
      <c r="F240" s="14">
        <f t="shared" si="66"/>
        <v>16577728.480162956</v>
      </c>
      <c r="G240" s="13"/>
      <c r="H240" s="14">
        <f t="shared" si="64"/>
        <v>-1647612.2289774446</v>
      </c>
      <c r="I240" s="13"/>
      <c r="J240" s="14">
        <f t="shared" si="65"/>
        <v>49164.9156090402</v>
      </c>
      <c r="K240" s="315"/>
      <c r="L240" s="15"/>
      <c r="M240" s="13">
        <f>-E240</f>
        <v>0</v>
      </c>
      <c r="N240" s="14">
        <f t="shared" si="67"/>
        <v>0</v>
      </c>
      <c r="O240" s="13"/>
      <c r="P240" s="14">
        <f t="shared" si="50"/>
        <v>-15925832.251185518</v>
      </c>
      <c r="Q240" s="13"/>
      <c r="R240" s="14">
        <f t="shared" si="51"/>
        <v>-49164.9156090402</v>
      </c>
      <c r="S240" s="12"/>
    </row>
    <row r="241" spans="1:19" ht="15.75">
      <c r="A241" s="39"/>
      <c r="B241" s="6" t="s">
        <v>156</v>
      </c>
      <c r="C241" s="65"/>
      <c r="D241" s="73"/>
      <c r="E241" s="13"/>
      <c r="F241" s="14">
        <f t="shared" si="66"/>
        <v>16577728.480162956</v>
      </c>
      <c r="G241" s="13">
        <f>-E240</f>
        <v>0</v>
      </c>
      <c r="H241" s="14">
        <f t="shared" si="64"/>
        <v>-1647612.2289774446</v>
      </c>
      <c r="I241" s="13">
        <f>+H238*$G$433/12</f>
        <v>-6302.116775838726</v>
      </c>
      <c r="J241" s="14">
        <f t="shared" si="65"/>
        <v>42862.79883320148</v>
      </c>
      <c r="K241" s="315"/>
      <c r="L241" s="15"/>
      <c r="M241" s="13">
        <f>-G241</f>
        <v>0</v>
      </c>
      <c r="N241" s="14">
        <f t="shared" si="67"/>
        <v>0</v>
      </c>
      <c r="O241" s="13"/>
      <c r="P241" s="14">
        <f t="shared" si="50"/>
        <v>-15925832.251185518</v>
      </c>
      <c r="Q241" s="13">
        <f>-I241</f>
        <v>6302.116775838726</v>
      </c>
      <c r="R241" s="14">
        <f t="shared" si="51"/>
        <v>-42862.79883320148</v>
      </c>
      <c r="S241" s="12"/>
    </row>
    <row r="242" spans="1:19" ht="15.75">
      <c r="A242" s="39" t="s">
        <v>54</v>
      </c>
      <c r="B242" s="6" t="s">
        <v>150</v>
      </c>
      <c r="C242" s="65"/>
      <c r="D242" s="73"/>
      <c r="E242" s="13"/>
      <c r="F242" s="14">
        <f t="shared" si="66"/>
        <v>16577728.480162956</v>
      </c>
      <c r="G242" s="29"/>
      <c r="H242" s="14">
        <f t="shared" si="64"/>
        <v>-1647612.2289774446</v>
      </c>
      <c r="I242" s="13"/>
      <c r="J242" s="14">
        <f t="shared" si="65"/>
        <v>42862.79883320148</v>
      </c>
      <c r="K242" s="315"/>
      <c r="L242" s="15"/>
      <c r="M242" s="13"/>
      <c r="N242" s="14">
        <f t="shared" si="67"/>
        <v>0</v>
      </c>
      <c r="O242" s="13">
        <f>-G242</f>
        <v>0</v>
      </c>
      <c r="P242" s="14">
        <f t="shared" si="50"/>
        <v>-15925832.251185518</v>
      </c>
      <c r="Q242" s="13"/>
      <c r="R242" s="14">
        <f t="shared" si="51"/>
        <v>-42862.79883320148</v>
      </c>
      <c r="S242" s="12"/>
    </row>
    <row r="243" spans="1:19" ht="15.75">
      <c r="A243" s="39"/>
      <c r="B243" s="6" t="s">
        <v>154</v>
      </c>
      <c r="C243" s="65"/>
      <c r="D243" s="73"/>
      <c r="E243" s="13"/>
      <c r="F243" s="14">
        <f t="shared" si="66"/>
        <v>16577728.480162956</v>
      </c>
      <c r="G243" s="13"/>
      <c r="H243" s="14">
        <f t="shared" si="64"/>
        <v>-1647612.2289774446</v>
      </c>
      <c r="I243" s="13"/>
      <c r="J243" s="14">
        <f t="shared" si="65"/>
        <v>42862.79883320148</v>
      </c>
      <c r="K243" s="315"/>
      <c r="L243" s="15"/>
      <c r="M243" s="13">
        <f>-E243</f>
        <v>0</v>
      </c>
      <c r="N243" s="14">
        <f t="shared" si="67"/>
        <v>0</v>
      </c>
      <c r="O243" s="13"/>
      <c r="P243" s="14">
        <f t="shared" si="50"/>
        <v>-15925832.251185518</v>
      </c>
      <c r="Q243" s="13"/>
      <c r="R243" s="14">
        <f t="shared" si="51"/>
        <v>-42862.79883320148</v>
      </c>
      <c r="S243" s="12"/>
    </row>
    <row r="244" spans="1:19" ht="15.75">
      <c r="A244" s="39"/>
      <c r="B244" s="6" t="s">
        <v>156</v>
      </c>
      <c r="C244" s="65"/>
      <c r="D244" s="73"/>
      <c r="E244" s="13"/>
      <c r="F244" s="14">
        <f t="shared" si="66"/>
        <v>16577728.480162956</v>
      </c>
      <c r="G244" s="13">
        <f>-E243</f>
        <v>0</v>
      </c>
      <c r="H244" s="14">
        <f t="shared" si="64"/>
        <v>-1647612.2289774446</v>
      </c>
      <c r="I244" s="13">
        <f>+H241*$G$433/12</f>
        <v>-6302.116775838726</v>
      </c>
      <c r="J244" s="14">
        <f t="shared" si="65"/>
        <v>36560.682057362756</v>
      </c>
      <c r="K244" s="315"/>
      <c r="L244" s="15"/>
      <c r="M244" s="13">
        <f>-G244</f>
        <v>0</v>
      </c>
      <c r="N244" s="14">
        <f t="shared" si="67"/>
        <v>0</v>
      </c>
      <c r="O244" s="13"/>
      <c r="P244" s="14">
        <f t="shared" si="50"/>
        <v>-15925832.251185518</v>
      </c>
      <c r="Q244" s="13">
        <f>-I244</f>
        <v>6302.116775838726</v>
      </c>
      <c r="R244" s="14">
        <f t="shared" si="51"/>
        <v>-36560.682057362756</v>
      </c>
      <c r="S244" s="12"/>
    </row>
    <row r="245" spans="1:19" ht="15.75">
      <c r="A245" s="39" t="s">
        <v>55</v>
      </c>
      <c r="B245" s="6" t="s">
        <v>150</v>
      </c>
      <c r="C245" s="65"/>
      <c r="D245" s="73"/>
      <c r="E245" s="13"/>
      <c r="F245" s="14">
        <f t="shared" si="66"/>
        <v>16577728.480162956</v>
      </c>
      <c r="G245" s="29"/>
      <c r="H245" s="14">
        <f t="shared" si="64"/>
        <v>-1647612.2289774446</v>
      </c>
      <c r="I245" s="13"/>
      <c r="J245" s="14">
        <f t="shared" si="65"/>
        <v>36560.682057362756</v>
      </c>
      <c r="K245" s="315"/>
      <c r="L245" s="15"/>
      <c r="M245" s="13"/>
      <c r="N245" s="14">
        <f t="shared" si="67"/>
        <v>0</v>
      </c>
      <c r="O245" s="13">
        <f>-G245</f>
        <v>0</v>
      </c>
      <c r="P245" s="14">
        <f t="shared" si="50"/>
        <v>-15925832.251185518</v>
      </c>
      <c r="Q245" s="13"/>
      <c r="R245" s="14">
        <f t="shared" si="51"/>
        <v>-36560.682057362756</v>
      </c>
      <c r="S245" s="12"/>
    </row>
    <row r="246" spans="1:19" ht="15.75">
      <c r="A246" s="39"/>
      <c r="B246" s="6" t="s">
        <v>154</v>
      </c>
      <c r="C246" s="65"/>
      <c r="D246" s="73"/>
      <c r="E246" s="13"/>
      <c r="F246" s="14">
        <f t="shared" si="66"/>
        <v>16577728.480162956</v>
      </c>
      <c r="G246" s="13"/>
      <c r="H246" s="14">
        <f t="shared" si="64"/>
        <v>-1647612.2289774446</v>
      </c>
      <c r="I246" s="13"/>
      <c r="J246" s="14">
        <f t="shared" si="65"/>
        <v>36560.682057362756</v>
      </c>
      <c r="K246" s="315"/>
      <c r="L246" s="15"/>
      <c r="M246" s="13">
        <f>-E246</f>
        <v>0</v>
      </c>
      <c r="N246" s="14">
        <f t="shared" si="67"/>
        <v>0</v>
      </c>
      <c r="O246" s="13"/>
      <c r="P246" s="14">
        <f t="shared" si="50"/>
        <v>-15925832.251185518</v>
      </c>
      <c r="Q246" s="13"/>
      <c r="R246" s="14">
        <f t="shared" si="51"/>
        <v>-36560.682057362756</v>
      </c>
      <c r="S246" s="12"/>
    </row>
    <row r="247" spans="1:19" ht="15.75">
      <c r="A247" s="39"/>
      <c r="B247" s="6" t="s">
        <v>156</v>
      </c>
      <c r="C247" s="65"/>
      <c r="D247" s="73"/>
      <c r="E247" s="13"/>
      <c r="F247" s="14">
        <f t="shared" si="66"/>
        <v>16577728.480162956</v>
      </c>
      <c r="G247" s="13">
        <f>-E246</f>
        <v>0</v>
      </c>
      <c r="H247" s="14">
        <f t="shared" si="64"/>
        <v>-1647612.2289774446</v>
      </c>
      <c r="I247" s="13">
        <f>+H244*$G$433/12</f>
        <v>-6302.116775838726</v>
      </c>
      <c r="J247" s="14">
        <f t="shared" si="65"/>
        <v>30258.56528152403</v>
      </c>
      <c r="K247" s="315"/>
      <c r="L247" s="15"/>
      <c r="M247" s="13">
        <f>-G247</f>
        <v>0</v>
      </c>
      <c r="N247" s="14">
        <f t="shared" si="67"/>
        <v>0</v>
      </c>
      <c r="O247" s="13"/>
      <c r="P247" s="14">
        <f t="shared" si="50"/>
        <v>-15925832.251185518</v>
      </c>
      <c r="Q247" s="13">
        <f>-I247</f>
        <v>6302.116775838726</v>
      </c>
      <c r="R247" s="14">
        <f t="shared" si="51"/>
        <v>-30258.56528152403</v>
      </c>
      <c r="S247" s="12"/>
    </row>
    <row r="248" spans="1:19" ht="15.75">
      <c r="A248" s="39" t="s">
        <v>44</v>
      </c>
      <c r="B248" s="6" t="s">
        <v>150</v>
      </c>
      <c r="C248" s="65"/>
      <c r="D248" s="73"/>
      <c r="E248" s="13"/>
      <c r="F248" s="14">
        <f aca="true" t="shared" si="68" ref="F248:F256">+F247+E248</f>
        <v>16577728.480162956</v>
      </c>
      <c r="G248" s="29"/>
      <c r="H248" s="14">
        <f aca="true" t="shared" si="69" ref="H248:H256">+H247+G248</f>
        <v>-1647612.2289774446</v>
      </c>
      <c r="I248" s="13"/>
      <c r="J248" s="14">
        <f aca="true" t="shared" si="70" ref="J248:J256">+J247+I248</f>
        <v>30258.56528152403</v>
      </c>
      <c r="K248" s="315"/>
      <c r="L248" s="15"/>
      <c r="M248" s="13"/>
      <c r="N248" s="14">
        <f aca="true" t="shared" si="71" ref="N248:N256">+N247+M248</f>
        <v>0</v>
      </c>
      <c r="O248" s="13">
        <f>-G248</f>
        <v>0</v>
      </c>
      <c r="P248" s="14">
        <f t="shared" si="50"/>
        <v>-15925832.251185518</v>
      </c>
      <c r="Q248" s="13"/>
      <c r="R248" s="14">
        <f t="shared" si="51"/>
        <v>-30258.56528152403</v>
      </c>
      <c r="S248" s="12"/>
    </row>
    <row r="249" spans="1:19" ht="15.75">
      <c r="A249" s="39"/>
      <c r="B249" s="6" t="s">
        <v>154</v>
      </c>
      <c r="C249" s="65"/>
      <c r="D249" s="73"/>
      <c r="E249" s="13"/>
      <c r="F249" s="14">
        <f t="shared" si="68"/>
        <v>16577728.480162956</v>
      </c>
      <c r="G249" s="13"/>
      <c r="H249" s="14">
        <f t="shared" si="69"/>
        <v>-1647612.2289774446</v>
      </c>
      <c r="I249" s="13"/>
      <c r="J249" s="14">
        <f t="shared" si="70"/>
        <v>30258.56528152403</v>
      </c>
      <c r="K249" s="315"/>
      <c r="L249" s="15"/>
      <c r="M249" s="13">
        <f>-E249</f>
        <v>0</v>
      </c>
      <c r="N249" s="14">
        <f t="shared" si="71"/>
        <v>0</v>
      </c>
      <c r="O249" s="13"/>
      <c r="P249" s="14">
        <f t="shared" si="50"/>
        <v>-15925832.251185518</v>
      </c>
      <c r="Q249" s="13"/>
      <c r="R249" s="14">
        <f t="shared" si="51"/>
        <v>-30258.56528152403</v>
      </c>
      <c r="S249" s="12"/>
    </row>
    <row r="250" spans="1:19" ht="15.75">
      <c r="A250" s="39"/>
      <c r="B250" s="6" t="s">
        <v>156</v>
      </c>
      <c r="C250" s="65"/>
      <c r="D250" s="73"/>
      <c r="E250" s="13"/>
      <c r="F250" s="14">
        <f t="shared" si="68"/>
        <v>16577728.480162956</v>
      </c>
      <c r="G250" s="13">
        <f>-E249</f>
        <v>0</v>
      </c>
      <c r="H250" s="14">
        <f t="shared" si="69"/>
        <v>-1647612.2289774446</v>
      </c>
      <c r="I250" s="13">
        <f>+H247*$G$434/12</f>
        <v>-7057.272380786721</v>
      </c>
      <c r="J250" s="14">
        <f t="shared" si="70"/>
        <v>23201.292900737306</v>
      </c>
      <c r="K250" s="315"/>
      <c r="L250" s="15"/>
      <c r="M250" s="13">
        <f>-G250</f>
        <v>0</v>
      </c>
      <c r="N250" s="14">
        <f t="shared" si="71"/>
        <v>0</v>
      </c>
      <c r="O250" s="13"/>
      <c r="P250" s="14">
        <f t="shared" si="50"/>
        <v>-15925832.251185518</v>
      </c>
      <c r="Q250" s="13">
        <f>-I250</f>
        <v>7057.272380786721</v>
      </c>
      <c r="R250" s="14">
        <f t="shared" si="51"/>
        <v>-23201.292900737306</v>
      </c>
      <c r="S250" s="12"/>
    </row>
    <row r="251" spans="1:19" ht="15.75">
      <c r="A251" s="39" t="s">
        <v>56</v>
      </c>
      <c r="B251" s="6" t="s">
        <v>150</v>
      </c>
      <c r="C251" s="65"/>
      <c r="D251" s="73"/>
      <c r="E251" s="13"/>
      <c r="F251" s="14">
        <f t="shared" si="68"/>
        <v>16577728.480162956</v>
      </c>
      <c r="G251" s="29"/>
      <c r="H251" s="14">
        <f t="shared" si="69"/>
        <v>-1647612.2289774446</v>
      </c>
      <c r="I251" s="13"/>
      <c r="J251" s="14">
        <f t="shared" si="70"/>
        <v>23201.292900737306</v>
      </c>
      <c r="K251" s="315"/>
      <c r="L251" s="15"/>
      <c r="M251" s="13"/>
      <c r="N251" s="14">
        <f t="shared" si="71"/>
        <v>0</v>
      </c>
      <c r="O251" s="13">
        <f>-G251</f>
        <v>0</v>
      </c>
      <c r="P251" s="14">
        <f t="shared" si="50"/>
        <v>-15925832.251185518</v>
      </c>
      <c r="Q251" s="13"/>
      <c r="R251" s="14">
        <f t="shared" si="51"/>
        <v>-23201.292900737306</v>
      </c>
      <c r="S251" s="12"/>
    </row>
    <row r="252" spans="1:19" ht="15.75">
      <c r="A252" s="39"/>
      <c r="B252" s="6" t="s">
        <v>154</v>
      </c>
      <c r="C252" s="65"/>
      <c r="D252" s="73"/>
      <c r="E252" s="13"/>
      <c r="F252" s="14">
        <f t="shared" si="68"/>
        <v>16577728.480162956</v>
      </c>
      <c r="G252" s="13"/>
      <c r="H252" s="14">
        <f t="shared" si="69"/>
        <v>-1647612.2289774446</v>
      </c>
      <c r="I252" s="13"/>
      <c r="J252" s="14">
        <f t="shared" si="70"/>
        <v>23201.292900737306</v>
      </c>
      <c r="K252" s="315"/>
      <c r="L252" s="15"/>
      <c r="M252" s="13">
        <f>-E252</f>
        <v>0</v>
      </c>
      <c r="N252" s="14">
        <f t="shared" si="71"/>
        <v>0</v>
      </c>
      <c r="O252" s="13"/>
      <c r="P252" s="14">
        <f t="shared" si="50"/>
        <v>-15925832.251185518</v>
      </c>
      <c r="Q252" s="13"/>
      <c r="R252" s="14">
        <f t="shared" si="51"/>
        <v>-23201.292900737306</v>
      </c>
      <c r="S252" s="12"/>
    </row>
    <row r="253" spans="1:19" ht="15.75">
      <c r="A253" s="39"/>
      <c r="B253" s="6" t="s">
        <v>156</v>
      </c>
      <c r="C253" s="65"/>
      <c r="D253" s="73"/>
      <c r="E253" s="13"/>
      <c r="F253" s="14">
        <f t="shared" si="68"/>
        <v>16577728.480162956</v>
      </c>
      <c r="G253" s="13">
        <f>-E252</f>
        <v>0</v>
      </c>
      <c r="H253" s="14">
        <f t="shared" si="69"/>
        <v>-1647612.2289774446</v>
      </c>
      <c r="I253" s="13">
        <f>+H250*$G$434/12</f>
        <v>-7057.272380786721</v>
      </c>
      <c r="J253" s="14">
        <f t="shared" si="70"/>
        <v>16144.020519950584</v>
      </c>
      <c r="K253" s="315"/>
      <c r="L253" s="15"/>
      <c r="M253" s="13">
        <f>-G253</f>
        <v>0</v>
      </c>
      <c r="N253" s="14">
        <f t="shared" si="71"/>
        <v>0</v>
      </c>
      <c r="O253" s="13"/>
      <c r="P253" s="14">
        <f t="shared" si="50"/>
        <v>-15925832.251185518</v>
      </c>
      <c r="Q253" s="13">
        <f>-I253</f>
        <v>7057.272380786721</v>
      </c>
      <c r="R253" s="14">
        <f t="shared" si="51"/>
        <v>-16144.020519950584</v>
      </c>
      <c r="S253" s="12"/>
    </row>
    <row r="254" spans="1:19" ht="15.75">
      <c r="A254" s="39" t="s">
        <v>46</v>
      </c>
      <c r="B254" s="6" t="s">
        <v>150</v>
      </c>
      <c r="C254" s="65"/>
      <c r="D254" s="73"/>
      <c r="E254" s="13"/>
      <c r="F254" s="14">
        <f t="shared" si="68"/>
        <v>16577728.480162956</v>
      </c>
      <c r="G254" s="29"/>
      <c r="H254" s="14">
        <f t="shared" si="69"/>
        <v>-1647612.2289774446</v>
      </c>
      <c r="I254" s="13"/>
      <c r="J254" s="14">
        <f t="shared" si="70"/>
        <v>16144.020519950584</v>
      </c>
      <c r="K254" s="315"/>
      <c r="L254" s="15"/>
      <c r="M254" s="13"/>
      <c r="N254" s="14">
        <f t="shared" si="71"/>
        <v>0</v>
      </c>
      <c r="O254" s="13">
        <f>-G254</f>
        <v>0</v>
      </c>
      <c r="P254" s="14">
        <f t="shared" si="50"/>
        <v>-15925832.251185518</v>
      </c>
      <c r="Q254" s="13"/>
      <c r="R254" s="14">
        <f t="shared" si="51"/>
        <v>-16144.020519950584</v>
      </c>
      <c r="S254" s="12"/>
    </row>
    <row r="255" spans="1:19" ht="15.75">
      <c r="A255" s="39"/>
      <c r="B255" s="6" t="s">
        <v>154</v>
      </c>
      <c r="C255" s="65"/>
      <c r="D255" s="73"/>
      <c r="E255" s="13"/>
      <c r="F255" s="14">
        <f t="shared" si="68"/>
        <v>16577728.480162956</v>
      </c>
      <c r="G255" s="13"/>
      <c r="H255" s="14">
        <f t="shared" si="69"/>
        <v>-1647612.2289774446</v>
      </c>
      <c r="I255" s="13"/>
      <c r="J255" s="14">
        <f t="shared" si="70"/>
        <v>16144.020519950584</v>
      </c>
      <c r="K255" s="315"/>
      <c r="L255" s="15"/>
      <c r="M255" s="13">
        <f>-E255</f>
        <v>0</v>
      </c>
      <c r="N255" s="14">
        <f t="shared" si="71"/>
        <v>0</v>
      </c>
      <c r="O255" s="13"/>
      <c r="P255" s="14">
        <f t="shared" si="50"/>
        <v>-15925832.251185518</v>
      </c>
      <c r="Q255" s="13"/>
      <c r="R255" s="14">
        <f t="shared" si="51"/>
        <v>-16144.020519950584</v>
      </c>
      <c r="S255" s="12"/>
    </row>
    <row r="256" spans="1:19" ht="15.75">
      <c r="A256" s="39"/>
      <c r="B256" s="6" t="s">
        <v>156</v>
      </c>
      <c r="C256" s="65"/>
      <c r="D256" s="73"/>
      <c r="E256" s="13"/>
      <c r="F256" s="14">
        <f t="shared" si="68"/>
        <v>16577728.480162956</v>
      </c>
      <c r="G256" s="13">
        <f>-E255</f>
        <v>0</v>
      </c>
      <c r="H256" s="14">
        <f t="shared" si="69"/>
        <v>-1647612.2289774446</v>
      </c>
      <c r="I256" s="13">
        <f>+H253*$G$434/12</f>
        <v>-7057.272380786721</v>
      </c>
      <c r="J256" s="77">
        <f t="shared" si="70"/>
        <v>9086.748139163861</v>
      </c>
      <c r="K256" s="320">
        <f>+J256-J220</f>
        <v>-77890.86812490871</v>
      </c>
      <c r="L256" s="15"/>
      <c r="M256" s="13">
        <f>-G256</f>
        <v>0</v>
      </c>
      <c r="N256" s="14">
        <f t="shared" si="71"/>
        <v>0</v>
      </c>
      <c r="O256" s="13"/>
      <c r="P256" s="14">
        <f t="shared" si="50"/>
        <v>-15925832.251185518</v>
      </c>
      <c r="Q256" s="13">
        <f>-I256</f>
        <v>7057.272380786721</v>
      </c>
      <c r="R256" s="14">
        <f t="shared" si="51"/>
        <v>-9086.748139163861</v>
      </c>
      <c r="S256" s="12"/>
    </row>
    <row r="257" spans="1:19" ht="15.75">
      <c r="A257" s="78" t="s">
        <v>113</v>
      </c>
      <c r="B257" s="6" t="s">
        <v>150</v>
      </c>
      <c r="C257" s="65"/>
      <c r="D257" s="73"/>
      <c r="E257" s="13"/>
      <c r="F257" s="14">
        <f aca="true" t="shared" si="72" ref="F257:F265">+F256+E257</f>
        <v>16577728.480162956</v>
      </c>
      <c r="G257" s="29"/>
      <c r="H257" s="14">
        <f aca="true" t="shared" si="73" ref="H257:H265">+H256+G257</f>
        <v>-1647612.2289774446</v>
      </c>
      <c r="I257" s="13"/>
      <c r="J257" s="14">
        <f aca="true" t="shared" si="74" ref="J257:J265">+J256+I257</f>
        <v>9086.748139163861</v>
      </c>
      <c r="K257" s="315"/>
      <c r="L257" s="15"/>
      <c r="M257" s="13"/>
      <c r="N257" s="14">
        <f aca="true" t="shared" si="75" ref="N257:N265">+N256+M257</f>
        <v>0</v>
      </c>
      <c r="O257" s="13">
        <f>-G257</f>
        <v>0</v>
      </c>
      <c r="P257" s="14">
        <f aca="true" t="shared" si="76" ref="P257:P265">+P256+O257</f>
        <v>-15925832.251185518</v>
      </c>
      <c r="Q257" s="13"/>
      <c r="R257" s="14">
        <f aca="true" t="shared" si="77" ref="R257:R265">+R256+Q257</f>
        <v>-9086.748139163861</v>
      </c>
      <c r="S257" s="12"/>
    </row>
    <row r="258" spans="1:19" ht="15.75">
      <c r="A258" s="39"/>
      <c r="B258" s="6" t="s">
        <v>154</v>
      </c>
      <c r="C258" s="65"/>
      <c r="D258" s="73"/>
      <c r="E258" s="13"/>
      <c r="F258" s="14">
        <f t="shared" si="72"/>
        <v>16577728.480162956</v>
      </c>
      <c r="G258" s="13"/>
      <c r="H258" s="14">
        <f t="shared" si="73"/>
        <v>-1647612.2289774446</v>
      </c>
      <c r="I258" s="13"/>
      <c r="J258" s="14">
        <f t="shared" si="74"/>
        <v>9086.748139163861</v>
      </c>
      <c r="K258" s="315"/>
      <c r="L258" s="15"/>
      <c r="M258" s="13">
        <f>-E258</f>
        <v>0</v>
      </c>
      <c r="N258" s="14">
        <f t="shared" si="75"/>
        <v>0</v>
      </c>
      <c r="O258" s="13"/>
      <c r="P258" s="14">
        <f t="shared" si="76"/>
        <v>-15925832.251185518</v>
      </c>
      <c r="Q258" s="13"/>
      <c r="R258" s="14">
        <f t="shared" si="77"/>
        <v>-9086.748139163861</v>
      </c>
      <c r="S258" s="12"/>
    </row>
    <row r="259" spans="1:19" ht="15.75">
      <c r="A259" s="39"/>
      <c r="B259" s="6" t="s">
        <v>156</v>
      </c>
      <c r="C259" s="65"/>
      <c r="D259" s="73"/>
      <c r="E259" s="13"/>
      <c r="F259" s="14">
        <f t="shared" si="72"/>
        <v>16577728.480162956</v>
      </c>
      <c r="G259" s="13">
        <f>-E258</f>
        <v>0</v>
      </c>
      <c r="H259" s="14">
        <f t="shared" si="73"/>
        <v>-1647612.2289774446</v>
      </c>
      <c r="I259" s="13">
        <f>+H256*$G$434/12</f>
        <v>-7057.272380786721</v>
      </c>
      <c r="J259" s="14">
        <f t="shared" si="74"/>
        <v>2029.4757583771398</v>
      </c>
      <c r="K259" s="315"/>
      <c r="L259" s="15"/>
      <c r="M259" s="13">
        <f>-G259</f>
        <v>0</v>
      </c>
      <c r="N259" s="14">
        <f t="shared" si="75"/>
        <v>0</v>
      </c>
      <c r="O259" s="13"/>
      <c r="P259" s="14">
        <f t="shared" si="76"/>
        <v>-15925832.251185518</v>
      </c>
      <c r="Q259" s="13">
        <f>-I259</f>
        <v>7057.272380786721</v>
      </c>
      <c r="R259" s="14">
        <f t="shared" si="77"/>
        <v>-2029.4757583771398</v>
      </c>
      <c r="S259" s="12"/>
    </row>
    <row r="260" spans="1:19" ht="15.75">
      <c r="A260" s="39" t="s">
        <v>81</v>
      </c>
      <c r="B260" s="6" t="s">
        <v>150</v>
      </c>
      <c r="C260" s="65"/>
      <c r="D260" s="73"/>
      <c r="E260" s="13"/>
      <c r="F260" s="14">
        <f t="shared" si="72"/>
        <v>16577728.480162956</v>
      </c>
      <c r="G260" s="29"/>
      <c r="H260" s="14">
        <f t="shared" si="73"/>
        <v>-1647612.2289774446</v>
      </c>
      <c r="I260" s="13"/>
      <c r="J260" s="14">
        <f t="shared" si="74"/>
        <v>2029.4757583771398</v>
      </c>
      <c r="K260" s="315"/>
      <c r="L260" s="15"/>
      <c r="M260" s="13"/>
      <c r="N260" s="14">
        <f t="shared" si="75"/>
        <v>0</v>
      </c>
      <c r="O260" s="13">
        <f>-G260</f>
        <v>0</v>
      </c>
      <c r="P260" s="14">
        <f t="shared" si="76"/>
        <v>-15925832.251185518</v>
      </c>
      <c r="Q260" s="13"/>
      <c r="R260" s="14">
        <f t="shared" si="77"/>
        <v>-2029.4757583771398</v>
      </c>
      <c r="S260" s="12"/>
    </row>
    <row r="261" spans="1:19" ht="15.75">
      <c r="A261" s="39"/>
      <c r="B261" s="6" t="s">
        <v>154</v>
      </c>
      <c r="C261" s="65"/>
      <c r="D261" s="73"/>
      <c r="E261" s="13"/>
      <c r="F261" s="14">
        <f t="shared" si="72"/>
        <v>16577728.480162956</v>
      </c>
      <c r="G261" s="13"/>
      <c r="H261" s="14">
        <f t="shared" si="73"/>
        <v>-1647612.2289774446</v>
      </c>
      <c r="I261" s="13"/>
      <c r="J261" s="14">
        <f t="shared" si="74"/>
        <v>2029.4757583771398</v>
      </c>
      <c r="K261" s="315"/>
      <c r="L261" s="15"/>
      <c r="M261" s="13">
        <f>-E261</f>
        <v>0</v>
      </c>
      <c r="N261" s="14">
        <f t="shared" si="75"/>
        <v>0</v>
      </c>
      <c r="O261" s="13"/>
      <c r="P261" s="14">
        <f t="shared" si="76"/>
        <v>-15925832.251185518</v>
      </c>
      <c r="Q261" s="13"/>
      <c r="R261" s="14">
        <f t="shared" si="77"/>
        <v>-2029.4757583771398</v>
      </c>
      <c r="S261" s="12"/>
    </row>
    <row r="262" spans="1:19" ht="15.75">
      <c r="A262" s="39"/>
      <c r="B262" s="6" t="s">
        <v>156</v>
      </c>
      <c r="C262" s="65"/>
      <c r="D262" s="73"/>
      <c r="E262" s="13"/>
      <c r="F262" s="14">
        <f t="shared" si="72"/>
        <v>16577728.480162956</v>
      </c>
      <c r="G262" s="13">
        <f>-E261</f>
        <v>0</v>
      </c>
      <c r="H262" s="14">
        <f t="shared" si="73"/>
        <v>-1647612.2289774446</v>
      </c>
      <c r="I262" s="13">
        <f>+H259*$G$434/12</f>
        <v>-7057.272380786721</v>
      </c>
      <c r="J262" s="14">
        <f t="shared" si="74"/>
        <v>-5027.796622409582</v>
      </c>
      <c r="K262" s="315"/>
      <c r="L262" s="15"/>
      <c r="M262" s="13">
        <f>-G262</f>
        <v>0</v>
      </c>
      <c r="N262" s="14">
        <f t="shared" si="75"/>
        <v>0</v>
      </c>
      <c r="O262" s="13"/>
      <c r="P262" s="14">
        <f t="shared" si="76"/>
        <v>-15925832.251185518</v>
      </c>
      <c r="Q262" s="13">
        <f>-I262</f>
        <v>7057.272380786721</v>
      </c>
      <c r="R262" s="14">
        <f t="shared" si="77"/>
        <v>5027.796622409582</v>
      </c>
      <c r="S262" s="12"/>
    </row>
    <row r="263" spans="1:19" ht="15.75">
      <c r="A263" s="39" t="s">
        <v>49</v>
      </c>
      <c r="B263" s="6" t="s">
        <v>150</v>
      </c>
      <c r="C263" s="65"/>
      <c r="D263" s="73"/>
      <c r="E263" s="13"/>
      <c r="F263" s="14">
        <f t="shared" si="72"/>
        <v>16577728.480162956</v>
      </c>
      <c r="G263" s="29"/>
      <c r="H263" s="14">
        <f t="shared" si="73"/>
        <v>-1647612.2289774446</v>
      </c>
      <c r="I263" s="13"/>
      <c r="J263" s="14">
        <f t="shared" si="74"/>
        <v>-5027.796622409582</v>
      </c>
      <c r="K263" s="315"/>
      <c r="L263" s="15"/>
      <c r="M263" s="13"/>
      <c r="N263" s="14">
        <f t="shared" si="75"/>
        <v>0</v>
      </c>
      <c r="O263" s="13">
        <f>-G263</f>
        <v>0</v>
      </c>
      <c r="P263" s="14">
        <f t="shared" si="76"/>
        <v>-15925832.251185518</v>
      </c>
      <c r="Q263" s="13"/>
      <c r="R263" s="14">
        <f t="shared" si="77"/>
        <v>5027.796622409582</v>
      </c>
      <c r="S263" s="12"/>
    </row>
    <row r="264" spans="1:19" ht="15.75">
      <c r="A264" s="39"/>
      <c r="B264" s="6" t="s">
        <v>154</v>
      </c>
      <c r="C264" s="65"/>
      <c r="D264" s="73"/>
      <c r="E264" s="13"/>
      <c r="F264" s="14">
        <f t="shared" si="72"/>
        <v>16577728.480162956</v>
      </c>
      <c r="G264" s="13"/>
      <c r="H264" s="14">
        <f t="shared" si="73"/>
        <v>-1647612.2289774446</v>
      </c>
      <c r="I264" s="13"/>
      <c r="J264" s="14">
        <f t="shared" si="74"/>
        <v>-5027.796622409582</v>
      </c>
      <c r="K264" s="315"/>
      <c r="L264" s="15"/>
      <c r="M264" s="13">
        <f>-E264</f>
        <v>0</v>
      </c>
      <c r="N264" s="14">
        <f t="shared" si="75"/>
        <v>0</v>
      </c>
      <c r="O264" s="13"/>
      <c r="P264" s="14">
        <f t="shared" si="76"/>
        <v>-15925832.251185518</v>
      </c>
      <c r="Q264" s="13"/>
      <c r="R264" s="14">
        <f t="shared" si="77"/>
        <v>5027.796622409582</v>
      </c>
      <c r="S264" s="12"/>
    </row>
    <row r="265" spans="1:19" ht="15.75">
      <c r="A265" s="39"/>
      <c r="B265" s="6" t="s">
        <v>156</v>
      </c>
      <c r="C265" s="65"/>
      <c r="D265" s="73"/>
      <c r="E265" s="13"/>
      <c r="F265" s="14">
        <f t="shared" si="72"/>
        <v>16577728.480162956</v>
      </c>
      <c r="G265" s="13">
        <f>-E264</f>
        <v>0</v>
      </c>
      <c r="H265" s="14">
        <f t="shared" si="73"/>
        <v>-1647612.2289774446</v>
      </c>
      <c r="I265" s="13">
        <f>+H262*$G$434/12</f>
        <v>-7057.272380786721</v>
      </c>
      <c r="J265" s="14">
        <f t="shared" si="74"/>
        <v>-12085.069003196302</v>
      </c>
      <c r="K265" s="315"/>
      <c r="L265" s="15"/>
      <c r="M265" s="13">
        <f>-G265</f>
        <v>0</v>
      </c>
      <c r="N265" s="14">
        <f t="shared" si="75"/>
        <v>0</v>
      </c>
      <c r="O265" s="13"/>
      <c r="P265" s="14">
        <f t="shared" si="76"/>
        <v>-15925832.251185518</v>
      </c>
      <c r="Q265" s="13">
        <f>-I265</f>
        <v>7057.272380786721</v>
      </c>
      <c r="R265" s="14">
        <f t="shared" si="77"/>
        <v>12085.069003196302</v>
      </c>
      <c r="S265" s="12"/>
    </row>
    <row r="266" spans="1:19" ht="15.75">
      <c r="A266" s="39" t="s">
        <v>50</v>
      </c>
      <c r="B266" s="6" t="s">
        <v>150</v>
      </c>
      <c r="C266" s="65"/>
      <c r="D266" s="73"/>
      <c r="E266" s="13"/>
      <c r="F266" s="14">
        <f aca="true" t="shared" si="78" ref="F266:F274">+F265+E266</f>
        <v>16577728.480162956</v>
      </c>
      <c r="G266" s="29"/>
      <c r="H266" s="14">
        <f aca="true" t="shared" si="79" ref="H266:H274">+H265+G266</f>
        <v>-1647612.2289774446</v>
      </c>
      <c r="I266" s="13"/>
      <c r="J266" s="14">
        <f aca="true" t="shared" si="80" ref="J266:J274">+J265+I266</f>
        <v>-12085.069003196302</v>
      </c>
      <c r="K266" s="315"/>
      <c r="L266" s="15"/>
      <c r="M266" s="13"/>
      <c r="N266" s="14">
        <f aca="true" t="shared" si="81" ref="N266:N274">+N265+M266</f>
        <v>0</v>
      </c>
      <c r="O266" s="13">
        <f>-G266</f>
        <v>0</v>
      </c>
      <c r="P266" s="14">
        <f aca="true" t="shared" si="82" ref="P266:P274">+P265+O266</f>
        <v>-15925832.251185518</v>
      </c>
      <c r="Q266" s="13"/>
      <c r="R266" s="14">
        <f aca="true" t="shared" si="83" ref="R266:R274">+R265+Q266</f>
        <v>12085.069003196302</v>
      </c>
      <c r="S266" s="12"/>
    </row>
    <row r="267" spans="1:19" ht="15.75">
      <c r="A267" s="39"/>
      <c r="B267" s="6" t="s">
        <v>154</v>
      </c>
      <c r="C267" s="65"/>
      <c r="D267" s="73"/>
      <c r="E267" s="13"/>
      <c r="F267" s="14">
        <f t="shared" si="78"/>
        <v>16577728.480162956</v>
      </c>
      <c r="G267" s="13"/>
      <c r="H267" s="14">
        <f t="shared" si="79"/>
        <v>-1647612.2289774446</v>
      </c>
      <c r="I267" s="13"/>
      <c r="J267" s="14">
        <f t="shared" si="80"/>
        <v>-12085.069003196302</v>
      </c>
      <c r="K267" s="315"/>
      <c r="L267" s="15"/>
      <c r="M267" s="13">
        <f>-E267</f>
        <v>0</v>
      </c>
      <c r="N267" s="14">
        <f t="shared" si="81"/>
        <v>0</v>
      </c>
      <c r="O267" s="13"/>
      <c r="P267" s="14">
        <f t="shared" si="82"/>
        <v>-15925832.251185518</v>
      </c>
      <c r="Q267" s="13"/>
      <c r="R267" s="14">
        <f t="shared" si="83"/>
        <v>12085.069003196302</v>
      </c>
      <c r="S267" s="12"/>
    </row>
    <row r="268" spans="1:19" ht="15.75">
      <c r="A268" s="39"/>
      <c r="B268" s="6" t="s">
        <v>156</v>
      </c>
      <c r="C268" s="65"/>
      <c r="D268" s="73"/>
      <c r="E268" s="13"/>
      <c r="F268" s="14">
        <f t="shared" si="78"/>
        <v>16577728.480162956</v>
      </c>
      <c r="G268" s="13">
        <f>-E267</f>
        <v>0</v>
      </c>
      <c r="H268" s="14">
        <f t="shared" si="79"/>
        <v>-1647612.2289774446</v>
      </c>
      <c r="I268" s="13">
        <f>+H265*$G$435/12</f>
        <v>-5601.881578523312</v>
      </c>
      <c r="J268" s="14">
        <f t="shared" si="80"/>
        <v>-17686.950581719615</v>
      </c>
      <c r="K268" s="315"/>
      <c r="L268" s="15"/>
      <c r="M268" s="13">
        <f>-G268</f>
        <v>0</v>
      </c>
      <c r="N268" s="14">
        <f t="shared" si="81"/>
        <v>0</v>
      </c>
      <c r="O268" s="13"/>
      <c r="P268" s="14">
        <f t="shared" si="82"/>
        <v>-15925832.251185518</v>
      </c>
      <c r="Q268" s="13">
        <f>-I268</f>
        <v>5601.881578523312</v>
      </c>
      <c r="R268" s="14">
        <f t="shared" si="83"/>
        <v>17686.950581719615</v>
      </c>
      <c r="S268" s="12"/>
    </row>
    <row r="269" spans="1:19" ht="15.75">
      <c r="A269" s="39" t="s">
        <v>51</v>
      </c>
      <c r="B269" s="6" t="s">
        <v>150</v>
      </c>
      <c r="C269" s="65"/>
      <c r="D269" s="73"/>
      <c r="E269" s="13"/>
      <c r="F269" s="14">
        <f t="shared" si="78"/>
        <v>16577728.480162956</v>
      </c>
      <c r="G269" s="29"/>
      <c r="H269" s="14">
        <f t="shared" si="79"/>
        <v>-1647612.2289774446</v>
      </c>
      <c r="I269" s="13"/>
      <c r="J269" s="14">
        <f t="shared" si="80"/>
        <v>-17686.950581719615</v>
      </c>
      <c r="K269" s="315"/>
      <c r="L269" s="15"/>
      <c r="M269" s="13"/>
      <c r="N269" s="14">
        <f t="shared" si="81"/>
        <v>0</v>
      </c>
      <c r="O269" s="13">
        <f>-G269</f>
        <v>0</v>
      </c>
      <c r="P269" s="14">
        <f t="shared" si="82"/>
        <v>-15925832.251185518</v>
      </c>
      <c r="Q269" s="13"/>
      <c r="R269" s="14">
        <f t="shared" si="83"/>
        <v>17686.950581719615</v>
      </c>
      <c r="S269" s="12"/>
    </row>
    <row r="270" spans="1:19" ht="15.75">
      <c r="A270" s="39"/>
      <c r="B270" s="6" t="s">
        <v>154</v>
      </c>
      <c r="C270" s="65"/>
      <c r="D270" s="73"/>
      <c r="E270" s="13"/>
      <c r="F270" s="14">
        <f t="shared" si="78"/>
        <v>16577728.480162956</v>
      </c>
      <c r="G270" s="13"/>
      <c r="H270" s="14">
        <f t="shared" si="79"/>
        <v>-1647612.2289774446</v>
      </c>
      <c r="I270" s="13"/>
      <c r="J270" s="14">
        <f t="shared" si="80"/>
        <v>-17686.950581719615</v>
      </c>
      <c r="K270" s="315"/>
      <c r="L270" s="15"/>
      <c r="M270" s="13">
        <f>-E270</f>
        <v>0</v>
      </c>
      <c r="N270" s="14">
        <f t="shared" si="81"/>
        <v>0</v>
      </c>
      <c r="O270" s="13"/>
      <c r="P270" s="14">
        <f t="shared" si="82"/>
        <v>-15925832.251185518</v>
      </c>
      <c r="Q270" s="13"/>
      <c r="R270" s="14">
        <f t="shared" si="83"/>
        <v>17686.950581719615</v>
      </c>
      <c r="S270" s="12"/>
    </row>
    <row r="271" spans="1:19" ht="15.75">
      <c r="A271" s="39"/>
      <c r="B271" s="6" t="s">
        <v>156</v>
      </c>
      <c r="C271" s="65"/>
      <c r="D271" s="73"/>
      <c r="E271" s="13"/>
      <c r="F271" s="14">
        <f t="shared" si="78"/>
        <v>16577728.480162956</v>
      </c>
      <c r="G271" s="13">
        <f>-E270</f>
        <v>0</v>
      </c>
      <c r="H271" s="14">
        <f t="shared" si="79"/>
        <v>-1647612.2289774446</v>
      </c>
      <c r="I271" s="13">
        <f>+H268*$G$435/12</f>
        <v>-5601.881578523312</v>
      </c>
      <c r="J271" s="14">
        <f t="shared" si="80"/>
        <v>-23288.832160242928</v>
      </c>
      <c r="K271" s="315"/>
      <c r="L271" s="15"/>
      <c r="M271" s="13">
        <f>-G271</f>
        <v>0</v>
      </c>
      <c r="N271" s="14">
        <f t="shared" si="81"/>
        <v>0</v>
      </c>
      <c r="O271" s="13"/>
      <c r="P271" s="14">
        <f t="shared" si="82"/>
        <v>-15925832.251185518</v>
      </c>
      <c r="Q271" s="13">
        <f>-I271</f>
        <v>5601.881578523312</v>
      </c>
      <c r="R271" s="14">
        <f t="shared" si="83"/>
        <v>23288.832160242928</v>
      </c>
      <c r="S271" s="12"/>
    </row>
    <row r="272" spans="1:19" ht="15.75">
      <c r="A272" s="39" t="s">
        <v>52</v>
      </c>
      <c r="B272" s="6" t="s">
        <v>150</v>
      </c>
      <c r="C272" s="65"/>
      <c r="D272" s="73"/>
      <c r="E272" s="13"/>
      <c r="F272" s="14">
        <f t="shared" si="78"/>
        <v>16577728.480162956</v>
      </c>
      <c r="G272" s="29"/>
      <c r="H272" s="14">
        <f t="shared" si="79"/>
        <v>-1647612.2289774446</v>
      </c>
      <c r="I272" s="13"/>
      <c r="J272" s="14">
        <f t="shared" si="80"/>
        <v>-23288.832160242928</v>
      </c>
      <c r="K272" s="315"/>
      <c r="L272" s="15"/>
      <c r="M272" s="13"/>
      <c r="N272" s="14">
        <f t="shared" si="81"/>
        <v>0</v>
      </c>
      <c r="O272" s="13">
        <f>-G272</f>
        <v>0</v>
      </c>
      <c r="P272" s="14">
        <f t="shared" si="82"/>
        <v>-15925832.251185518</v>
      </c>
      <c r="Q272" s="13"/>
      <c r="R272" s="14">
        <f t="shared" si="83"/>
        <v>23288.832160242928</v>
      </c>
      <c r="S272" s="12"/>
    </row>
    <row r="273" spans="1:19" ht="15.75">
      <c r="A273" s="39"/>
      <c r="B273" s="6" t="s">
        <v>154</v>
      </c>
      <c r="C273" s="65"/>
      <c r="D273" s="73"/>
      <c r="E273" s="13"/>
      <c r="F273" s="14">
        <f t="shared" si="78"/>
        <v>16577728.480162956</v>
      </c>
      <c r="G273" s="13"/>
      <c r="H273" s="14">
        <f t="shared" si="79"/>
        <v>-1647612.2289774446</v>
      </c>
      <c r="I273" s="13"/>
      <c r="J273" s="14">
        <f t="shared" si="80"/>
        <v>-23288.832160242928</v>
      </c>
      <c r="K273" s="315"/>
      <c r="L273" s="15"/>
      <c r="M273" s="13">
        <f>-E273</f>
        <v>0</v>
      </c>
      <c r="N273" s="14">
        <f t="shared" si="81"/>
        <v>0</v>
      </c>
      <c r="O273" s="13"/>
      <c r="P273" s="14">
        <f t="shared" si="82"/>
        <v>-15925832.251185518</v>
      </c>
      <c r="Q273" s="13"/>
      <c r="R273" s="14">
        <f t="shared" si="83"/>
        <v>23288.832160242928</v>
      </c>
      <c r="S273" s="12"/>
    </row>
    <row r="274" spans="1:19" ht="15.75">
      <c r="A274" s="39"/>
      <c r="B274" s="6" t="s">
        <v>156</v>
      </c>
      <c r="C274" s="65"/>
      <c r="D274" s="73"/>
      <c r="E274" s="13"/>
      <c r="F274" s="14">
        <f t="shared" si="78"/>
        <v>16577728.480162956</v>
      </c>
      <c r="G274" s="13">
        <f>-E273</f>
        <v>0</v>
      </c>
      <c r="H274" s="14">
        <f t="shared" si="79"/>
        <v>-1647612.2289774446</v>
      </c>
      <c r="I274" s="13">
        <f>+H271*$G$435/12</f>
        <v>-5601.881578523312</v>
      </c>
      <c r="J274" s="14">
        <f t="shared" si="80"/>
        <v>-28890.71373876624</v>
      </c>
      <c r="K274" s="315"/>
      <c r="L274" s="15"/>
      <c r="M274" s="13">
        <f>-G274</f>
        <v>0</v>
      </c>
      <c r="N274" s="14">
        <f t="shared" si="81"/>
        <v>0</v>
      </c>
      <c r="O274" s="13"/>
      <c r="P274" s="14">
        <f t="shared" si="82"/>
        <v>-15925832.251185518</v>
      </c>
      <c r="Q274" s="13">
        <f>-I274</f>
        <v>5601.881578523312</v>
      </c>
      <c r="R274" s="14">
        <f t="shared" si="83"/>
        <v>28890.71373876624</v>
      </c>
      <c r="S274" s="12"/>
    </row>
    <row r="275" spans="1:19" ht="15.75">
      <c r="A275" s="39" t="s">
        <v>53</v>
      </c>
      <c r="B275" s="6" t="s">
        <v>150</v>
      </c>
      <c r="C275" s="65"/>
      <c r="D275" s="73"/>
      <c r="E275" s="13"/>
      <c r="F275" s="14">
        <f>+F274+E275</f>
        <v>16577728.480162956</v>
      </c>
      <c r="G275" s="29"/>
      <c r="H275" s="14">
        <f>+H274+G275</f>
        <v>-1647612.2289774446</v>
      </c>
      <c r="I275" s="13"/>
      <c r="J275" s="14">
        <f>+J274+I275</f>
        <v>-28890.71373876624</v>
      </c>
      <c r="K275" s="315"/>
      <c r="L275" s="15"/>
      <c r="M275" s="13"/>
      <c r="N275" s="14">
        <f>+N274+M275</f>
        <v>0</v>
      </c>
      <c r="O275" s="13">
        <f>-G275</f>
        <v>0</v>
      </c>
      <c r="P275" s="14">
        <f>+P274+O275</f>
        <v>-15925832.251185518</v>
      </c>
      <c r="Q275" s="13"/>
      <c r="R275" s="14">
        <f>+R274+Q275</f>
        <v>28890.71373876624</v>
      </c>
      <c r="S275" s="12"/>
    </row>
    <row r="276" spans="1:19" ht="15.75">
      <c r="A276" s="39"/>
      <c r="B276" s="6" t="s">
        <v>154</v>
      </c>
      <c r="C276" s="65"/>
      <c r="D276" s="73"/>
      <c r="E276" s="13"/>
      <c r="F276" s="14">
        <f>+F275+E276</f>
        <v>16577728.480162956</v>
      </c>
      <c r="G276" s="13"/>
      <c r="H276" s="14">
        <f>+H275+G276</f>
        <v>-1647612.2289774446</v>
      </c>
      <c r="I276" s="13"/>
      <c r="J276" s="14">
        <f>+J275+I276</f>
        <v>-28890.71373876624</v>
      </c>
      <c r="K276" s="315"/>
      <c r="L276" s="15"/>
      <c r="M276" s="13">
        <f>-E276</f>
        <v>0</v>
      </c>
      <c r="N276" s="14">
        <f>+N275+M276</f>
        <v>0</v>
      </c>
      <c r="O276" s="13"/>
      <c r="P276" s="14">
        <f>+P275+O276</f>
        <v>-15925832.251185518</v>
      </c>
      <c r="Q276" s="13"/>
      <c r="R276" s="14">
        <f>+R275+Q276</f>
        <v>28890.71373876624</v>
      </c>
      <c r="S276" s="12"/>
    </row>
    <row r="277" spans="1:19" ht="15.75">
      <c r="A277" s="39"/>
      <c r="B277" s="6" t="s">
        <v>156</v>
      </c>
      <c r="C277" s="65"/>
      <c r="D277" s="73"/>
      <c r="E277" s="13"/>
      <c r="F277" s="14">
        <f>+F276+E277</f>
        <v>16577728.480162956</v>
      </c>
      <c r="G277" s="13">
        <f>-E276</f>
        <v>0</v>
      </c>
      <c r="H277" s="14">
        <f>+H276+G277</f>
        <v>-1647612.2289774446</v>
      </c>
      <c r="I277" s="13">
        <f>+H274*$G$436/12</f>
        <v>-4599.584139228699</v>
      </c>
      <c r="J277" s="14">
        <f>+J276+I277</f>
        <v>-33490.29787799494</v>
      </c>
      <c r="K277" s="315"/>
      <c r="L277" s="15"/>
      <c r="M277" s="13">
        <f>-G277</f>
        <v>0</v>
      </c>
      <c r="N277" s="14">
        <f>+N276+M277</f>
        <v>0</v>
      </c>
      <c r="O277" s="13"/>
      <c r="P277" s="14">
        <f>+P276+O277</f>
        <v>-15925832.251185518</v>
      </c>
      <c r="Q277" s="13">
        <f>-I277</f>
        <v>4599.584139228699</v>
      </c>
      <c r="R277" s="14">
        <f>+R276+Q277</f>
        <v>33490.29787799494</v>
      </c>
      <c r="S277" s="12"/>
    </row>
    <row r="278" spans="1:19" ht="15.75">
      <c r="A278" s="39" t="s">
        <v>54</v>
      </c>
      <c r="B278" s="6" t="s">
        <v>150</v>
      </c>
      <c r="C278" s="65"/>
      <c r="D278" s="73"/>
      <c r="E278" s="13"/>
      <c r="F278" s="14">
        <f aca="true" t="shared" si="84" ref="F278:F283">+F277+E278</f>
        <v>16577728.480162956</v>
      </c>
      <c r="G278" s="29"/>
      <c r="H278" s="14">
        <f aca="true" t="shared" si="85" ref="H278:H283">+H277+G278</f>
        <v>-1647612.2289774446</v>
      </c>
      <c r="I278" s="47"/>
      <c r="J278" s="14">
        <f aca="true" t="shared" si="86" ref="J278:J283">+J277+I278</f>
        <v>-33490.29787799494</v>
      </c>
      <c r="K278" s="315"/>
      <c r="L278" s="15"/>
      <c r="M278" s="13"/>
      <c r="N278" s="14">
        <f aca="true" t="shared" si="87" ref="N278:N283">+N277+M278</f>
        <v>0</v>
      </c>
      <c r="O278" s="13">
        <f>-G278</f>
        <v>0</v>
      </c>
      <c r="P278" s="14">
        <f aca="true" t="shared" si="88" ref="P278:P283">+P277+O278</f>
        <v>-15925832.251185518</v>
      </c>
      <c r="Q278" s="13"/>
      <c r="R278" s="14">
        <f aca="true" t="shared" si="89" ref="R278:R283">+R277+Q278</f>
        <v>33490.29787799494</v>
      </c>
      <c r="S278" s="12"/>
    </row>
    <row r="279" spans="1:19" ht="15.75">
      <c r="A279" s="39"/>
      <c r="B279" s="6" t="s">
        <v>154</v>
      </c>
      <c r="C279" s="65"/>
      <c r="D279" s="73"/>
      <c r="E279" s="13"/>
      <c r="F279" s="14">
        <f t="shared" si="84"/>
        <v>16577728.480162956</v>
      </c>
      <c r="G279" s="13"/>
      <c r="H279" s="14">
        <f t="shared" si="85"/>
        <v>-1647612.2289774446</v>
      </c>
      <c r="I279" s="47"/>
      <c r="J279" s="14">
        <f t="shared" si="86"/>
        <v>-33490.29787799494</v>
      </c>
      <c r="K279" s="315"/>
      <c r="L279" s="15"/>
      <c r="M279" s="13">
        <f>-E279</f>
        <v>0</v>
      </c>
      <c r="N279" s="14">
        <f t="shared" si="87"/>
        <v>0</v>
      </c>
      <c r="O279" s="13"/>
      <c r="P279" s="14">
        <f t="shared" si="88"/>
        <v>-15925832.251185518</v>
      </c>
      <c r="Q279" s="13"/>
      <c r="R279" s="14">
        <f t="shared" si="89"/>
        <v>33490.29787799494</v>
      </c>
      <c r="S279" s="12"/>
    </row>
    <row r="280" spans="1:19" ht="15.75">
      <c r="A280" s="39"/>
      <c r="B280" s="6" t="s">
        <v>156</v>
      </c>
      <c r="C280" s="65"/>
      <c r="D280" s="73"/>
      <c r="E280" s="13"/>
      <c r="F280" s="14">
        <f t="shared" si="84"/>
        <v>16577728.480162956</v>
      </c>
      <c r="G280" s="13">
        <f>-E279</f>
        <v>0</v>
      </c>
      <c r="H280" s="14">
        <f t="shared" si="85"/>
        <v>-1647612.2289774446</v>
      </c>
      <c r="I280" s="13">
        <f>+H277*$G$436/12</f>
        <v>-4599.584139228699</v>
      </c>
      <c r="J280" s="14">
        <f t="shared" si="86"/>
        <v>-38089.88201722364</v>
      </c>
      <c r="K280" s="315"/>
      <c r="L280" s="15"/>
      <c r="M280" s="13">
        <f>-G280</f>
        <v>0</v>
      </c>
      <c r="N280" s="14">
        <f t="shared" si="87"/>
        <v>0</v>
      </c>
      <c r="O280" s="13"/>
      <c r="P280" s="14">
        <f t="shared" si="88"/>
        <v>-15925832.251185518</v>
      </c>
      <c r="Q280" s="13">
        <f>-I280</f>
        <v>4599.584139228699</v>
      </c>
      <c r="R280" s="14">
        <f t="shared" si="89"/>
        <v>38089.88201722364</v>
      </c>
      <c r="S280" s="12"/>
    </row>
    <row r="281" spans="1:19" ht="15.75">
      <c r="A281" s="39" t="s">
        <v>55</v>
      </c>
      <c r="B281" s="6" t="s">
        <v>150</v>
      </c>
      <c r="C281" s="65"/>
      <c r="D281" s="73"/>
      <c r="E281" s="13"/>
      <c r="F281" s="14">
        <f t="shared" si="84"/>
        <v>16577728.480162956</v>
      </c>
      <c r="G281" s="29"/>
      <c r="H281" s="14">
        <f t="shared" si="85"/>
        <v>-1647612.2289774446</v>
      </c>
      <c r="I281" s="47"/>
      <c r="J281" s="14">
        <f t="shared" si="86"/>
        <v>-38089.88201722364</v>
      </c>
      <c r="K281" s="315"/>
      <c r="L281" s="15"/>
      <c r="M281" s="13"/>
      <c r="N281" s="14">
        <f t="shared" si="87"/>
        <v>0</v>
      </c>
      <c r="O281" s="13">
        <f>-G281</f>
        <v>0</v>
      </c>
      <c r="P281" s="14">
        <f t="shared" si="88"/>
        <v>-15925832.251185518</v>
      </c>
      <c r="Q281" s="13"/>
      <c r="R281" s="14">
        <f t="shared" si="89"/>
        <v>38089.88201722364</v>
      </c>
      <c r="S281" s="12"/>
    </row>
    <row r="282" spans="1:19" ht="15.75">
      <c r="A282" s="39"/>
      <c r="B282" s="6" t="s">
        <v>154</v>
      </c>
      <c r="C282" s="65"/>
      <c r="D282" s="73"/>
      <c r="E282" s="13"/>
      <c r="F282" s="14">
        <f t="shared" si="84"/>
        <v>16577728.480162956</v>
      </c>
      <c r="G282" s="13"/>
      <c r="H282" s="14">
        <f t="shared" si="85"/>
        <v>-1647612.2289774446</v>
      </c>
      <c r="I282" s="47"/>
      <c r="J282" s="14">
        <f t="shared" si="86"/>
        <v>-38089.88201722364</v>
      </c>
      <c r="K282" s="315"/>
      <c r="L282" s="15"/>
      <c r="M282" s="13">
        <f>-E282</f>
        <v>0</v>
      </c>
      <c r="N282" s="14">
        <f t="shared" si="87"/>
        <v>0</v>
      </c>
      <c r="O282" s="13"/>
      <c r="P282" s="14">
        <f t="shared" si="88"/>
        <v>-15925832.251185518</v>
      </c>
      <c r="Q282" s="13"/>
      <c r="R282" s="14">
        <f t="shared" si="89"/>
        <v>38089.88201722364</v>
      </c>
      <c r="S282" s="12"/>
    </row>
    <row r="283" spans="1:19" ht="15.75">
      <c r="A283" s="39"/>
      <c r="B283" s="6" t="s">
        <v>156</v>
      </c>
      <c r="C283" s="65"/>
      <c r="D283" s="73"/>
      <c r="E283" s="13"/>
      <c r="F283" s="14">
        <f t="shared" si="84"/>
        <v>16577728.480162956</v>
      </c>
      <c r="G283" s="13">
        <f>-E282</f>
        <v>0</v>
      </c>
      <c r="H283" s="14">
        <f t="shared" si="85"/>
        <v>-1647612.2289774446</v>
      </c>
      <c r="I283" s="13">
        <f>+H280*$G$436/12</f>
        <v>-4599.584139228699</v>
      </c>
      <c r="J283" s="14">
        <f t="shared" si="86"/>
        <v>-42689.466156452334</v>
      </c>
      <c r="K283" s="315"/>
      <c r="L283" s="15"/>
      <c r="M283" s="13">
        <f>-G283</f>
        <v>0</v>
      </c>
      <c r="N283" s="14">
        <f t="shared" si="87"/>
        <v>0</v>
      </c>
      <c r="O283" s="13"/>
      <c r="P283" s="14">
        <f t="shared" si="88"/>
        <v>-15925832.251185518</v>
      </c>
      <c r="Q283" s="13">
        <f>-I283</f>
        <v>4599.584139228699</v>
      </c>
      <c r="R283" s="14">
        <f t="shared" si="89"/>
        <v>42689.466156452334</v>
      </c>
      <c r="S283" s="12"/>
    </row>
    <row r="284" spans="1:19" ht="15.75">
      <c r="A284" s="39" t="s">
        <v>44</v>
      </c>
      <c r="B284" s="6" t="s">
        <v>150</v>
      </c>
      <c r="C284" s="65"/>
      <c r="D284" s="73"/>
      <c r="E284" s="13"/>
      <c r="F284" s="14">
        <f>+F283+E284</f>
        <v>16577728.480162956</v>
      </c>
      <c r="G284" s="29"/>
      <c r="H284" s="14">
        <f>+H283+G284</f>
        <v>-1647612.2289774446</v>
      </c>
      <c r="I284" s="13"/>
      <c r="J284" s="14">
        <f>+J283+I284</f>
        <v>-42689.466156452334</v>
      </c>
      <c r="K284" s="315"/>
      <c r="L284" s="15"/>
      <c r="M284" s="13"/>
      <c r="N284" s="14">
        <f>+N283+M284</f>
        <v>0</v>
      </c>
      <c r="O284" s="13">
        <f>-G284</f>
        <v>0</v>
      </c>
      <c r="P284" s="14">
        <f>+P283+O284</f>
        <v>-15925832.251185518</v>
      </c>
      <c r="Q284" s="13"/>
      <c r="R284" s="14">
        <f>+R283+Q284</f>
        <v>42689.466156452334</v>
      </c>
      <c r="S284" s="12"/>
    </row>
    <row r="285" spans="1:19" ht="15.75">
      <c r="A285" s="39"/>
      <c r="B285" s="6" t="s">
        <v>154</v>
      </c>
      <c r="C285" s="65"/>
      <c r="D285" s="73"/>
      <c r="E285" s="13"/>
      <c r="F285" s="14">
        <f>+F284+E285</f>
        <v>16577728.480162956</v>
      </c>
      <c r="G285" s="13"/>
      <c r="H285" s="14">
        <f>+H284+G285</f>
        <v>-1647612.2289774446</v>
      </c>
      <c r="I285" s="13"/>
      <c r="J285" s="14">
        <f>+J284+I285</f>
        <v>-42689.466156452334</v>
      </c>
      <c r="K285" s="315"/>
      <c r="L285" s="15"/>
      <c r="M285" s="13">
        <f>-E285</f>
        <v>0</v>
      </c>
      <c r="N285" s="14">
        <f>+N284+M285</f>
        <v>0</v>
      </c>
      <c r="O285" s="13"/>
      <c r="P285" s="14">
        <f>+P284+O285</f>
        <v>-15925832.251185518</v>
      </c>
      <c r="Q285" s="13"/>
      <c r="R285" s="14">
        <f>+R284+Q285</f>
        <v>42689.466156452334</v>
      </c>
      <c r="S285" s="12"/>
    </row>
    <row r="286" spans="1:19" ht="15.75">
      <c r="A286" s="39"/>
      <c r="B286" s="6" t="s">
        <v>156</v>
      </c>
      <c r="C286" s="65"/>
      <c r="D286" s="73"/>
      <c r="E286" s="13"/>
      <c r="F286" s="14">
        <f>+F285+E286</f>
        <v>16577728.480162956</v>
      </c>
      <c r="G286" s="13">
        <f>-E285</f>
        <v>0</v>
      </c>
      <c r="H286" s="14">
        <f>+H285+G286</f>
        <v>-1647612.2289774446</v>
      </c>
      <c r="I286" s="13">
        <f>+H283*$G$436/12</f>
        <v>-4599.584139228699</v>
      </c>
      <c r="J286" s="14">
        <f>+J285+I286</f>
        <v>-47289.05029568103</v>
      </c>
      <c r="K286" s="315"/>
      <c r="L286" s="15"/>
      <c r="M286" s="13">
        <f>-G286</f>
        <v>0</v>
      </c>
      <c r="N286" s="14">
        <f>+N285+M286</f>
        <v>0</v>
      </c>
      <c r="O286" s="13"/>
      <c r="P286" s="14">
        <f>+P285+O286</f>
        <v>-15925832.251185518</v>
      </c>
      <c r="Q286" s="13">
        <f>-I286</f>
        <v>4599.584139228699</v>
      </c>
      <c r="R286" s="14">
        <f>+R285+Q286</f>
        <v>47289.05029568103</v>
      </c>
      <c r="S286" s="12"/>
    </row>
    <row r="287" spans="1:19" ht="15.75">
      <c r="A287" s="39" t="s">
        <v>56</v>
      </c>
      <c r="B287" s="6" t="s">
        <v>150</v>
      </c>
      <c r="C287" s="65"/>
      <c r="D287" s="73"/>
      <c r="E287" s="13"/>
      <c r="F287" s="14">
        <f aca="true" t="shared" si="90" ref="F287:F292">+F286+E287</f>
        <v>16577728.480162956</v>
      </c>
      <c r="G287" s="29"/>
      <c r="H287" s="14">
        <f aca="true" t="shared" si="91" ref="H287:H292">+H286+G287</f>
        <v>-1647612.2289774446</v>
      </c>
      <c r="I287" s="47"/>
      <c r="J287" s="14">
        <f aca="true" t="shared" si="92" ref="J287:J292">+J286+I287</f>
        <v>-47289.05029568103</v>
      </c>
      <c r="K287" s="315"/>
      <c r="L287" s="15"/>
      <c r="M287" s="13"/>
      <c r="N287" s="14">
        <f aca="true" t="shared" si="93" ref="N287:N292">+N286+M287</f>
        <v>0</v>
      </c>
      <c r="O287" s="13">
        <f>-G287</f>
        <v>0</v>
      </c>
      <c r="P287" s="14">
        <f aca="true" t="shared" si="94" ref="P287:P292">+P286+O287</f>
        <v>-15925832.251185518</v>
      </c>
      <c r="Q287" s="13"/>
      <c r="R287" s="14">
        <f aca="true" t="shared" si="95" ref="R287:R292">+R286+Q287</f>
        <v>47289.05029568103</v>
      </c>
      <c r="S287" s="12"/>
    </row>
    <row r="288" spans="1:19" ht="15.75">
      <c r="A288" s="39"/>
      <c r="B288" s="6" t="s">
        <v>154</v>
      </c>
      <c r="C288" s="65"/>
      <c r="D288" s="73"/>
      <c r="E288" s="13"/>
      <c r="F288" s="14">
        <f t="shared" si="90"/>
        <v>16577728.480162956</v>
      </c>
      <c r="G288" s="13"/>
      <c r="H288" s="14">
        <f t="shared" si="91"/>
        <v>-1647612.2289774446</v>
      </c>
      <c r="I288" s="47"/>
      <c r="J288" s="14">
        <f t="shared" si="92"/>
        <v>-47289.05029568103</v>
      </c>
      <c r="K288" s="315"/>
      <c r="L288" s="15"/>
      <c r="M288" s="13">
        <f>-E288</f>
        <v>0</v>
      </c>
      <c r="N288" s="14">
        <f t="shared" si="93"/>
        <v>0</v>
      </c>
      <c r="O288" s="13"/>
      <c r="P288" s="14">
        <f t="shared" si="94"/>
        <v>-15925832.251185518</v>
      </c>
      <c r="Q288" s="13"/>
      <c r="R288" s="14">
        <f t="shared" si="95"/>
        <v>47289.05029568103</v>
      </c>
      <c r="S288" s="12"/>
    </row>
    <row r="289" spans="1:19" ht="15.75">
      <c r="A289" s="39"/>
      <c r="B289" s="6" t="s">
        <v>156</v>
      </c>
      <c r="C289" s="65"/>
      <c r="D289" s="73"/>
      <c r="E289" s="13"/>
      <c r="F289" s="14">
        <f t="shared" si="90"/>
        <v>16577728.480162956</v>
      </c>
      <c r="G289" s="13">
        <f>-E288</f>
        <v>0</v>
      </c>
      <c r="H289" s="14">
        <f t="shared" si="91"/>
        <v>-1647612.2289774446</v>
      </c>
      <c r="I289" s="13">
        <f>+H286*$G$436/12</f>
        <v>-4599.584139228699</v>
      </c>
      <c r="J289" s="14">
        <f t="shared" si="92"/>
        <v>-51888.63443490973</v>
      </c>
      <c r="K289" s="315"/>
      <c r="L289" s="15"/>
      <c r="M289" s="13">
        <f>-G289</f>
        <v>0</v>
      </c>
      <c r="N289" s="14">
        <f t="shared" si="93"/>
        <v>0</v>
      </c>
      <c r="O289" s="13"/>
      <c r="P289" s="14">
        <f t="shared" si="94"/>
        <v>-15925832.251185518</v>
      </c>
      <c r="Q289" s="13">
        <f>-I289</f>
        <v>4599.584139228699</v>
      </c>
      <c r="R289" s="14">
        <f t="shared" si="95"/>
        <v>51888.63443490973</v>
      </c>
      <c r="S289" s="12"/>
    </row>
    <row r="290" spans="1:19" ht="15.75">
      <c r="A290" s="39" t="s">
        <v>46</v>
      </c>
      <c r="B290" s="6" t="s">
        <v>150</v>
      </c>
      <c r="C290" s="65"/>
      <c r="D290" s="73"/>
      <c r="E290" s="13"/>
      <c r="F290" s="14">
        <f t="shared" si="90"/>
        <v>16577728.480162956</v>
      </c>
      <c r="G290" s="29"/>
      <c r="H290" s="14">
        <f t="shared" si="91"/>
        <v>-1647612.2289774446</v>
      </c>
      <c r="I290" s="47"/>
      <c r="J290" s="14">
        <f t="shared" si="92"/>
        <v>-51888.63443490973</v>
      </c>
      <c r="K290" s="315"/>
      <c r="L290" s="15"/>
      <c r="M290" s="13"/>
      <c r="N290" s="14">
        <f t="shared" si="93"/>
        <v>0</v>
      </c>
      <c r="O290" s="13">
        <f>-G290</f>
        <v>0</v>
      </c>
      <c r="P290" s="14">
        <f t="shared" si="94"/>
        <v>-15925832.251185518</v>
      </c>
      <c r="Q290" s="13"/>
      <c r="R290" s="14">
        <f t="shared" si="95"/>
        <v>51888.63443490973</v>
      </c>
      <c r="S290" s="12"/>
    </row>
    <row r="291" spans="1:19" ht="15.75">
      <c r="A291" s="39"/>
      <c r="B291" s="6" t="s">
        <v>154</v>
      </c>
      <c r="C291" s="65"/>
      <c r="D291" s="73"/>
      <c r="E291" s="13"/>
      <c r="F291" s="14">
        <f t="shared" si="90"/>
        <v>16577728.480162956</v>
      </c>
      <c r="G291" s="13"/>
      <c r="H291" s="14">
        <f t="shared" si="91"/>
        <v>-1647612.2289774446</v>
      </c>
      <c r="I291" s="47"/>
      <c r="J291" s="14">
        <f t="shared" si="92"/>
        <v>-51888.63443490973</v>
      </c>
      <c r="K291" s="315"/>
      <c r="L291" s="15"/>
      <c r="M291" s="13">
        <f>-E291</f>
        <v>0</v>
      </c>
      <c r="N291" s="14">
        <f t="shared" si="93"/>
        <v>0</v>
      </c>
      <c r="O291" s="13"/>
      <c r="P291" s="14">
        <f t="shared" si="94"/>
        <v>-15925832.251185518</v>
      </c>
      <c r="Q291" s="13"/>
      <c r="R291" s="14">
        <f t="shared" si="95"/>
        <v>51888.63443490973</v>
      </c>
      <c r="S291" s="12"/>
    </row>
    <row r="292" spans="1:19" ht="15.75">
      <c r="A292" s="39"/>
      <c r="B292" s="6" t="s">
        <v>156</v>
      </c>
      <c r="C292" s="65"/>
      <c r="D292" s="73"/>
      <c r="E292" s="13"/>
      <c r="F292" s="14">
        <f t="shared" si="90"/>
        <v>16577728.480162956</v>
      </c>
      <c r="G292" s="13">
        <f>-E291</f>
        <v>0</v>
      </c>
      <c r="H292" s="14">
        <f t="shared" si="91"/>
        <v>-1647612.2289774446</v>
      </c>
      <c r="I292" s="13">
        <f>+H289*$G$436/12</f>
        <v>-4599.584139228699</v>
      </c>
      <c r="J292" s="77">
        <f t="shared" si="92"/>
        <v>-56488.218574138424</v>
      </c>
      <c r="K292" s="320">
        <f>+J292-J256</f>
        <v>-65574.96671330229</v>
      </c>
      <c r="L292" s="15"/>
      <c r="M292" s="13">
        <f>-G292</f>
        <v>0</v>
      </c>
      <c r="N292" s="14">
        <f t="shared" si="93"/>
        <v>0</v>
      </c>
      <c r="O292" s="13"/>
      <c r="P292" s="14">
        <f t="shared" si="94"/>
        <v>-15925832.251185518</v>
      </c>
      <c r="Q292" s="13">
        <f>-I292</f>
        <v>4599.584139228699</v>
      </c>
      <c r="R292" s="14">
        <f t="shared" si="95"/>
        <v>56488.218574138424</v>
      </c>
      <c r="S292" s="12"/>
    </row>
    <row r="293" spans="1:19" ht="15.75">
      <c r="A293" s="78" t="s">
        <v>114</v>
      </c>
      <c r="B293" s="6" t="s">
        <v>150</v>
      </c>
      <c r="C293" s="65"/>
      <c r="D293" s="73"/>
      <c r="E293" s="13"/>
      <c r="F293" s="14">
        <f>+F292+E293</f>
        <v>16577728.480162956</v>
      </c>
      <c r="G293" s="29"/>
      <c r="H293" s="14">
        <f>+H292+G293</f>
        <v>-1647612.2289774446</v>
      </c>
      <c r="I293" s="13"/>
      <c r="J293" s="14">
        <f>+J292+I293</f>
        <v>-56488.218574138424</v>
      </c>
      <c r="K293" s="315"/>
      <c r="L293" s="15"/>
      <c r="M293" s="13"/>
      <c r="N293" s="14">
        <f>+N292+M293</f>
        <v>0</v>
      </c>
      <c r="O293" s="13">
        <f>-G293</f>
        <v>0</v>
      </c>
      <c r="P293" s="14">
        <f>+P292+O293</f>
        <v>-15925832.251185518</v>
      </c>
      <c r="Q293" s="13"/>
      <c r="R293" s="14">
        <f>+R292+Q293</f>
        <v>56488.218574138424</v>
      </c>
      <c r="S293" s="12"/>
    </row>
    <row r="294" spans="1:19" ht="15.75">
      <c r="A294" s="39"/>
      <c r="B294" s="6" t="s">
        <v>154</v>
      </c>
      <c r="C294" s="65"/>
      <c r="D294" s="73"/>
      <c r="E294" s="13"/>
      <c r="F294" s="14">
        <f>+F293+E294</f>
        <v>16577728.480162956</v>
      </c>
      <c r="G294" s="13"/>
      <c r="H294" s="14">
        <f>+H293+G294</f>
        <v>-1647612.2289774446</v>
      </c>
      <c r="I294" s="13"/>
      <c r="J294" s="14">
        <f>+J293+I294</f>
        <v>-56488.218574138424</v>
      </c>
      <c r="K294" s="315"/>
      <c r="L294" s="15"/>
      <c r="M294" s="13">
        <f>-E294</f>
        <v>0</v>
      </c>
      <c r="N294" s="14">
        <f>+N293+M294</f>
        <v>0</v>
      </c>
      <c r="O294" s="13"/>
      <c r="P294" s="14">
        <f>+P293+O294</f>
        <v>-15925832.251185518</v>
      </c>
      <c r="Q294" s="13"/>
      <c r="R294" s="14">
        <f>+R293+Q294</f>
        <v>56488.218574138424</v>
      </c>
      <c r="S294" s="12"/>
    </row>
    <row r="295" spans="1:19" ht="15.75">
      <c r="A295" s="39"/>
      <c r="B295" s="6" t="s">
        <v>156</v>
      </c>
      <c r="C295" s="65"/>
      <c r="D295" s="73"/>
      <c r="E295" s="13"/>
      <c r="F295" s="14">
        <f>+F294+E295</f>
        <v>16577728.480162956</v>
      </c>
      <c r="G295" s="13">
        <f>-E294</f>
        <v>0</v>
      </c>
      <c r="H295" s="14">
        <f>+H294+G295</f>
        <v>-1647612.2289774446</v>
      </c>
      <c r="I295" s="13">
        <f>+H292*$G$437/12</f>
        <v>-3363.874967495616</v>
      </c>
      <c r="J295" s="14">
        <f>+J294+I295</f>
        <v>-59852.093541634036</v>
      </c>
      <c r="K295" s="315"/>
      <c r="L295" s="15"/>
      <c r="M295" s="13">
        <f>-G295</f>
        <v>0</v>
      </c>
      <c r="N295" s="14">
        <f>+N294+M295</f>
        <v>0</v>
      </c>
      <c r="O295" s="13"/>
      <c r="P295" s="14">
        <f>+P294+O295</f>
        <v>-15925832.251185518</v>
      </c>
      <c r="Q295" s="13">
        <f>-I295</f>
        <v>3363.874967495616</v>
      </c>
      <c r="R295" s="14">
        <f>+R294+Q295</f>
        <v>59852.093541634036</v>
      </c>
      <c r="S295" s="12"/>
    </row>
    <row r="296" spans="1:19" ht="15.75">
      <c r="A296" s="39" t="s">
        <v>48</v>
      </c>
      <c r="B296" s="6" t="s">
        <v>150</v>
      </c>
      <c r="C296" s="65"/>
      <c r="D296" s="73"/>
      <c r="E296" s="13"/>
      <c r="F296" s="14">
        <f aca="true" t="shared" si="96" ref="F296:F301">+F295+E296</f>
        <v>16577728.480162956</v>
      </c>
      <c r="G296" s="29"/>
      <c r="H296" s="14">
        <f aca="true" t="shared" si="97" ref="H296:H301">+H295+G296</f>
        <v>-1647612.2289774446</v>
      </c>
      <c r="I296" s="47"/>
      <c r="J296" s="14">
        <f aca="true" t="shared" si="98" ref="J296:J301">+J295+I296</f>
        <v>-59852.093541634036</v>
      </c>
      <c r="K296" s="315"/>
      <c r="L296" s="15"/>
      <c r="M296" s="13"/>
      <c r="N296" s="14">
        <f aca="true" t="shared" si="99" ref="N296:N301">+N295+M296</f>
        <v>0</v>
      </c>
      <c r="O296" s="13">
        <f>-G296</f>
        <v>0</v>
      </c>
      <c r="P296" s="14">
        <f aca="true" t="shared" si="100" ref="P296:P301">+P295+O296</f>
        <v>-15925832.251185518</v>
      </c>
      <c r="Q296" s="13"/>
      <c r="R296" s="14">
        <f aca="true" t="shared" si="101" ref="R296:R301">+R295+Q296</f>
        <v>59852.093541634036</v>
      </c>
      <c r="S296" s="12"/>
    </row>
    <row r="297" spans="1:19" ht="15.75">
      <c r="A297" s="39"/>
      <c r="B297" s="6" t="s">
        <v>154</v>
      </c>
      <c r="C297" s="65"/>
      <c r="D297" s="73"/>
      <c r="E297" s="13"/>
      <c r="F297" s="14">
        <f t="shared" si="96"/>
        <v>16577728.480162956</v>
      </c>
      <c r="G297" s="13"/>
      <c r="H297" s="14">
        <f t="shared" si="97"/>
        <v>-1647612.2289774446</v>
      </c>
      <c r="I297" s="47"/>
      <c r="J297" s="14">
        <f t="shared" si="98"/>
        <v>-59852.093541634036</v>
      </c>
      <c r="K297" s="315"/>
      <c r="L297" s="15"/>
      <c r="M297" s="13">
        <f>-E297</f>
        <v>0</v>
      </c>
      <c r="N297" s="14">
        <f t="shared" si="99"/>
        <v>0</v>
      </c>
      <c r="O297" s="13"/>
      <c r="P297" s="14">
        <f t="shared" si="100"/>
        <v>-15925832.251185518</v>
      </c>
      <c r="Q297" s="13"/>
      <c r="R297" s="14">
        <f t="shared" si="101"/>
        <v>59852.093541634036</v>
      </c>
      <c r="S297" s="12"/>
    </row>
    <row r="298" spans="1:19" ht="15.75">
      <c r="A298" s="39"/>
      <c r="B298" s="6" t="s">
        <v>156</v>
      </c>
      <c r="C298" s="65"/>
      <c r="D298" s="73"/>
      <c r="E298" s="13"/>
      <c r="F298" s="14">
        <f t="shared" si="96"/>
        <v>16577728.480162956</v>
      </c>
      <c r="G298" s="13">
        <f>-E297</f>
        <v>0</v>
      </c>
      <c r="H298" s="14">
        <f t="shared" si="97"/>
        <v>-1647612.2289774446</v>
      </c>
      <c r="I298" s="13">
        <f>+H295*$G$437/12</f>
        <v>-3363.874967495616</v>
      </c>
      <c r="J298" s="14">
        <f t="shared" si="98"/>
        <v>-63215.968509129656</v>
      </c>
      <c r="K298" s="315"/>
      <c r="L298" s="15"/>
      <c r="M298" s="13">
        <f>-G298</f>
        <v>0</v>
      </c>
      <c r="N298" s="14">
        <f t="shared" si="99"/>
        <v>0</v>
      </c>
      <c r="O298" s="13"/>
      <c r="P298" s="14">
        <f t="shared" si="100"/>
        <v>-15925832.251185518</v>
      </c>
      <c r="Q298" s="13">
        <f>-I298</f>
        <v>3363.874967495616</v>
      </c>
      <c r="R298" s="14">
        <f t="shared" si="101"/>
        <v>63215.968509129656</v>
      </c>
      <c r="S298" s="12"/>
    </row>
    <row r="299" spans="1:19" ht="15.75">
      <c r="A299" s="39" t="s">
        <v>49</v>
      </c>
      <c r="B299" s="6" t="s">
        <v>150</v>
      </c>
      <c r="C299" s="65"/>
      <c r="D299" s="73"/>
      <c r="E299" s="13"/>
      <c r="F299" s="14">
        <f t="shared" si="96"/>
        <v>16577728.480162956</v>
      </c>
      <c r="G299" s="29"/>
      <c r="H299" s="14">
        <f t="shared" si="97"/>
        <v>-1647612.2289774446</v>
      </c>
      <c r="I299" s="47"/>
      <c r="J299" s="14">
        <f t="shared" si="98"/>
        <v>-63215.968509129656</v>
      </c>
      <c r="K299" s="315"/>
      <c r="L299" s="15"/>
      <c r="M299" s="13"/>
      <c r="N299" s="14">
        <f t="shared" si="99"/>
        <v>0</v>
      </c>
      <c r="O299" s="13">
        <f>-G299</f>
        <v>0</v>
      </c>
      <c r="P299" s="14">
        <f t="shared" si="100"/>
        <v>-15925832.251185518</v>
      </c>
      <c r="Q299" s="13"/>
      <c r="R299" s="14">
        <f t="shared" si="101"/>
        <v>63215.968509129656</v>
      </c>
      <c r="S299" s="12"/>
    </row>
    <row r="300" spans="1:19" ht="15.75">
      <c r="A300" s="39"/>
      <c r="B300" s="6" t="s">
        <v>154</v>
      </c>
      <c r="C300" s="65"/>
      <c r="D300" s="73"/>
      <c r="E300" s="13"/>
      <c r="F300" s="14">
        <f t="shared" si="96"/>
        <v>16577728.480162956</v>
      </c>
      <c r="G300" s="13"/>
      <c r="H300" s="14">
        <f t="shared" si="97"/>
        <v>-1647612.2289774446</v>
      </c>
      <c r="I300" s="47"/>
      <c r="J300" s="14">
        <f t="shared" si="98"/>
        <v>-63215.968509129656</v>
      </c>
      <c r="K300" s="315"/>
      <c r="L300" s="15"/>
      <c r="M300" s="13">
        <f>-E300</f>
        <v>0</v>
      </c>
      <c r="N300" s="14">
        <f t="shared" si="99"/>
        <v>0</v>
      </c>
      <c r="O300" s="13"/>
      <c r="P300" s="14">
        <f t="shared" si="100"/>
        <v>-15925832.251185518</v>
      </c>
      <c r="Q300" s="13"/>
      <c r="R300" s="14">
        <f t="shared" si="101"/>
        <v>63215.968509129656</v>
      </c>
      <c r="S300" s="12"/>
    </row>
    <row r="301" spans="1:19" ht="15.75">
      <c r="A301" s="39"/>
      <c r="B301" s="6" t="s">
        <v>156</v>
      </c>
      <c r="C301" s="65"/>
      <c r="D301" s="73"/>
      <c r="E301" s="13"/>
      <c r="F301" s="14">
        <f t="shared" si="96"/>
        <v>16577728.480162956</v>
      </c>
      <c r="G301" s="13">
        <f>-E300</f>
        <v>0</v>
      </c>
      <c r="H301" s="14">
        <f t="shared" si="97"/>
        <v>-1647612.2289774446</v>
      </c>
      <c r="I301" s="13">
        <f>+H298*$G$437/12</f>
        <v>-3363.874967495616</v>
      </c>
      <c r="J301" s="14">
        <f t="shared" si="98"/>
        <v>-66579.84347662528</v>
      </c>
      <c r="K301" s="315"/>
      <c r="L301" s="15"/>
      <c r="M301" s="13">
        <f>-G301</f>
        <v>0</v>
      </c>
      <c r="N301" s="14">
        <f t="shared" si="99"/>
        <v>0</v>
      </c>
      <c r="O301" s="13"/>
      <c r="P301" s="14">
        <f t="shared" si="100"/>
        <v>-15925832.251185518</v>
      </c>
      <c r="Q301" s="13">
        <f>-I301</f>
        <v>3363.874967495616</v>
      </c>
      <c r="R301" s="14">
        <f t="shared" si="101"/>
        <v>66579.84347662528</v>
      </c>
      <c r="S301" s="12"/>
    </row>
    <row r="302" spans="1:19" ht="15.75">
      <c r="A302" s="39" t="s">
        <v>50</v>
      </c>
      <c r="B302" s="6" t="s">
        <v>150</v>
      </c>
      <c r="C302" s="65"/>
      <c r="D302" s="73"/>
      <c r="E302" s="13"/>
      <c r="F302" s="14">
        <f aca="true" t="shared" si="102" ref="F302:F310">+F301+E302</f>
        <v>16577728.480162956</v>
      </c>
      <c r="G302" s="29"/>
      <c r="H302" s="14">
        <f aca="true" t="shared" si="103" ref="H302:H310">+H301+G302</f>
        <v>-1647612.2289774446</v>
      </c>
      <c r="I302" s="47"/>
      <c r="J302" s="14">
        <f aca="true" t="shared" si="104" ref="J302:J310">+J301+I302</f>
        <v>-66579.84347662528</v>
      </c>
      <c r="K302" s="315"/>
      <c r="L302" s="15"/>
      <c r="M302" s="13"/>
      <c r="N302" s="14">
        <f aca="true" t="shared" si="105" ref="N302:N310">+N301+M302</f>
        <v>0</v>
      </c>
      <c r="O302" s="13">
        <f>-G302</f>
        <v>0</v>
      </c>
      <c r="P302" s="14">
        <f aca="true" t="shared" si="106" ref="P302:P310">+P301+O302</f>
        <v>-15925832.251185518</v>
      </c>
      <c r="Q302" s="13"/>
      <c r="R302" s="14">
        <f aca="true" t="shared" si="107" ref="R302:R310">+R301+Q302</f>
        <v>66579.84347662528</v>
      </c>
      <c r="S302" s="12"/>
    </row>
    <row r="303" spans="1:19" ht="15.75">
      <c r="A303" s="39"/>
      <c r="B303" s="6" t="s">
        <v>154</v>
      </c>
      <c r="C303" s="65"/>
      <c r="D303" s="73"/>
      <c r="E303" s="13"/>
      <c r="F303" s="14">
        <f t="shared" si="102"/>
        <v>16577728.480162956</v>
      </c>
      <c r="G303" s="13"/>
      <c r="H303" s="14">
        <f t="shared" si="103"/>
        <v>-1647612.2289774446</v>
      </c>
      <c r="I303" s="47"/>
      <c r="J303" s="14">
        <f t="shared" si="104"/>
        <v>-66579.84347662528</v>
      </c>
      <c r="K303" s="315"/>
      <c r="L303" s="15"/>
      <c r="M303" s="13">
        <f>-E303</f>
        <v>0</v>
      </c>
      <c r="N303" s="14">
        <f t="shared" si="105"/>
        <v>0</v>
      </c>
      <c r="O303" s="13"/>
      <c r="P303" s="14">
        <f t="shared" si="106"/>
        <v>-15925832.251185518</v>
      </c>
      <c r="Q303" s="13"/>
      <c r="R303" s="14">
        <f t="shared" si="107"/>
        <v>66579.84347662528</v>
      </c>
      <c r="S303" s="12"/>
    </row>
    <row r="304" spans="1:19" ht="15.75">
      <c r="A304" s="39"/>
      <c r="B304" s="6" t="s">
        <v>156</v>
      </c>
      <c r="C304" s="65"/>
      <c r="D304" s="73"/>
      <c r="E304" s="13"/>
      <c r="F304" s="14">
        <f t="shared" si="102"/>
        <v>16577728.480162956</v>
      </c>
      <c r="G304" s="13">
        <f>-E303</f>
        <v>0</v>
      </c>
      <c r="H304" s="14">
        <f t="shared" si="103"/>
        <v>-1647612.2289774446</v>
      </c>
      <c r="I304" s="13">
        <f>+H301*$G$438/12</f>
        <v>-1373.010190814537</v>
      </c>
      <c r="J304" s="14">
        <f t="shared" si="104"/>
        <v>-67952.8536674398</v>
      </c>
      <c r="K304" s="315"/>
      <c r="L304" s="15"/>
      <c r="M304" s="13">
        <f>-G304</f>
        <v>0</v>
      </c>
      <c r="N304" s="14">
        <f t="shared" si="105"/>
        <v>0</v>
      </c>
      <c r="O304" s="13"/>
      <c r="P304" s="14">
        <f t="shared" si="106"/>
        <v>-15925832.251185518</v>
      </c>
      <c r="Q304" s="13">
        <f>-I304</f>
        <v>1373.010190814537</v>
      </c>
      <c r="R304" s="14">
        <f t="shared" si="107"/>
        <v>67952.8536674398</v>
      </c>
      <c r="S304" s="12"/>
    </row>
    <row r="305" spans="1:19" ht="15.75">
      <c r="A305" s="39" t="s">
        <v>51</v>
      </c>
      <c r="B305" s="6" t="s">
        <v>150</v>
      </c>
      <c r="C305" s="65"/>
      <c r="D305" s="73"/>
      <c r="E305" s="13"/>
      <c r="F305" s="14">
        <f t="shared" si="102"/>
        <v>16577728.480162956</v>
      </c>
      <c r="G305" s="29"/>
      <c r="H305" s="14">
        <f t="shared" si="103"/>
        <v>-1647612.2289774446</v>
      </c>
      <c r="I305" s="47"/>
      <c r="J305" s="14">
        <f t="shared" si="104"/>
        <v>-67952.8536674398</v>
      </c>
      <c r="K305" s="315"/>
      <c r="L305" s="15"/>
      <c r="M305" s="13"/>
      <c r="N305" s="14">
        <f t="shared" si="105"/>
        <v>0</v>
      </c>
      <c r="O305" s="13">
        <f>-G305</f>
        <v>0</v>
      </c>
      <c r="P305" s="14">
        <f t="shared" si="106"/>
        <v>-15925832.251185518</v>
      </c>
      <c r="Q305" s="13"/>
      <c r="R305" s="14">
        <f t="shared" si="107"/>
        <v>67952.8536674398</v>
      </c>
      <c r="S305" s="12"/>
    </row>
    <row r="306" spans="1:19" ht="15.75">
      <c r="A306" s="39"/>
      <c r="B306" s="6" t="s">
        <v>154</v>
      </c>
      <c r="C306" s="65"/>
      <c r="D306" s="73"/>
      <c r="E306" s="13"/>
      <c r="F306" s="14">
        <f t="shared" si="102"/>
        <v>16577728.480162956</v>
      </c>
      <c r="G306" s="13"/>
      <c r="H306" s="14">
        <f t="shared" si="103"/>
        <v>-1647612.2289774446</v>
      </c>
      <c r="I306" s="47"/>
      <c r="J306" s="14">
        <f t="shared" si="104"/>
        <v>-67952.8536674398</v>
      </c>
      <c r="K306" s="315"/>
      <c r="L306" s="15"/>
      <c r="M306" s="13">
        <f>-E306</f>
        <v>0</v>
      </c>
      <c r="N306" s="14">
        <f t="shared" si="105"/>
        <v>0</v>
      </c>
      <c r="O306" s="13"/>
      <c r="P306" s="14">
        <f t="shared" si="106"/>
        <v>-15925832.251185518</v>
      </c>
      <c r="Q306" s="13"/>
      <c r="R306" s="14">
        <f t="shared" si="107"/>
        <v>67952.8536674398</v>
      </c>
      <c r="S306" s="12"/>
    </row>
    <row r="307" spans="1:19" ht="15.75">
      <c r="A307" s="39"/>
      <c r="B307" s="6" t="s">
        <v>156</v>
      </c>
      <c r="C307" s="65"/>
      <c r="D307" s="73"/>
      <c r="E307" s="13"/>
      <c r="F307" s="14">
        <f t="shared" si="102"/>
        <v>16577728.480162956</v>
      </c>
      <c r="G307" s="13">
        <f>-E306</f>
        <v>0</v>
      </c>
      <c r="H307" s="14">
        <f t="shared" si="103"/>
        <v>-1647612.2289774446</v>
      </c>
      <c r="I307" s="13">
        <f>+H304*$G$438/12</f>
        <v>-1373.010190814537</v>
      </c>
      <c r="J307" s="14">
        <f t="shared" si="104"/>
        <v>-69325.86385825434</v>
      </c>
      <c r="K307" s="315"/>
      <c r="L307" s="15"/>
      <c r="M307" s="13">
        <f>-G307</f>
        <v>0</v>
      </c>
      <c r="N307" s="14">
        <f t="shared" si="105"/>
        <v>0</v>
      </c>
      <c r="O307" s="13"/>
      <c r="P307" s="14">
        <f t="shared" si="106"/>
        <v>-15925832.251185518</v>
      </c>
      <c r="Q307" s="13">
        <f>-I307</f>
        <v>1373.010190814537</v>
      </c>
      <c r="R307" s="14">
        <f t="shared" si="107"/>
        <v>69325.86385825434</v>
      </c>
      <c r="S307" s="12"/>
    </row>
    <row r="308" spans="1:19" ht="15.75">
      <c r="A308" s="39" t="s">
        <v>52</v>
      </c>
      <c r="B308" s="6" t="s">
        <v>150</v>
      </c>
      <c r="C308" s="65"/>
      <c r="D308" s="73"/>
      <c r="E308" s="13"/>
      <c r="F308" s="14">
        <f t="shared" si="102"/>
        <v>16577728.480162956</v>
      </c>
      <c r="G308" s="29"/>
      <c r="H308" s="14">
        <f t="shared" si="103"/>
        <v>-1647612.2289774446</v>
      </c>
      <c r="I308" s="47"/>
      <c r="J308" s="14">
        <f t="shared" si="104"/>
        <v>-69325.86385825434</v>
      </c>
      <c r="K308" s="315"/>
      <c r="L308" s="15"/>
      <c r="M308" s="13"/>
      <c r="N308" s="14">
        <f t="shared" si="105"/>
        <v>0</v>
      </c>
      <c r="O308" s="13">
        <f>-G308</f>
        <v>0</v>
      </c>
      <c r="P308" s="14">
        <f t="shared" si="106"/>
        <v>-15925832.251185518</v>
      </c>
      <c r="Q308" s="13"/>
      <c r="R308" s="14">
        <f t="shared" si="107"/>
        <v>69325.86385825434</v>
      </c>
      <c r="S308" s="12"/>
    </row>
    <row r="309" spans="1:19" ht="15.75">
      <c r="A309" s="39"/>
      <c r="B309" s="6" t="s">
        <v>154</v>
      </c>
      <c r="C309" s="65"/>
      <c r="D309" s="73"/>
      <c r="E309" s="13"/>
      <c r="F309" s="14">
        <f t="shared" si="102"/>
        <v>16577728.480162956</v>
      </c>
      <c r="G309" s="13"/>
      <c r="H309" s="14">
        <f t="shared" si="103"/>
        <v>-1647612.2289774446</v>
      </c>
      <c r="I309" s="47"/>
      <c r="J309" s="14">
        <f t="shared" si="104"/>
        <v>-69325.86385825434</v>
      </c>
      <c r="K309" s="315"/>
      <c r="L309" s="15"/>
      <c r="M309" s="13">
        <f>-E309</f>
        <v>0</v>
      </c>
      <c r="N309" s="14">
        <f t="shared" si="105"/>
        <v>0</v>
      </c>
      <c r="O309" s="13"/>
      <c r="P309" s="14">
        <f t="shared" si="106"/>
        <v>-15925832.251185518</v>
      </c>
      <c r="Q309" s="13"/>
      <c r="R309" s="14">
        <f t="shared" si="107"/>
        <v>69325.86385825434</v>
      </c>
      <c r="S309" s="12"/>
    </row>
    <row r="310" spans="1:19" ht="15.75">
      <c r="A310" s="39"/>
      <c r="B310" s="6" t="s">
        <v>156</v>
      </c>
      <c r="C310" s="65"/>
      <c r="D310" s="73"/>
      <c r="E310" s="13"/>
      <c r="F310" s="14">
        <f t="shared" si="102"/>
        <v>16577728.480162956</v>
      </c>
      <c r="G310" s="13">
        <f>-E309</f>
        <v>0</v>
      </c>
      <c r="H310" s="14">
        <f t="shared" si="103"/>
        <v>-1647612.2289774446</v>
      </c>
      <c r="I310" s="13">
        <f>+H307*$G$438/12</f>
        <v>-1373.010190814537</v>
      </c>
      <c r="J310" s="14">
        <f t="shared" si="104"/>
        <v>-70698.87404906887</v>
      </c>
      <c r="K310" s="315"/>
      <c r="L310" s="15"/>
      <c r="M310" s="13">
        <f>-G310</f>
        <v>0</v>
      </c>
      <c r="N310" s="14">
        <f t="shared" si="105"/>
        <v>0</v>
      </c>
      <c r="O310" s="13"/>
      <c r="P310" s="14">
        <f t="shared" si="106"/>
        <v>-15925832.251185518</v>
      </c>
      <c r="Q310" s="13">
        <f>-I310</f>
        <v>1373.010190814537</v>
      </c>
      <c r="R310" s="14">
        <f t="shared" si="107"/>
        <v>70698.87404906887</v>
      </c>
      <c r="S310" s="12"/>
    </row>
    <row r="311" spans="1:19" ht="15.75">
      <c r="A311" s="39" t="s">
        <v>53</v>
      </c>
      <c r="B311" s="6" t="s">
        <v>150</v>
      </c>
      <c r="C311" s="65"/>
      <c r="D311" s="73"/>
      <c r="E311" s="13"/>
      <c r="F311" s="14">
        <f aca="true" t="shared" si="108" ref="F311:F319">+F310+E311</f>
        <v>16577728.480162956</v>
      </c>
      <c r="G311" s="29"/>
      <c r="H311" s="14">
        <f aca="true" t="shared" si="109" ref="H311:H319">+H310+G311</f>
        <v>-1647612.2289774446</v>
      </c>
      <c r="I311" s="47"/>
      <c r="J311" s="14">
        <f aca="true" t="shared" si="110" ref="J311:J319">+J310+I311</f>
        <v>-70698.87404906887</v>
      </c>
      <c r="K311" s="315"/>
      <c r="L311" s="15"/>
      <c r="M311" s="13"/>
      <c r="N311" s="14">
        <f aca="true" t="shared" si="111" ref="N311:N319">+N310+M311</f>
        <v>0</v>
      </c>
      <c r="O311" s="13">
        <f>-G311</f>
        <v>0</v>
      </c>
      <c r="P311" s="14">
        <f aca="true" t="shared" si="112" ref="P311:P319">+P310+O311</f>
        <v>-15925832.251185518</v>
      </c>
      <c r="Q311" s="13"/>
      <c r="R311" s="14">
        <f aca="true" t="shared" si="113" ref="R311:R319">+R310+Q311</f>
        <v>70698.87404906887</v>
      </c>
      <c r="S311" s="12"/>
    </row>
    <row r="312" spans="1:19" ht="15.75">
      <c r="A312" s="39"/>
      <c r="B312" s="6" t="s">
        <v>154</v>
      </c>
      <c r="C312" s="65"/>
      <c r="D312" s="73"/>
      <c r="E312" s="13"/>
      <c r="F312" s="14">
        <f t="shared" si="108"/>
        <v>16577728.480162956</v>
      </c>
      <c r="G312" s="13"/>
      <c r="H312" s="14">
        <f t="shared" si="109"/>
        <v>-1647612.2289774446</v>
      </c>
      <c r="I312" s="47"/>
      <c r="J312" s="14">
        <f t="shared" si="110"/>
        <v>-70698.87404906887</v>
      </c>
      <c r="K312" s="315"/>
      <c r="L312" s="15"/>
      <c r="M312" s="13">
        <f>-E312</f>
        <v>0</v>
      </c>
      <c r="N312" s="14">
        <f t="shared" si="111"/>
        <v>0</v>
      </c>
      <c r="O312" s="13"/>
      <c r="P312" s="14">
        <f t="shared" si="112"/>
        <v>-15925832.251185518</v>
      </c>
      <c r="Q312" s="13"/>
      <c r="R312" s="14">
        <f t="shared" si="113"/>
        <v>70698.87404906887</v>
      </c>
      <c r="S312" s="12"/>
    </row>
    <row r="313" spans="1:19" ht="15.75">
      <c r="A313" s="39"/>
      <c r="B313" s="6" t="s">
        <v>156</v>
      </c>
      <c r="C313" s="65"/>
      <c r="D313" s="73"/>
      <c r="E313" s="13"/>
      <c r="F313" s="14">
        <f t="shared" si="108"/>
        <v>16577728.480162956</v>
      </c>
      <c r="G313" s="13">
        <f>-E312</f>
        <v>0</v>
      </c>
      <c r="H313" s="14">
        <f t="shared" si="109"/>
        <v>-1647612.2289774446</v>
      </c>
      <c r="I313" s="13">
        <f>+H310*$G$439/12</f>
        <v>-755.1556049479954</v>
      </c>
      <c r="J313" s="14">
        <f t="shared" si="110"/>
        <v>-71454.02965401686</v>
      </c>
      <c r="K313" s="315"/>
      <c r="L313" s="15"/>
      <c r="M313" s="13">
        <f>-G313</f>
        <v>0</v>
      </c>
      <c r="N313" s="14">
        <f t="shared" si="111"/>
        <v>0</v>
      </c>
      <c r="O313" s="13"/>
      <c r="P313" s="14">
        <f t="shared" si="112"/>
        <v>-15925832.251185518</v>
      </c>
      <c r="Q313" s="13">
        <f>-I313</f>
        <v>755.1556049479954</v>
      </c>
      <c r="R313" s="14">
        <f t="shared" si="113"/>
        <v>71454.02965401686</v>
      </c>
      <c r="S313" s="12"/>
    </row>
    <row r="314" spans="1:19" ht="15.75">
      <c r="A314" s="39" t="s">
        <v>54</v>
      </c>
      <c r="B314" s="6" t="s">
        <v>150</v>
      </c>
      <c r="C314" s="65"/>
      <c r="D314" s="73"/>
      <c r="E314" s="13"/>
      <c r="F314" s="14">
        <f t="shared" si="108"/>
        <v>16577728.480162956</v>
      </c>
      <c r="G314" s="29"/>
      <c r="H314" s="14">
        <f t="shared" si="109"/>
        <v>-1647612.2289774446</v>
      </c>
      <c r="I314" s="47"/>
      <c r="J314" s="14">
        <f t="shared" si="110"/>
        <v>-71454.02965401686</v>
      </c>
      <c r="K314" s="315"/>
      <c r="L314" s="15"/>
      <c r="M314" s="13"/>
      <c r="N314" s="14">
        <f t="shared" si="111"/>
        <v>0</v>
      </c>
      <c r="O314" s="13">
        <f>-G314</f>
        <v>0</v>
      </c>
      <c r="P314" s="14">
        <f t="shared" si="112"/>
        <v>-15925832.251185518</v>
      </c>
      <c r="Q314" s="13"/>
      <c r="R314" s="14">
        <f t="shared" si="113"/>
        <v>71454.02965401686</v>
      </c>
      <c r="S314" s="12"/>
    </row>
    <row r="315" spans="1:19" ht="15.75">
      <c r="A315" s="39"/>
      <c r="B315" s="6" t="s">
        <v>154</v>
      </c>
      <c r="C315" s="65"/>
      <c r="D315" s="73"/>
      <c r="E315" s="13"/>
      <c r="F315" s="14">
        <f t="shared" si="108"/>
        <v>16577728.480162956</v>
      </c>
      <c r="G315" s="13"/>
      <c r="H315" s="14">
        <f t="shared" si="109"/>
        <v>-1647612.2289774446</v>
      </c>
      <c r="I315" s="47"/>
      <c r="J315" s="14">
        <f t="shared" si="110"/>
        <v>-71454.02965401686</v>
      </c>
      <c r="K315" s="315"/>
      <c r="L315" s="15"/>
      <c r="M315" s="13">
        <f>-E315</f>
        <v>0</v>
      </c>
      <c r="N315" s="14">
        <f t="shared" si="111"/>
        <v>0</v>
      </c>
      <c r="O315" s="13"/>
      <c r="P315" s="14">
        <f t="shared" si="112"/>
        <v>-15925832.251185518</v>
      </c>
      <c r="Q315" s="13"/>
      <c r="R315" s="14">
        <f t="shared" si="113"/>
        <v>71454.02965401686</v>
      </c>
      <c r="S315" s="12"/>
    </row>
    <row r="316" spans="1:19" ht="15.75">
      <c r="A316" s="39"/>
      <c r="B316" s="6" t="s">
        <v>156</v>
      </c>
      <c r="C316" s="65"/>
      <c r="D316" s="73"/>
      <c r="E316" s="13"/>
      <c r="F316" s="14">
        <f t="shared" si="108"/>
        <v>16577728.480162956</v>
      </c>
      <c r="G316" s="13">
        <f>-E315</f>
        <v>0</v>
      </c>
      <c r="H316" s="14">
        <f t="shared" si="109"/>
        <v>-1647612.2289774446</v>
      </c>
      <c r="I316" s="13">
        <f>+H313*$G$439/12</f>
        <v>-755.1556049479954</v>
      </c>
      <c r="J316" s="14">
        <f t="shared" si="110"/>
        <v>-72209.18525896486</v>
      </c>
      <c r="K316" s="315"/>
      <c r="L316" s="15"/>
      <c r="M316" s="13">
        <f>-G316</f>
        <v>0</v>
      </c>
      <c r="N316" s="14">
        <f t="shared" si="111"/>
        <v>0</v>
      </c>
      <c r="O316" s="13"/>
      <c r="P316" s="14">
        <f t="shared" si="112"/>
        <v>-15925832.251185518</v>
      </c>
      <c r="Q316" s="13">
        <f>-I316</f>
        <v>755.1556049479954</v>
      </c>
      <c r="R316" s="14">
        <f t="shared" si="113"/>
        <v>72209.18525896486</v>
      </c>
      <c r="S316" s="12"/>
    </row>
    <row r="317" spans="1:19" ht="15.75">
      <c r="A317" s="39" t="s">
        <v>55</v>
      </c>
      <c r="B317" s="6" t="s">
        <v>150</v>
      </c>
      <c r="C317" s="65"/>
      <c r="D317" s="73"/>
      <c r="E317" s="13"/>
      <c r="F317" s="14">
        <f t="shared" si="108"/>
        <v>16577728.480162956</v>
      </c>
      <c r="G317" s="29"/>
      <c r="H317" s="14">
        <f t="shared" si="109"/>
        <v>-1647612.2289774446</v>
      </c>
      <c r="I317" s="47"/>
      <c r="J317" s="14">
        <f t="shared" si="110"/>
        <v>-72209.18525896486</v>
      </c>
      <c r="K317" s="315"/>
      <c r="L317" s="15"/>
      <c r="M317" s="13"/>
      <c r="N317" s="14">
        <f t="shared" si="111"/>
        <v>0</v>
      </c>
      <c r="O317" s="13">
        <f>-G317</f>
        <v>0</v>
      </c>
      <c r="P317" s="14">
        <f t="shared" si="112"/>
        <v>-15925832.251185518</v>
      </c>
      <c r="Q317" s="13"/>
      <c r="R317" s="14">
        <f t="shared" si="113"/>
        <v>72209.18525896486</v>
      </c>
      <c r="S317" s="12"/>
    </row>
    <row r="318" spans="1:19" ht="15.75">
      <c r="A318" s="39"/>
      <c r="B318" s="6" t="s">
        <v>154</v>
      </c>
      <c r="C318" s="65"/>
      <c r="D318" s="73"/>
      <c r="E318" s="13"/>
      <c r="F318" s="14">
        <f t="shared" si="108"/>
        <v>16577728.480162956</v>
      </c>
      <c r="G318" s="13"/>
      <c r="H318" s="14">
        <f t="shared" si="109"/>
        <v>-1647612.2289774446</v>
      </c>
      <c r="I318" s="47"/>
      <c r="J318" s="14">
        <f t="shared" si="110"/>
        <v>-72209.18525896486</v>
      </c>
      <c r="K318" s="315"/>
      <c r="L318" s="15"/>
      <c r="M318" s="13">
        <f>-E318</f>
        <v>0</v>
      </c>
      <c r="N318" s="14">
        <f t="shared" si="111"/>
        <v>0</v>
      </c>
      <c r="O318" s="13"/>
      <c r="P318" s="14">
        <f t="shared" si="112"/>
        <v>-15925832.251185518</v>
      </c>
      <c r="Q318" s="13"/>
      <c r="R318" s="14">
        <f t="shared" si="113"/>
        <v>72209.18525896486</v>
      </c>
      <c r="S318" s="12"/>
    </row>
    <row r="319" spans="1:19" ht="15.75">
      <c r="A319" s="39"/>
      <c r="B319" s="6" t="s">
        <v>156</v>
      </c>
      <c r="C319" s="65"/>
      <c r="D319" s="73"/>
      <c r="E319" s="13"/>
      <c r="F319" s="14">
        <f t="shared" si="108"/>
        <v>16577728.480162956</v>
      </c>
      <c r="G319" s="13">
        <f>-E318</f>
        <v>0</v>
      </c>
      <c r="H319" s="14">
        <f t="shared" si="109"/>
        <v>-1647612.2289774446</v>
      </c>
      <c r="I319" s="13">
        <f>+H316*$G$439/12</f>
        <v>-755.1556049479954</v>
      </c>
      <c r="J319" s="14">
        <f t="shared" si="110"/>
        <v>-72964.34086391286</v>
      </c>
      <c r="K319" s="315"/>
      <c r="L319" s="15"/>
      <c r="M319" s="13">
        <f>-G319</f>
        <v>0</v>
      </c>
      <c r="N319" s="14">
        <f t="shared" si="111"/>
        <v>0</v>
      </c>
      <c r="O319" s="13"/>
      <c r="P319" s="14">
        <f t="shared" si="112"/>
        <v>-15925832.251185518</v>
      </c>
      <c r="Q319" s="13">
        <f>-I319</f>
        <v>755.1556049479954</v>
      </c>
      <c r="R319" s="14">
        <f t="shared" si="113"/>
        <v>72964.34086391286</v>
      </c>
      <c r="S319" s="12"/>
    </row>
    <row r="320" spans="1:19" ht="15.75">
      <c r="A320" s="39" t="s">
        <v>44</v>
      </c>
      <c r="B320" s="6" t="s">
        <v>150</v>
      </c>
      <c r="C320" s="65"/>
      <c r="D320" s="73"/>
      <c r="E320" s="13"/>
      <c r="F320" s="14">
        <f aca="true" t="shared" si="114" ref="F320:F328">+F319+E320</f>
        <v>16577728.480162956</v>
      </c>
      <c r="G320" s="29"/>
      <c r="H320" s="14">
        <f aca="true" t="shared" si="115" ref="H320:H328">+H319+G320</f>
        <v>-1647612.2289774446</v>
      </c>
      <c r="I320" s="47"/>
      <c r="J320" s="14">
        <f aca="true" t="shared" si="116" ref="J320:J328">+J319+I320</f>
        <v>-72964.34086391286</v>
      </c>
      <c r="K320" s="315"/>
      <c r="L320" s="15"/>
      <c r="M320" s="13"/>
      <c r="N320" s="14">
        <f aca="true" t="shared" si="117" ref="N320:N328">+N319+M320</f>
        <v>0</v>
      </c>
      <c r="O320" s="13">
        <f>-G320</f>
        <v>0</v>
      </c>
      <c r="P320" s="14">
        <f aca="true" t="shared" si="118" ref="P320:P328">+P319+O320</f>
        <v>-15925832.251185518</v>
      </c>
      <c r="Q320" s="13"/>
      <c r="R320" s="14">
        <f aca="true" t="shared" si="119" ref="R320:R328">+R319+Q320</f>
        <v>72964.34086391286</v>
      </c>
      <c r="S320" s="12"/>
    </row>
    <row r="321" spans="1:19" ht="15.75">
      <c r="A321" s="39"/>
      <c r="B321" s="6" t="s">
        <v>154</v>
      </c>
      <c r="C321" s="65"/>
      <c r="D321" s="73"/>
      <c r="E321" s="13"/>
      <c r="F321" s="14">
        <f t="shared" si="114"/>
        <v>16577728.480162956</v>
      </c>
      <c r="G321" s="13"/>
      <c r="H321" s="14">
        <f t="shared" si="115"/>
        <v>-1647612.2289774446</v>
      </c>
      <c r="I321" s="47"/>
      <c r="J321" s="14">
        <f t="shared" si="116"/>
        <v>-72964.34086391286</v>
      </c>
      <c r="K321" s="315"/>
      <c r="L321" s="15"/>
      <c r="M321" s="13">
        <f>-E321</f>
        <v>0</v>
      </c>
      <c r="N321" s="14">
        <f t="shared" si="117"/>
        <v>0</v>
      </c>
      <c r="O321" s="13"/>
      <c r="P321" s="14">
        <f t="shared" si="118"/>
        <v>-15925832.251185518</v>
      </c>
      <c r="Q321" s="13"/>
      <c r="R321" s="14">
        <f t="shared" si="119"/>
        <v>72964.34086391286</v>
      </c>
      <c r="S321" s="12"/>
    </row>
    <row r="322" spans="1:19" ht="15.75">
      <c r="A322" s="39"/>
      <c r="B322" s="6" t="s">
        <v>156</v>
      </c>
      <c r="C322" s="65"/>
      <c r="D322" s="73"/>
      <c r="E322" s="13"/>
      <c r="F322" s="14">
        <f t="shared" si="114"/>
        <v>16577728.480162956</v>
      </c>
      <c r="G322" s="13">
        <f>-E321</f>
        <v>0</v>
      </c>
      <c r="H322" s="14">
        <f t="shared" si="115"/>
        <v>-1647612.2289774446</v>
      </c>
      <c r="I322" s="13">
        <f>+H319*$G$439/12</f>
        <v>-755.1556049479954</v>
      </c>
      <c r="J322" s="14">
        <f t="shared" si="116"/>
        <v>-73719.49646886086</v>
      </c>
      <c r="K322" s="315"/>
      <c r="L322" s="15"/>
      <c r="M322" s="13">
        <f>-G322</f>
        <v>0</v>
      </c>
      <c r="N322" s="14">
        <f t="shared" si="117"/>
        <v>0</v>
      </c>
      <c r="O322" s="13"/>
      <c r="P322" s="14">
        <f t="shared" si="118"/>
        <v>-15925832.251185518</v>
      </c>
      <c r="Q322" s="13">
        <f>-I322</f>
        <v>755.1556049479954</v>
      </c>
      <c r="R322" s="14">
        <f t="shared" si="119"/>
        <v>73719.49646886086</v>
      </c>
      <c r="S322" s="12"/>
    </row>
    <row r="323" spans="1:19" ht="15.75">
      <c r="A323" s="39" t="s">
        <v>56</v>
      </c>
      <c r="B323" s="6" t="s">
        <v>150</v>
      </c>
      <c r="C323" s="65"/>
      <c r="D323" s="73"/>
      <c r="E323" s="13"/>
      <c r="F323" s="14">
        <f t="shared" si="114"/>
        <v>16577728.480162956</v>
      </c>
      <c r="G323" s="29"/>
      <c r="H323" s="14">
        <f t="shared" si="115"/>
        <v>-1647612.2289774446</v>
      </c>
      <c r="I323" s="47"/>
      <c r="J323" s="14">
        <f t="shared" si="116"/>
        <v>-73719.49646886086</v>
      </c>
      <c r="K323" s="315"/>
      <c r="L323" s="15"/>
      <c r="M323" s="13"/>
      <c r="N323" s="14">
        <f t="shared" si="117"/>
        <v>0</v>
      </c>
      <c r="O323" s="13">
        <f>-G323</f>
        <v>0</v>
      </c>
      <c r="P323" s="14">
        <f t="shared" si="118"/>
        <v>-15925832.251185518</v>
      </c>
      <c r="Q323" s="13"/>
      <c r="R323" s="14">
        <f t="shared" si="119"/>
        <v>73719.49646886086</v>
      </c>
      <c r="S323" s="12"/>
    </row>
    <row r="324" spans="1:19" ht="15.75">
      <c r="A324" s="39"/>
      <c r="B324" s="6" t="s">
        <v>154</v>
      </c>
      <c r="C324" s="65"/>
      <c r="D324" s="73"/>
      <c r="E324" s="13"/>
      <c r="F324" s="14">
        <f t="shared" si="114"/>
        <v>16577728.480162956</v>
      </c>
      <c r="G324" s="13"/>
      <c r="H324" s="14">
        <f t="shared" si="115"/>
        <v>-1647612.2289774446</v>
      </c>
      <c r="I324" s="47"/>
      <c r="J324" s="14">
        <f t="shared" si="116"/>
        <v>-73719.49646886086</v>
      </c>
      <c r="K324" s="315"/>
      <c r="L324" s="15"/>
      <c r="M324" s="13">
        <f>-E324</f>
        <v>0</v>
      </c>
      <c r="N324" s="14">
        <f t="shared" si="117"/>
        <v>0</v>
      </c>
      <c r="O324" s="13"/>
      <c r="P324" s="14">
        <f t="shared" si="118"/>
        <v>-15925832.251185518</v>
      </c>
      <c r="Q324" s="13"/>
      <c r="R324" s="14">
        <f t="shared" si="119"/>
        <v>73719.49646886086</v>
      </c>
      <c r="S324" s="12"/>
    </row>
    <row r="325" spans="1:19" ht="15.75">
      <c r="A325" s="39"/>
      <c r="B325" s="6" t="s">
        <v>156</v>
      </c>
      <c r="C325" s="65"/>
      <c r="D325" s="73"/>
      <c r="E325" s="13"/>
      <c r="F325" s="14">
        <f t="shared" si="114"/>
        <v>16577728.480162956</v>
      </c>
      <c r="G325" s="13">
        <f>-E324</f>
        <v>0</v>
      </c>
      <c r="H325" s="14">
        <f t="shared" si="115"/>
        <v>-1647612.2289774446</v>
      </c>
      <c r="I325" s="13">
        <f>+H322*$G$439/12</f>
        <v>-755.1556049479954</v>
      </c>
      <c r="J325" s="14">
        <f t="shared" si="116"/>
        <v>-74474.65207380886</v>
      </c>
      <c r="K325" s="315"/>
      <c r="L325" s="15"/>
      <c r="M325" s="13">
        <f>-G325</f>
        <v>0</v>
      </c>
      <c r="N325" s="14">
        <f t="shared" si="117"/>
        <v>0</v>
      </c>
      <c r="O325" s="13"/>
      <c r="P325" s="14">
        <f t="shared" si="118"/>
        <v>-15925832.251185518</v>
      </c>
      <c r="Q325" s="13">
        <f>-I325</f>
        <v>755.1556049479954</v>
      </c>
      <c r="R325" s="14">
        <f t="shared" si="119"/>
        <v>74474.65207380886</v>
      </c>
      <c r="S325" s="12"/>
    </row>
    <row r="326" spans="1:19" ht="15.75">
      <c r="A326" s="39" t="s">
        <v>46</v>
      </c>
      <c r="B326" s="6" t="s">
        <v>150</v>
      </c>
      <c r="C326" s="65"/>
      <c r="D326" s="73"/>
      <c r="E326" s="13"/>
      <c r="F326" s="14">
        <f t="shared" si="114"/>
        <v>16577728.480162956</v>
      </c>
      <c r="G326" s="29"/>
      <c r="H326" s="14">
        <f t="shared" si="115"/>
        <v>-1647612.2289774446</v>
      </c>
      <c r="I326" s="47"/>
      <c r="J326" s="14">
        <f t="shared" si="116"/>
        <v>-74474.65207380886</v>
      </c>
      <c r="K326" s="315"/>
      <c r="L326" s="15"/>
      <c r="M326" s="13"/>
      <c r="N326" s="14">
        <f t="shared" si="117"/>
        <v>0</v>
      </c>
      <c r="O326" s="13">
        <f>-G326</f>
        <v>0</v>
      </c>
      <c r="P326" s="14">
        <f t="shared" si="118"/>
        <v>-15925832.251185518</v>
      </c>
      <c r="Q326" s="13"/>
      <c r="R326" s="14">
        <f t="shared" si="119"/>
        <v>74474.65207380886</v>
      </c>
      <c r="S326" s="12"/>
    </row>
    <row r="327" spans="1:19" ht="15.75">
      <c r="A327" s="39"/>
      <c r="B327" s="6" t="s">
        <v>154</v>
      </c>
      <c r="C327" s="65"/>
      <c r="D327" s="73"/>
      <c r="E327" s="13"/>
      <c r="F327" s="14">
        <f t="shared" si="114"/>
        <v>16577728.480162956</v>
      </c>
      <c r="G327" s="13"/>
      <c r="H327" s="14">
        <f t="shared" si="115"/>
        <v>-1647612.2289774446</v>
      </c>
      <c r="I327" s="47"/>
      <c r="J327" s="14">
        <f t="shared" si="116"/>
        <v>-74474.65207380886</v>
      </c>
      <c r="K327" s="315"/>
      <c r="L327" s="15"/>
      <c r="M327" s="13">
        <f>-E327</f>
        <v>0</v>
      </c>
      <c r="N327" s="14">
        <f t="shared" si="117"/>
        <v>0</v>
      </c>
      <c r="O327" s="13"/>
      <c r="P327" s="14">
        <f t="shared" si="118"/>
        <v>-15925832.251185518</v>
      </c>
      <c r="Q327" s="13"/>
      <c r="R327" s="14">
        <f t="shared" si="119"/>
        <v>74474.65207380886</v>
      </c>
      <c r="S327" s="12"/>
    </row>
    <row r="328" spans="1:19" ht="15.75">
      <c r="A328" s="39"/>
      <c r="B328" s="6" t="s">
        <v>156</v>
      </c>
      <c r="C328" s="65"/>
      <c r="D328" s="73"/>
      <c r="E328" s="13"/>
      <c r="F328" s="14">
        <f t="shared" si="114"/>
        <v>16577728.480162956</v>
      </c>
      <c r="G328" s="13">
        <f>-E327</f>
        <v>0</v>
      </c>
      <c r="H328" s="14">
        <f t="shared" si="115"/>
        <v>-1647612.2289774446</v>
      </c>
      <c r="I328" s="13">
        <f>+H325*$G$439/12</f>
        <v>-755.1556049479954</v>
      </c>
      <c r="J328" s="77">
        <f t="shared" si="116"/>
        <v>-75229.80767875686</v>
      </c>
      <c r="K328" s="320">
        <f>+J328-J292</f>
        <v>-18741.589104618433</v>
      </c>
      <c r="L328" s="15"/>
      <c r="M328" s="13">
        <f>-G328</f>
        <v>0</v>
      </c>
      <c r="N328" s="14">
        <f t="shared" si="117"/>
        <v>0</v>
      </c>
      <c r="O328" s="13"/>
      <c r="P328" s="14">
        <f t="shared" si="118"/>
        <v>-15925832.251185518</v>
      </c>
      <c r="Q328" s="13">
        <f>-I328</f>
        <v>755.1556049479954</v>
      </c>
      <c r="R328" s="14">
        <f t="shared" si="119"/>
        <v>75229.80767875686</v>
      </c>
      <c r="S328" s="12"/>
    </row>
    <row r="329" spans="1:19" ht="15.75">
      <c r="A329" s="78" t="s">
        <v>115</v>
      </c>
      <c r="B329" s="6" t="s">
        <v>150</v>
      </c>
      <c r="C329" s="65"/>
      <c r="D329" s="73"/>
      <c r="E329" s="13"/>
      <c r="F329" s="14">
        <f aca="true" t="shared" si="120" ref="F329:F337">+F328+E329</f>
        <v>16577728.480162956</v>
      </c>
      <c r="G329" s="29"/>
      <c r="H329" s="14">
        <f aca="true" t="shared" si="121" ref="H329:H337">+H328+G329</f>
        <v>-1647612.2289774446</v>
      </c>
      <c r="I329" s="47"/>
      <c r="J329" s="14">
        <f aca="true" t="shared" si="122" ref="J329:J337">+J328+I329</f>
        <v>-75229.80767875686</v>
      </c>
      <c r="K329" s="315"/>
      <c r="L329" s="15"/>
      <c r="M329" s="13"/>
      <c r="N329" s="14">
        <f aca="true" t="shared" si="123" ref="N329:N337">+N328+M329</f>
        <v>0</v>
      </c>
      <c r="O329" s="13">
        <f>-G329</f>
        <v>0</v>
      </c>
      <c r="P329" s="14">
        <f aca="true" t="shared" si="124" ref="P329:P337">+P328+O329</f>
        <v>-15925832.251185518</v>
      </c>
      <c r="Q329" s="13"/>
      <c r="R329" s="14">
        <f aca="true" t="shared" si="125" ref="R329:R337">+R328+Q329</f>
        <v>75229.80767875686</v>
      </c>
      <c r="S329" s="12"/>
    </row>
    <row r="330" spans="1:19" ht="15.75">
      <c r="A330" s="39"/>
      <c r="B330" s="6" t="s">
        <v>154</v>
      </c>
      <c r="C330" s="65"/>
      <c r="D330" s="73"/>
      <c r="E330" s="13"/>
      <c r="F330" s="14">
        <f t="shared" si="120"/>
        <v>16577728.480162956</v>
      </c>
      <c r="G330" s="13"/>
      <c r="H330" s="14">
        <f t="shared" si="121"/>
        <v>-1647612.2289774446</v>
      </c>
      <c r="I330" s="47"/>
      <c r="J330" s="14">
        <f t="shared" si="122"/>
        <v>-75229.80767875686</v>
      </c>
      <c r="K330" s="315"/>
      <c r="L330" s="15"/>
      <c r="M330" s="13">
        <f>-E330</f>
        <v>0</v>
      </c>
      <c r="N330" s="14">
        <f t="shared" si="123"/>
        <v>0</v>
      </c>
      <c r="O330" s="13"/>
      <c r="P330" s="14">
        <f t="shared" si="124"/>
        <v>-15925832.251185518</v>
      </c>
      <c r="Q330" s="13"/>
      <c r="R330" s="14">
        <f t="shared" si="125"/>
        <v>75229.80767875686</v>
      </c>
      <c r="S330" s="12"/>
    </row>
    <row r="331" spans="1:19" ht="15.75">
      <c r="A331" s="39"/>
      <c r="B331" s="6" t="s">
        <v>156</v>
      </c>
      <c r="C331" s="65"/>
      <c r="D331" s="73"/>
      <c r="E331" s="13"/>
      <c r="F331" s="14">
        <f t="shared" si="120"/>
        <v>16577728.480162956</v>
      </c>
      <c r="G331" s="13">
        <f>-E330</f>
        <v>0</v>
      </c>
      <c r="H331" s="14">
        <f t="shared" si="121"/>
        <v>-1647612.2289774446</v>
      </c>
      <c r="I331" s="13">
        <f>+H328*$G$439/12</f>
        <v>-755.1556049479954</v>
      </c>
      <c r="J331" s="14">
        <f t="shared" si="122"/>
        <v>-75984.96328370486</v>
      </c>
      <c r="K331" s="315"/>
      <c r="L331" s="15"/>
      <c r="M331" s="13">
        <f>-G331</f>
        <v>0</v>
      </c>
      <c r="N331" s="14">
        <f t="shared" si="123"/>
        <v>0</v>
      </c>
      <c r="O331" s="13"/>
      <c r="P331" s="14">
        <f t="shared" si="124"/>
        <v>-15925832.251185518</v>
      </c>
      <c r="Q331" s="13">
        <f>-I331</f>
        <v>755.1556049479954</v>
      </c>
      <c r="R331" s="14">
        <f t="shared" si="125"/>
        <v>75984.96328370486</v>
      </c>
      <c r="S331" s="12"/>
    </row>
    <row r="332" spans="1:19" ht="15.75">
      <c r="A332" s="39" t="s">
        <v>48</v>
      </c>
      <c r="B332" s="6" t="s">
        <v>150</v>
      </c>
      <c r="C332" s="65"/>
      <c r="D332" s="73"/>
      <c r="E332" s="13"/>
      <c r="F332" s="14">
        <f t="shared" si="120"/>
        <v>16577728.480162956</v>
      </c>
      <c r="G332" s="29"/>
      <c r="H332" s="14">
        <f t="shared" si="121"/>
        <v>-1647612.2289774446</v>
      </c>
      <c r="I332" s="47"/>
      <c r="J332" s="14">
        <f t="shared" si="122"/>
        <v>-75984.96328370486</v>
      </c>
      <c r="K332" s="315"/>
      <c r="L332" s="15"/>
      <c r="M332" s="13"/>
      <c r="N332" s="14">
        <f t="shared" si="123"/>
        <v>0</v>
      </c>
      <c r="O332" s="13">
        <f>-G332</f>
        <v>0</v>
      </c>
      <c r="P332" s="14">
        <f t="shared" si="124"/>
        <v>-15925832.251185518</v>
      </c>
      <c r="Q332" s="13"/>
      <c r="R332" s="14">
        <f t="shared" si="125"/>
        <v>75984.96328370486</v>
      </c>
      <c r="S332" s="12"/>
    </row>
    <row r="333" spans="1:19" ht="15.75">
      <c r="A333" s="39"/>
      <c r="B333" s="6" t="s">
        <v>154</v>
      </c>
      <c r="C333" s="65"/>
      <c r="D333" s="73"/>
      <c r="E333" s="13"/>
      <c r="F333" s="14">
        <f t="shared" si="120"/>
        <v>16577728.480162956</v>
      </c>
      <c r="G333" s="13"/>
      <c r="H333" s="14">
        <f t="shared" si="121"/>
        <v>-1647612.2289774446</v>
      </c>
      <c r="I333" s="47"/>
      <c r="J333" s="14">
        <f t="shared" si="122"/>
        <v>-75984.96328370486</v>
      </c>
      <c r="K333" s="315"/>
      <c r="L333" s="15"/>
      <c r="M333" s="13">
        <f>-E333</f>
        <v>0</v>
      </c>
      <c r="N333" s="14">
        <f t="shared" si="123"/>
        <v>0</v>
      </c>
      <c r="O333" s="13"/>
      <c r="P333" s="14">
        <f t="shared" si="124"/>
        <v>-15925832.251185518</v>
      </c>
      <c r="Q333" s="13"/>
      <c r="R333" s="14">
        <f t="shared" si="125"/>
        <v>75984.96328370486</v>
      </c>
      <c r="S333" s="12"/>
    </row>
    <row r="334" spans="1:19" ht="15.75">
      <c r="A334" s="39"/>
      <c r="B334" s="6" t="s">
        <v>156</v>
      </c>
      <c r="C334" s="65"/>
      <c r="D334" s="73"/>
      <c r="E334" s="13"/>
      <c r="F334" s="14">
        <f t="shared" si="120"/>
        <v>16577728.480162956</v>
      </c>
      <c r="G334" s="13">
        <f>-E333</f>
        <v>0</v>
      </c>
      <c r="H334" s="14">
        <f t="shared" si="121"/>
        <v>-1647612.2289774446</v>
      </c>
      <c r="I334" s="13">
        <f>+H331*$G$439/12</f>
        <v>-755.1556049479954</v>
      </c>
      <c r="J334" s="14">
        <f t="shared" si="122"/>
        <v>-76740.11888865285</v>
      </c>
      <c r="K334" s="315"/>
      <c r="L334" s="15"/>
      <c r="M334" s="13">
        <f>-G334</f>
        <v>0</v>
      </c>
      <c r="N334" s="14">
        <f t="shared" si="123"/>
        <v>0</v>
      </c>
      <c r="O334" s="13"/>
      <c r="P334" s="14">
        <f t="shared" si="124"/>
        <v>-15925832.251185518</v>
      </c>
      <c r="Q334" s="13">
        <f>-I334</f>
        <v>755.1556049479954</v>
      </c>
      <c r="R334" s="14">
        <f t="shared" si="125"/>
        <v>76740.11888865285</v>
      </c>
      <c r="S334" s="12"/>
    </row>
    <row r="335" spans="1:19" ht="15.75">
      <c r="A335" s="39" t="s">
        <v>49</v>
      </c>
      <c r="B335" s="6" t="s">
        <v>150</v>
      </c>
      <c r="C335" s="65"/>
      <c r="D335" s="73"/>
      <c r="E335" s="13"/>
      <c r="F335" s="14">
        <f t="shared" si="120"/>
        <v>16577728.480162956</v>
      </c>
      <c r="G335" s="29"/>
      <c r="H335" s="14">
        <f t="shared" si="121"/>
        <v>-1647612.2289774446</v>
      </c>
      <c r="I335" s="47"/>
      <c r="J335" s="14">
        <f t="shared" si="122"/>
        <v>-76740.11888865285</v>
      </c>
      <c r="K335" s="315"/>
      <c r="L335" s="15"/>
      <c r="M335" s="13"/>
      <c r="N335" s="14">
        <f t="shared" si="123"/>
        <v>0</v>
      </c>
      <c r="O335" s="13">
        <f>-G335</f>
        <v>0</v>
      </c>
      <c r="P335" s="14">
        <f t="shared" si="124"/>
        <v>-15925832.251185518</v>
      </c>
      <c r="Q335" s="13"/>
      <c r="R335" s="14">
        <f t="shared" si="125"/>
        <v>76740.11888865285</v>
      </c>
      <c r="S335" s="12"/>
    </row>
    <row r="336" spans="1:19" ht="15.75">
      <c r="A336" s="39"/>
      <c r="B336" s="6" t="s">
        <v>154</v>
      </c>
      <c r="C336" s="65"/>
      <c r="D336" s="73"/>
      <c r="E336" s="13"/>
      <c r="F336" s="14">
        <f t="shared" si="120"/>
        <v>16577728.480162956</v>
      </c>
      <c r="G336" s="13"/>
      <c r="H336" s="14">
        <f t="shared" si="121"/>
        <v>-1647612.2289774446</v>
      </c>
      <c r="I336" s="47"/>
      <c r="J336" s="14">
        <f t="shared" si="122"/>
        <v>-76740.11888865285</v>
      </c>
      <c r="K336" s="315"/>
      <c r="L336" s="15"/>
      <c r="M336" s="13">
        <f>-E336</f>
        <v>0</v>
      </c>
      <c r="N336" s="14">
        <f t="shared" si="123"/>
        <v>0</v>
      </c>
      <c r="O336" s="13"/>
      <c r="P336" s="14">
        <f t="shared" si="124"/>
        <v>-15925832.251185518</v>
      </c>
      <c r="Q336" s="13"/>
      <c r="R336" s="14">
        <f t="shared" si="125"/>
        <v>76740.11888865285</v>
      </c>
      <c r="S336" s="12"/>
    </row>
    <row r="337" spans="1:19" ht="15.75">
      <c r="A337" s="39"/>
      <c r="B337" s="6" t="s">
        <v>156</v>
      </c>
      <c r="C337" s="65"/>
      <c r="D337" s="73"/>
      <c r="E337" s="13"/>
      <c r="F337" s="14">
        <f t="shared" si="120"/>
        <v>16577728.480162956</v>
      </c>
      <c r="G337" s="13">
        <f>-E336</f>
        <v>0</v>
      </c>
      <c r="H337" s="14">
        <f t="shared" si="121"/>
        <v>-1647612.2289774446</v>
      </c>
      <c r="I337" s="13">
        <f>+H334*$G$439/12</f>
        <v>-755.1556049479954</v>
      </c>
      <c r="J337" s="14">
        <f t="shared" si="122"/>
        <v>-77495.27449360085</v>
      </c>
      <c r="K337" s="315"/>
      <c r="L337" s="15"/>
      <c r="M337" s="13">
        <f>-G337</f>
        <v>0</v>
      </c>
      <c r="N337" s="14">
        <f t="shared" si="123"/>
        <v>0</v>
      </c>
      <c r="O337" s="13"/>
      <c r="P337" s="14">
        <f t="shared" si="124"/>
        <v>-15925832.251185518</v>
      </c>
      <c r="Q337" s="13">
        <f>-I337</f>
        <v>755.1556049479954</v>
      </c>
      <c r="R337" s="14">
        <f t="shared" si="125"/>
        <v>77495.27449360085</v>
      </c>
      <c r="S337" s="12"/>
    </row>
    <row r="338" spans="1:19" ht="15.75">
      <c r="A338" s="39" t="s">
        <v>50</v>
      </c>
      <c r="B338" s="6" t="s">
        <v>150</v>
      </c>
      <c r="C338" s="65"/>
      <c r="D338" s="73"/>
      <c r="E338" s="13"/>
      <c r="F338" s="14">
        <f aca="true" t="shared" si="126" ref="F338:F346">+F337+E338</f>
        <v>16577728.480162956</v>
      </c>
      <c r="G338" s="29"/>
      <c r="H338" s="14">
        <f aca="true" t="shared" si="127" ref="H338:H346">+H337+G338</f>
        <v>-1647612.2289774446</v>
      </c>
      <c r="I338" s="47"/>
      <c r="J338" s="14">
        <f aca="true" t="shared" si="128" ref="J338:J346">+J337+I338</f>
        <v>-77495.27449360085</v>
      </c>
      <c r="K338" s="315"/>
      <c r="L338" s="15"/>
      <c r="M338" s="13"/>
      <c r="N338" s="14">
        <f aca="true" t="shared" si="129" ref="N338:N346">+N337+M338</f>
        <v>0</v>
      </c>
      <c r="O338" s="13">
        <f>-G338</f>
        <v>0</v>
      </c>
      <c r="P338" s="14">
        <f aca="true" t="shared" si="130" ref="P338:P346">+P337+O338</f>
        <v>-15925832.251185518</v>
      </c>
      <c r="Q338" s="13"/>
      <c r="R338" s="14">
        <f aca="true" t="shared" si="131" ref="R338:R346">+R337+Q338</f>
        <v>77495.27449360085</v>
      </c>
      <c r="S338" s="12"/>
    </row>
    <row r="339" spans="1:19" ht="15.75">
      <c r="A339" s="39"/>
      <c r="B339" s="6" t="s">
        <v>154</v>
      </c>
      <c r="C339" s="65"/>
      <c r="D339" s="73"/>
      <c r="E339" s="13"/>
      <c r="F339" s="14">
        <f t="shared" si="126"/>
        <v>16577728.480162956</v>
      </c>
      <c r="G339" s="13"/>
      <c r="H339" s="14">
        <f t="shared" si="127"/>
        <v>-1647612.2289774446</v>
      </c>
      <c r="I339" s="47"/>
      <c r="J339" s="14">
        <f t="shared" si="128"/>
        <v>-77495.27449360085</v>
      </c>
      <c r="K339" s="315"/>
      <c r="L339" s="15"/>
      <c r="M339" s="13">
        <f>-E339</f>
        <v>0</v>
      </c>
      <c r="N339" s="14">
        <f t="shared" si="129"/>
        <v>0</v>
      </c>
      <c r="O339" s="13"/>
      <c r="P339" s="14">
        <f t="shared" si="130"/>
        <v>-15925832.251185518</v>
      </c>
      <c r="Q339" s="13"/>
      <c r="R339" s="14">
        <f t="shared" si="131"/>
        <v>77495.27449360085</v>
      </c>
      <c r="S339" s="12"/>
    </row>
    <row r="340" spans="1:19" ht="15.75">
      <c r="A340" s="39"/>
      <c r="B340" s="6" t="s">
        <v>156</v>
      </c>
      <c r="C340" s="65"/>
      <c r="D340" s="73"/>
      <c r="E340" s="13"/>
      <c r="F340" s="14">
        <f t="shared" si="126"/>
        <v>16577728.480162956</v>
      </c>
      <c r="G340" s="13">
        <f>-E339</f>
        <v>0</v>
      </c>
      <c r="H340" s="14">
        <f t="shared" si="127"/>
        <v>-1647612.2289774446</v>
      </c>
      <c r="I340" s="13">
        <f>+H337*$G$439/12</f>
        <v>-755.1556049479954</v>
      </c>
      <c r="J340" s="14">
        <f t="shared" si="128"/>
        <v>-78250.43009854885</v>
      </c>
      <c r="K340" s="315"/>
      <c r="L340" s="15"/>
      <c r="M340" s="13">
        <f>-G340</f>
        <v>0</v>
      </c>
      <c r="N340" s="14">
        <f t="shared" si="129"/>
        <v>0</v>
      </c>
      <c r="O340" s="13"/>
      <c r="P340" s="14">
        <f t="shared" si="130"/>
        <v>-15925832.251185518</v>
      </c>
      <c r="Q340" s="13">
        <f>-I340</f>
        <v>755.1556049479954</v>
      </c>
      <c r="R340" s="14">
        <f t="shared" si="131"/>
        <v>78250.43009854885</v>
      </c>
      <c r="S340" s="12"/>
    </row>
    <row r="341" spans="1:19" ht="15.75">
      <c r="A341" s="39" t="s">
        <v>51</v>
      </c>
      <c r="B341" s="6" t="s">
        <v>150</v>
      </c>
      <c r="C341" s="65"/>
      <c r="D341" s="73"/>
      <c r="E341" s="13"/>
      <c r="F341" s="14">
        <f t="shared" si="126"/>
        <v>16577728.480162956</v>
      </c>
      <c r="G341" s="29"/>
      <c r="H341" s="14">
        <f t="shared" si="127"/>
        <v>-1647612.2289774446</v>
      </c>
      <c r="I341" s="47"/>
      <c r="J341" s="14">
        <f t="shared" si="128"/>
        <v>-78250.43009854885</v>
      </c>
      <c r="K341" s="315"/>
      <c r="L341" s="15"/>
      <c r="M341" s="13"/>
      <c r="N341" s="14">
        <f t="shared" si="129"/>
        <v>0</v>
      </c>
      <c r="O341" s="13">
        <f>-G341</f>
        <v>0</v>
      </c>
      <c r="P341" s="14">
        <f t="shared" si="130"/>
        <v>-15925832.251185518</v>
      </c>
      <c r="Q341" s="13"/>
      <c r="R341" s="14">
        <f t="shared" si="131"/>
        <v>78250.43009854885</v>
      </c>
      <c r="S341" s="12"/>
    </row>
    <row r="342" spans="1:19" ht="15.75">
      <c r="A342" s="39"/>
      <c r="B342" s="6" t="s">
        <v>154</v>
      </c>
      <c r="C342" s="65"/>
      <c r="D342" s="73"/>
      <c r="E342" s="13"/>
      <c r="F342" s="14">
        <f t="shared" si="126"/>
        <v>16577728.480162956</v>
      </c>
      <c r="G342" s="13"/>
      <c r="H342" s="14">
        <f t="shared" si="127"/>
        <v>-1647612.2289774446</v>
      </c>
      <c r="I342" s="47"/>
      <c r="J342" s="14">
        <f t="shared" si="128"/>
        <v>-78250.43009854885</v>
      </c>
      <c r="K342" s="315"/>
      <c r="L342" s="15"/>
      <c r="M342" s="13">
        <f>-E342</f>
        <v>0</v>
      </c>
      <c r="N342" s="14">
        <f t="shared" si="129"/>
        <v>0</v>
      </c>
      <c r="O342" s="13"/>
      <c r="P342" s="14">
        <f t="shared" si="130"/>
        <v>-15925832.251185518</v>
      </c>
      <c r="Q342" s="13"/>
      <c r="R342" s="14">
        <f t="shared" si="131"/>
        <v>78250.43009854885</v>
      </c>
      <c r="S342" s="12"/>
    </row>
    <row r="343" spans="1:19" ht="15.75">
      <c r="A343" s="39"/>
      <c r="B343" s="6" t="s">
        <v>156</v>
      </c>
      <c r="C343" s="65"/>
      <c r="D343" s="73"/>
      <c r="E343" s="13"/>
      <c r="F343" s="14">
        <f t="shared" si="126"/>
        <v>16577728.480162956</v>
      </c>
      <c r="G343" s="13">
        <f>-E342</f>
        <v>0</v>
      </c>
      <c r="H343" s="14">
        <f t="shared" si="127"/>
        <v>-1647612.2289774446</v>
      </c>
      <c r="I343" s="13">
        <f>+H340*$G$439/12</f>
        <v>-755.1556049479954</v>
      </c>
      <c r="J343" s="14">
        <f t="shared" si="128"/>
        <v>-79005.58570349685</v>
      </c>
      <c r="K343" s="315"/>
      <c r="L343" s="15"/>
      <c r="M343" s="13">
        <f>-G343</f>
        <v>0</v>
      </c>
      <c r="N343" s="14">
        <f t="shared" si="129"/>
        <v>0</v>
      </c>
      <c r="O343" s="13"/>
      <c r="P343" s="14">
        <f t="shared" si="130"/>
        <v>-15925832.251185518</v>
      </c>
      <c r="Q343" s="13">
        <f>-I343</f>
        <v>755.1556049479954</v>
      </c>
      <c r="R343" s="14">
        <f t="shared" si="131"/>
        <v>79005.58570349685</v>
      </c>
      <c r="S343" s="12"/>
    </row>
    <row r="344" spans="1:19" ht="15.75">
      <c r="A344" s="39" t="s">
        <v>52</v>
      </c>
      <c r="B344" s="6" t="s">
        <v>150</v>
      </c>
      <c r="C344" s="65"/>
      <c r="D344" s="73"/>
      <c r="E344" s="13"/>
      <c r="F344" s="14">
        <f t="shared" si="126"/>
        <v>16577728.480162956</v>
      </c>
      <c r="G344" s="29"/>
      <c r="H344" s="14">
        <f t="shared" si="127"/>
        <v>-1647612.2289774446</v>
      </c>
      <c r="I344" s="47"/>
      <c r="J344" s="14">
        <f t="shared" si="128"/>
        <v>-79005.58570349685</v>
      </c>
      <c r="K344" s="315"/>
      <c r="L344" s="15"/>
      <c r="M344" s="13"/>
      <c r="N344" s="14">
        <f t="shared" si="129"/>
        <v>0</v>
      </c>
      <c r="O344" s="13">
        <f>-G344</f>
        <v>0</v>
      </c>
      <c r="P344" s="14">
        <f t="shared" si="130"/>
        <v>-15925832.251185518</v>
      </c>
      <c r="Q344" s="13"/>
      <c r="R344" s="14">
        <f t="shared" si="131"/>
        <v>79005.58570349685</v>
      </c>
      <c r="S344" s="12"/>
    </row>
    <row r="345" spans="1:19" ht="15.75">
      <c r="A345" s="39"/>
      <c r="B345" s="6" t="s">
        <v>154</v>
      </c>
      <c r="C345" s="65"/>
      <c r="D345" s="73"/>
      <c r="E345" s="13"/>
      <c r="F345" s="14">
        <f t="shared" si="126"/>
        <v>16577728.480162956</v>
      </c>
      <c r="G345" s="13"/>
      <c r="H345" s="14">
        <f t="shared" si="127"/>
        <v>-1647612.2289774446</v>
      </c>
      <c r="I345" s="47"/>
      <c r="J345" s="14">
        <f t="shared" si="128"/>
        <v>-79005.58570349685</v>
      </c>
      <c r="K345" s="315"/>
      <c r="L345" s="15"/>
      <c r="M345" s="13">
        <f>-E345</f>
        <v>0</v>
      </c>
      <c r="N345" s="14">
        <f t="shared" si="129"/>
        <v>0</v>
      </c>
      <c r="O345" s="13"/>
      <c r="P345" s="14">
        <f t="shared" si="130"/>
        <v>-15925832.251185518</v>
      </c>
      <c r="Q345" s="13"/>
      <c r="R345" s="14">
        <f t="shared" si="131"/>
        <v>79005.58570349685</v>
      </c>
      <c r="S345" s="12"/>
    </row>
    <row r="346" spans="1:19" ht="15.75">
      <c r="A346" s="39"/>
      <c r="B346" s="6" t="s">
        <v>156</v>
      </c>
      <c r="C346" s="65"/>
      <c r="D346" s="73"/>
      <c r="E346" s="13"/>
      <c r="F346" s="14">
        <f t="shared" si="126"/>
        <v>16577728.480162956</v>
      </c>
      <c r="G346" s="13">
        <f>-E345</f>
        <v>0</v>
      </c>
      <c r="H346" s="14">
        <f t="shared" si="127"/>
        <v>-1647612.2289774446</v>
      </c>
      <c r="I346" s="13">
        <f>+H343*$G$439/12</f>
        <v>-755.1556049479954</v>
      </c>
      <c r="J346" s="14">
        <f t="shared" si="128"/>
        <v>-79760.74130844485</v>
      </c>
      <c r="K346" s="315"/>
      <c r="L346" s="15"/>
      <c r="M346" s="13">
        <f>-G346</f>
        <v>0</v>
      </c>
      <c r="N346" s="14">
        <f t="shared" si="129"/>
        <v>0</v>
      </c>
      <c r="O346" s="13"/>
      <c r="P346" s="14">
        <f t="shared" si="130"/>
        <v>-15925832.251185518</v>
      </c>
      <c r="Q346" s="13">
        <f>-I346</f>
        <v>755.1556049479954</v>
      </c>
      <c r="R346" s="14">
        <f t="shared" si="131"/>
        <v>79760.74130844485</v>
      </c>
      <c r="S346" s="12"/>
    </row>
    <row r="347" spans="1:19" ht="15.75">
      <c r="A347" s="39" t="s">
        <v>53</v>
      </c>
      <c r="B347" s="6" t="s">
        <v>150</v>
      </c>
      <c r="C347" s="65"/>
      <c r="D347" s="73"/>
      <c r="E347" s="13"/>
      <c r="F347" s="14">
        <f aca="true" t="shared" si="132" ref="F347:F355">+F346+E347</f>
        <v>16577728.480162956</v>
      </c>
      <c r="G347" s="29"/>
      <c r="H347" s="14">
        <f aca="true" t="shared" si="133" ref="H347:H355">+H346+G347</f>
        <v>-1647612.2289774446</v>
      </c>
      <c r="I347" s="47"/>
      <c r="J347" s="14">
        <f aca="true" t="shared" si="134" ref="J347:J355">+J346+I347</f>
        <v>-79760.74130844485</v>
      </c>
      <c r="K347" s="315"/>
      <c r="L347" s="15"/>
      <c r="M347" s="13"/>
      <c r="N347" s="14">
        <f aca="true" t="shared" si="135" ref="N347:N355">+N346+M347</f>
        <v>0</v>
      </c>
      <c r="O347" s="13">
        <f>-G347</f>
        <v>0</v>
      </c>
      <c r="P347" s="14">
        <f aca="true" t="shared" si="136" ref="P347:P355">+P346+O347</f>
        <v>-15925832.251185518</v>
      </c>
      <c r="Q347" s="13"/>
      <c r="R347" s="14">
        <f aca="true" t="shared" si="137" ref="R347:R355">+R346+Q347</f>
        <v>79760.74130844485</v>
      </c>
      <c r="S347" s="12"/>
    </row>
    <row r="348" spans="1:19" ht="15.75">
      <c r="A348" s="39"/>
      <c r="B348" s="6" t="s">
        <v>154</v>
      </c>
      <c r="C348" s="65"/>
      <c r="D348" s="73"/>
      <c r="E348" s="13"/>
      <c r="F348" s="14">
        <f t="shared" si="132"/>
        <v>16577728.480162956</v>
      </c>
      <c r="G348" s="13"/>
      <c r="H348" s="14">
        <f t="shared" si="133"/>
        <v>-1647612.2289774446</v>
      </c>
      <c r="I348" s="47"/>
      <c r="J348" s="14">
        <f t="shared" si="134"/>
        <v>-79760.74130844485</v>
      </c>
      <c r="K348" s="315"/>
      <c r="L348" s="15"/>
      <c r="M348" s="13">
        <f>-E348</f>
        <v>0</v>
      </c>
      <c r="N348" s="14">
        <f t="shared" si="135"/>
        <v>0</v>
      </c>
      <c r="O348" s="13"/>
      <c r="P348" s="14">
        <f t="shared" si="136"/>
        <v>-15925832.251185518</v>
      </c>
      <c r="Q348" s="13"/>
      <c r="R348" s="14">
        <f t="shared" si="137"/>
        <v>79760.74130844485</v>
      </c>
      <c r="S348" s="12"/>
    </row>
    <row r="349" spans="1:19" ht="15.75">
      <c r="A349" s="39"/>
      <c r="B349" s="6" t="s">
        <v>156</v>
      </c>
      <c r="C349" s="65"/>
      <c r="D349" s="73"/>
      <c r="E349" s="13"/>
      <c r="F349" s="14">
        <f t="shared" si="132"/>
        <v>16577728.480162956</v>
      </c>
      <c r="G349" s="13">
        <f>-E348</f>
        <v>0</v>
      </c>
      <c r="H349" s="14">
        <f t="shared" si="133"/>
        <v>-1647612.2289774446</v>
      </c>
      <c r="I349" s="13">
        <f>+H346*$G$440/12</f>
        <v>-1221.979069824938</v>
      </c>
      <c r="J349" s="14">
        <f t="shared" si="134"/>
        <v>-80982.72037826979</v>
      </c>
      <c r="K349" s="315"/>
      <c r="L349" s="15"/>
      <c r="M349" s="13">
        <f>-G349</f>
        <v>0</v>
      </c>
      <c r="N349" s="14">
        <f t="shared" si="135"/>
        <v>0</v>
      </c>
      <c r="O349" s="13"/>
      <c r="P349" s="14">
        <f t="shared" si="136"/>
        <v>-15925832.251185518</v>
      </c>
      <c r="Q349" s="13">
        <f>-I349</f>
        <v>1221.979069824938</v>
      </c>
      <c r="R349" s="14">
        <f t="shared" si="137"/>
        <v>80982.72037826979</v>
      </c>
      <c r="S349" s="12"/>
    </row>
    <row r="350" spans="1:19" ht="15.75">
      <c r="A350" s="39" t="s">
        <v>54</v>
      </c>
      <c r="B350" s="6" t="s">
        <v>150</v>
      </c>
      <c r="C350" s="65"/>
      <c r="D350" s="73"/>
      <c r="E350" s="13"/>
      <c r="F350" s="14">
        <f t="shared" si="132"/>
        <v>16577728.480162956</v>
      </c>
      <c r="G350" s="29"/>
      <c r="H350" s="14">
        <f t="shared" si="133"/>
        <v>-1647612.2289774446</v>
      </c>
      <c r="I350" s="47"/>
      <c r="J350" s="14">
        <f>+J349+I350</f>
        <v>-80982.72037826979</v>
      </c>
      <c r="K350" s="315"/>
      <c r="L350" s="15"/>
      <c r="M350" s="13"/>
      <c r="N350" s="14">
        <f t="shared" si="135"/>
        <v>0</v>
      </c>
      <c r="O350" s="13">
        <f>-G350</f>
        <v>0</v>
      </c>
      <c r="P350" s="14">
        <f t="shared" si="136"/>
        <v>-15925832.251185518</v>
      </c>
      <c r="Q350" s="13"/>
      <c r="R350" s="14">
        <f t="shared" si="137"/>
        <v>80982.72037826979</v>
      </c>
      <c r="S350" s="12"/>
    </row>
    <row r="351" spans="1:19" ht="15.75">
      <c r="A351" s="39"/>
      <c r="B351" s="6" t="s">
        <v>154</v>
      </c>
      <c r="C351" s="65"/>
      <c r="D351" s="73"/>
      <c r="E351" s="13"/>
      <c r="F351" s="14">
        <f t="shared" si="132"/>
        <v>16577728.480162956</v>
      </c>
      <c r="G351" s="13"/>
      <c r="H351" s="14">
        <f t="shared" si="133"/>
        <v>-1647612.2289774446</v>
      </c>
      <c r="I351" s="47"/>
      <c r="J351" s="14">
        <f t="shared" si="134"/>
        <v>-80982.72037826979</v>
      </c>
      <c r="K351" s="315"/>
      <c r="L351" s="15"/>
      <c r="M351" s="13">
        <f>-E351</f>
        <v>0</v>
      </c>
      <c r="N351" s="14">
        <f t="shared" si="135"/>
        <v>0</v>
      </c>
      <c r="O351" s="13"/>
      <c r="P351" s="14">
        <f t="shared" si="136"/>
        <v>-15925832.251185518</v>
      </c>
      <c r="Q351" s="13"/>
      <c r="R351" s="14">
        <f t="shared" si="137"/>
        <v>80982.72037826979</v>
      </c>
      <c r="S351" s="12"/>
    </row>
    <row r="352" spans="1:19" ht="15.75">
      <c r="A352" s="39"/>
      <c r="B352" s="6" t="s">
        <v>156</v>
      </c>
      <c r="C352" s="65"/>
      <c r="D352" s="73"/>
      <c r="E352" s="13"/>
      <c r="F352" s="14">
        <f t="shared" si="132"/>
        <v>16577728.480162956</v>
      </c>
      <c r="G352" s="13">
        <f>-E351</f>
        <v>0</v>
      </c>
      <c r="H352" s="14">
        <f t="shared" si="133"/>
        <v>-1647612.2289774446</v>
      </c>
      <c r="I352" s="13">
        <f>+H349*$G$440/12</f>
        <v>-1221.979069824938</v>
      </c>
      <c r="J352" s="14">
        <f t="shared" si="134"/>
        <v>-82204.69944809473</v>
      </c>
      <c r="K352" s="315"/>
      <c r="L352" s="15"/>
      <c r="M352" s="13">
        <f>-G352</f>
        <v>0</v>
      </c>
      <c r="N352" s="14">
        <f t="shared" si="135"/>
        <v>0</v>
      </c>
      <c r="O352" s="13"/>
      <c r="P352" s="14">
        <f t="shared" si="136"/>
        <v>-15925832.251185518</v>
      </c>
      <c r="Q352" s="13">
        <f>-I352</f>
        <v>1221.979069824938</v>
      </c>
      <c r="R352" s="14">
        <f t="shared" si="137"/>
        <v>82204.69944809473</v>
      </c>
      <c r="S352" s="12"/>
    </row>
    <row r="353" spans="1:19" ht="15.75">
      <c r="A353" s="39" t="s">
        <v>55</v>
      </c>
      <c r="B353" s="6" t="s">
        <v>150</v>
      </c>
      <c r="C353" s="65"/>
      <c r="D353" s="73"/>
      <c r="E353" s="13"/>
      <c r="F353" s="14">
        <f t="shared" si="132"/>
        <v>16577728.480162956</v>
      </c>
      <c r="G353" s="29"/>
      <c r="H353" s="14">
        <f t="shared" si="133"/>
        <v>-1647612.2289774446</v>
      </c>
      <c r="I353" s="47"/>
      <c r="J353" s="14">
        <f t="shared" si="134"/>
        <v>-82204.69944809473</v>
      </c>
      <c r="K353" s="315"/>
      <c r="L353" s="15"/>
      <c r="M353" s="13"/>
      <c r="N353" s="14">
        <f t="shared" si="135"/>
        <v>0</v>
      </c>
      <c r="O353" s="13">
        <f>-G353</f>
        <v>0</v>
      </c>
      <c r="P353" s="14">
        <f t="shared" si="136"/>
        <v>-15925832.251185518</v>
      </c>
      <c r="Q353" s="13"/>
      <c r="R353" s="14">
        <f t="shared" si="137"/>
        <v>82204.69944809473</v>
      </c>
      <c r="S353" s="12"/>
    </row>
    <row r="354" spans="1:19" ht="15.75">
      <c r="A354" s="39"/>
      <c r="B354" s="6" t="s">
        <v>154</v>
      </c>
      <c r="C354" s="65"/>
      <c r="D354" s="73"/>
      <c r="E354" s="13"/>
      <c r="F354" s="14">
        <f t="shared" si="132"/>
        <v>16577728.480162956</v>
      </c>
      <c r="G354" s="13"/>
      <c r="H354" s="14">
        <f t="shared" si="133"/>
        <v>-1647612.2289774446</v>
      </c>
      <c r="I354" s="47"/>
      <c r="J354" s="14">
        <f t="shared" si="134"/>
        <v>-82204.69944809473</v>
      </c>
      <c r="K354" s="315"/>
      <c r="L354" s="15"/>
      <c r="M354" s="13">
        <f>-E354</f>
        <v>0</v>
      </c>
      <c r="N354" s="14">
        <f t="shared" si="135"/>
        <v>0</v>
      </c>
      <c r="O354" s="13"/>
      <c r="P354" s="14">
        <f t="shared" si="136"/>
        <v>-15925832.251185518</v>
      </c>
      <c r="Q354" s="13"/>
      <c r="R354" s="14">
        <f t="shared" si="137"/>
        <v>82204.69944809473</v>
      </c>
      <c r="S354" s="12"/>
    </row>
    <row r="355" spans="1:19" ht="15.75">
      <c r="A355" s="39"/>
      <c r="B355" s="6" t="s">
        <v>156</v>
      </c>
      <c r="C355" s="65"/>
      <c r="D355" s="73"/>
      <c r="E355" s="13"/>
      <c r="F355" s="14">
        <f t="shared" si="132"/>
        <v>16577728.480162956</v>
      </c>
      <c r="G355" s="13">
        <f>-E354</f>
        <v>0</v>
      </c>
      <c r="H355" s="14">
        <f t="shared" si="133"/>
        <v>-1647612.2289774446</v>
      </c>
      <c r="I355" s="13">
        <f>+H352*$G$440/12</f>
        <v>-1221.979069824938</v>
      </c>
      <c r="J355" s="14">
        <f t="shared" si="134"/>
        <v>-83426.67851791967</v>
      </c>
      <c r="K355" s="315"/>
      <c r="L355" s="15"/>
      <c r="M355" s="13">
        <f>-G355</f>
        <v>0</v>
      </c>
      <c r="N355" s="14">
        <f t="shared" si="135"/>
        <v>0</v>
      </c>
      <c r="O355" s="13"/>
      <c r="P355" s="14">
        <f t="shared" si="136"/>
        <v>-15925832.251185518</v>
      </c>
      <c r="Q355" s="13">
        <f>-I355</f>
        <v>1221.979069824938</v>
      </c>
      <c r="R355" s="14">
        <f t="shared" si="137"/>
        <v>83426.67851791967</v>
      </c>
      <c r="S355" s="12"/>
    </row>
    <row r="356" spans="1:19" ht="15.75">
      <c r="A356" s="39" t="s">
        <v>44</v>
      </c>
      <c r="B356" s="6" t="s">
        <v>150</v>
      </c>
      <c r="C356" s="65"/>
      <c r="D356" s="73"/>
      <c r="E356" s="13"/>
      <c r="F356" s="14">
        <f aca="true" t="shared" si="138" ref="F356:F364">+F355+E356</f>
        <v>16577728.480162956</v>
      </c>
      <c r="G356" s="29"/>
      <c r="H356" s="14">
        <f aca="true" t="shared" si="139" ref="H356:H364">+H355+G356</f>
        <v>-1647612.2289774446</v>
      </c>
      <c r="I356" s="47"/>
      <c r="J356" s="14">
        <f aca="true" t="shared" si="140" ref="J356:J364">+J355+I356</f>
        <v>-83426.67851791967</v>
      </c>
      <c r="K356" s="315"/>
      <c r="L356" s="15"/>
      <c r="M356" s="13"/>
      <c r="N356" s="14">
        <f aca="true" t="shared" si="141" ref="N356:N364">+N355+M356</f>
        <v>0</v>
      </c>
      <c r="O356" s="13">
        <f>-G356</f>
        <v>0</v>
      </c>
      <c r="P356" s="14">
        <f aca="true" t="shared" si="142" ref="P356:P364">+P355+O356</f>
        <v>-15925832.251185518</v>
      </c>
      <c r="Q356" s="13"/>
      <c r="R356" s="14">
        <f aca="true" t="shared" si="143" ref="R356:R364">+R355+Q356</f>
        <v>83426.67851791967</v>
      </c>
      <c r="S356" s="12"/>
    </row>
    <row r="357" spans="1:19" ht="15.75">
      <c r="A357" s="39"/>
      <c r="B357" s="6" t="s">
        <v>154</v>
      </c>
      <c r="C357" s="65"/>
      <c r="D357" s="73"/>
      <c r="E357" s="13"/>
      <c r="F357" s="14">
        <f t="shared" si="138"/>
        <v>16577728.480162956</v>
      </c>
      <c r="G357" s="13"/>
      <c r="H357" s="14">
        <f t="shared" si="139"/>
        <v>-1647612.2289774446</v>
      </c>
      <c r="I357" s="47"/>
      <c r="J357" s="14">
        <f t="shared" si="140"/>
        <v>-83426.67851791967</v>
      </c>
      <c r="K357" s="315"/>
      <c r="L357" s="15"/>
      <c r="M357" s="13">
        <f>-E357</f>
        <v>0</v>
      </c>
      <c r="N357" s="14">
        <f t="shared" si="141"/>
        <v>0</v>
      </c>
      <c r="O357" s="13"/>
      <c r="P357" s="14">
        <f t="shared" si="142"/>
        <v>-15925832.251185518</v>
      </c>
      <c r="Q357" s="13"/>
      <c r="R357" s="14">
        <f t="shared" si="143"/>
        <v>83426.67851791967</v>
      </c>
      <c r="S357" s="12"/>
    </row>
    <row r="358" spans="1:19" ht="15.75">
      <c r="A358" s="39"/>
      <c r="B358" s="6" t="s">
        <v>156</v>
      </c>
      <c r="C358" s="65"/>
      <c r="D358" s="73"/>
      <c r="E358" s="13"/>
      <c r="F358" s="14">
        <f t="shared" si="138"/>
        <v>16577728.480162956</v>
      </c>
      <c r="G358" s="13">
        <f>-E357</f>
        <v>0</v>
      </c>
      <c r="H358" s="14">
        <f t="shared" si="139"/>
        <v>-1647612.2289774446</v>
      </c>
      <c r="I358" s="13">
        <f>+H355*$G$441/12</f>
        <v>-1647.6122289774446</v>
      </c>
      <c r="J358" s="14">
        <f t="shared" si="140"/>
        <v>-85074.29074689712</v>
      </c>
      <c r="K358" s="315"/>
      <c r="L358" s="15"/>
      <c r="M358" s="13">
        <f>-G358</f>
        <v>0</v>
      </c>
      <c r="N358" s="14">
        <f t="shared" si="141"/>
        <v>0</v>
      </c>
      <c r="O358" s="13"/>
      <c r="P358" s="14">
        <f t="shared" si="142"/>
        <v>-15925832.251185518</v>
      </c>
      <c r="Q358" s="13">
        <f>-I358</f>
        <v>1647.6122289774446</v>
      </c>
      <c r="R358" s="14">
        <f t="shared" si="143"/>
        <v>85074.29074689712</v>
      </c>
      <c r="S358" s="12"/>
    </row>
    <row r="359" spans="1:19" ht="15.75">
      <c r="A359" s="39" t="s">
        <v>56</v>
      </c>
      <c r="B359" s="6" t="s">
        <v>150</v>
      </c>
      <c r="C359" s="65"/>
      <c r="D359" s="73"/>
      <c r="E359" s="13"/>
      <c r="F359" s="14">
        <f t="shared" si="138"/>
        <v>16577728.480162956</v>
      </c>
      <c r="G359" s="29"/>
      <c r="H359" s="14">
        <f t="shared" si="139"/>
        <v>-1647612.2289774446</v>
      </c>
      <c r="I359" s="47"/>
      <c r="J359" s="14">
        <f t="shared" si="140"/>
        <v>-85074.29074689712</v>
      </c>
      <c r="K359" s="315"/>
      <c r="L359" s="15"/>
      <c r="M359" s="13"/>
      <c r="N359" s="14">
        <f t="shared" si="141"/>
        <v>0</v>
      </c>
      <c r="O359" s="13">
        <f>-G359</f>
        <v>0</v>
      </c>
      <c r="P359" s="14">
        <f t="shared" si="142"/>
        <v>-15925832.251185518</v>
      </c>
      <c r="Q359" s="13"/>
      <c r="R359" s="14">
        <f t="shared" si="143"/>
        <v>85074.29074689712</v>
      </c>
      <c r="S359" s="12"/>
    </row>
    <row r="360" spans="1:19" ht="15.75">
      <c r="A360" s="39"/>
      <c r="B360" s="6" t="s">
        <v>154</v>
      </c>
      <c r="C360" s="65"/>
      <c r="D360" s="73"/>
      <c r="E360" s="13"/>
      <c r="F360" s="14">
        <f t="shared" si="138"/>
        <v>16577728.480162956</v>
      </c>
      <c r="G360" s="13"/>
      <c r="H360" s="14">
        <f t="shared" si="139"/>
        <v>-1647612.2289774446</v>
      </c>
      <c r="I360" s="47"/>
      <c r="J360" s="14">
        <f t="shared" si="140"/>
        <v>-85074.29074689712</v>
      </c>
      <c r="K360" s="315"/>
      <c r="L360" s="15"/>
      <c r="M360" s="13">
        <f>-E360</f>
        <v>0</v>
      </c>
      <c r="N360" s="14">
        <f t="shared" si="141"/>
        <v>0</v>
      </c>
      <c r="O360" s="13"/>
      <c r="P360" s="14">
        <f t="shared" si="142"/>
        <v>-15925832.251185518</v>
      </c>
      <c r="Q360" s="13"/>
      <c r="R360" s="14">
        <f t="shared" si="143"/>
        <v>85074.29074689712</v>
      </c>
      <c r="S360" s="12"/>
    </row>
    <row r="361" spans="1:19" ht="15.75">
      <c r="A361" s="39"/>
      <c r="B361" s="6" t="s">
        <v>156</v>
      </c>
      <c r="C361" s="65"/>
      <c r="D361" s="73"/>
      <c r="E361" s="13"/>
      <c r="F361" s="14">
        <f t="shared" si="138"/>
        <v>16577728.480162956</v>
      </c>
      <c r="G361" s="13">
        <f>-E360</f>
        <v>0</v>
      </c>
      <c r="H361" s="14">
        <f t="shared" si="139"/>
        <v>-1647612.2289774446</v>
      </c>
      <c r="I361" s="13">
        <f>+H358*$G$441/12</f>
        <v>-1647.6122289774446</v>
      </c>
      <c r="J361" s="14">
        <f t="shared" si="140"/>
        <v>-86721.90297587457</v>
      </c>
      <c r="K361" s="315"/>
      <c r="L361" s="15"/>
      <c r="M361" s="13">
        <f>-G361</f>
        <v>0</v>
      </c>
      <c r="N361" s="14">
        <f t="shared" si="141"/>
        <v>0</v>
      </c>
      <c r="O361" s="13"/>
      <c r="P361" s="14">
        <f t="shared" si="142"/>
        <v>-15925832.251185518</v>
      </c>
      <c r="Q361" s="13">
        <f>-I361</f>
        <v>1647.6122289774446</v>
      </c>
      <c r="R361" s="14">
        <f t="shared" si="143"/>
        <v>86721.90297587457</v>
      </c>
      <c r="S361" s="12"/>
    </row>
    <row r="362" spans="1:19" ht="15.75">
      <c r="A362" s="39" t="s">
        <v>46</v>
      </c>
      <c r="B362" s="6" t="s">
        <v>150</v>
      </c>
      <c r="C362" s="65"/>
      <c r="D362" s="73"/>
      <c r="E362" s="13"/>
      <c r="F362" s="14">
        <f t="shared" si="138"/>
        <v>16577728.480162956</v>
      </c>
      <c r="G362" s="29"/>
      <c r="H362" s="14">
        <f t="shared" si="139"/>
        <v>-1647612.2289774446</v>
      </c>
      <c r="I362" s="47"/>
      <c r="J362" s="14">
        <f t="shared" si="140"/>
        <v>-86721.90297587457</v>
      </c>
      <c r="K362" s="315"/>
      <c r="L362" s="15"/>
      <c r="M362" s="13"/>
      <c r="N362" s="14">
        <f t="shared" si="141"/>
        <v>0</v>
      </c>
      <c r="O362" s="13">
        <f>-G362</f>
        <v>0</v>
      </c>
      <c r="P362" s="14">
        <f t="shared" si="142"/>
        <v>-15925832.251185518</v>
      </c>
      <c r="Q362" s="13"/>
      <c r="R362" s="14">
        <f t="shared" si="143"/>
        <v>86721.90297587457</v>
      </c>
      <c r="S362" s="12"/>
    </row>
    <row r="363" spans="1:19" ht="15.75">
      <c r="A363" s="39"/>
      <c r="B363" s="6" t="s">
        <v>154</v>
      </c>
      <c r="C363" s="65"/>
      <c r="D363" s="73"/>
      <c r="E363" s="13"/>
      <c r="F363" s="14">
        <f t="shared" si="138"/>
        <v>16577728.480162956</v>
      </c>
      <c r="G363" s="13"/>
      <c r="H363" s="14">
        <f t="shared" si="139"/>
        <v>-1647612.2289774446</v>
      </c>
      <c r="I363" s="47"/>
      <c r="J363" s="14">
        <f t="shared" si="140"/>
        <v>-86721.90297587457</v>
      </c>
      <c r="K363" s="315"/>
      <c r="L363" s="15"/>
      <c r="M363" s="13">
        <f>-E363</f>
        <v>0</v>
      </c>
      <c r="N363" s="14">
        <f t="shared" si="141"/>
        <v>0</v>
      </c>
      <c r="O363" s="13"/>
      <c r="P363" s="14">
        <f t="shared" si="142"/>
        <v>-15925832.251185518</v>
      </c>
      <c r="Q363" s="13"/>
      <c r="R363" s="14">
        <f t="shared" si="143"/>
        <v>86721.90297587457</v>
      </c>
      <c r="S363" s="12"/>
    </row>
    <row r="364" spans="1:19" ht="15.75">
      <c r="A364" s="39"/>
      <c r="B364" s="6" t="s">
        <v>156</v>
      </c>
      <c r="C364" s="65"/>
      <c r="D364" s="73"/>
      <c r="E364" s="13"/>
      <c r="F364" s="14">
        <f t="shared" si="138"/>
        <v>16577728.480162956</v>
      </c>
      <c r="G364" s="13">
        <f>-E363</f>
        <v>0</v>
      </c>
      <c r="H364" s="14">
        <f t="shared" si="139"/>
        <v>-1647612.2289774446</v>
      </c>
      <c r="I364" s="13">
        <f>+H361*$G$441/12</f>
        <v>-1647.6122289774446</v>
      </c>
      <c r="J364" s="77">
        <f t="shared" si="140"/>
        <v>-88369.51520485202</v>
      </c>
      <c r="K364" s="320">
        <f>+J364-J328</f>
        <v>-13139.707526095168</v>
      </c>
      <c r="L364" s="15"/>
      <c r="M364" s="13">
        <f>-G364</f>
        <v>0</v>
      </c>
      <c r="N364" s="14">
        <f t="shared" si="141"/>
        <v>0</v>
      </c>
      <c r="O364" s="13"/>
      <c r="P364" s="14">
        <f t="shared" si="142"/>
        <v>-15925832.251185518</v>
      </c>
      <c r="Q364" s="13">
        <f>-I364</f>
        <v>1647.6122289774446</v>
      </c>
      <c r="R364" s="14">
        <f t="shared" si="143"/>
        <v>88369.51520485202</v>
      </c>
      <c r="S364" s="12"/>
    </row>
    <row r="365" spans="1:19" ht="15.75">
      <c r="A365" s="78" t="s">
        <v>116</v>
      </c>
      <c r="B365" s="6" t="s">
        <v>150</v>
      </c>
      <c r="C365" s="65"/>
      <c r="D365" s="73"/>
      <c r="E365" s="13"/>
      <c r="F365" s="14">
        <f aca="true" t="shared" si="144" ref="F365:F373">+F364+E365</f>
        <v>16577728.480162956</v>
      </c>
      <c r="G365" s="29"/>
      <c r="H365" s="14">
        <f aca="true" t="shared" si="145" ref="H365:H373">+H364+G365</f>
        <v>-1647612.2289774446</v>
      </c>
      <c r="I365" s="47"/>
      <c r="J365" s="14">
        <f aca="true" t="shared" si="146" ref="J365:J373">+J364+I365</f>
        <v>-88369.51520485202</v>
      </c>
      <c r="K365" s="315"/>
      <c r="L365" s="15"/>
      <c r="M365" s="13"/>
      <c r="N365" s="14">
        <f aca="true" t="shared" si="147" ref="N365:N373">+N364+M365</f>
        <v>0</v>
      </c>
      <c r="O365" s="13">
        <f>-G365</f>
        <v>0</v>
      </c>
      <c r="P365" s="14">
        <f aca="true" t="shared" si="148" ref="P365:P373">+P364+O365</f>
        <v>-15925832.251185518</v>
      </c>
      <c r="Q365" s="13"/>
      <c r="R365" s="14">
        <f aca="true" t="shared" si="149" ref="R365:R373">+R364+Q365</f>
        <v>88369.51520485202</v>
      </c>
      <c r="S365" s="12"/>
    </row>
    <row r="366" spans="1:19" ht="15.75">
      <c r="A366" s="39"/>
      <c r="B366" s="6" t="s">
        <v>154</v>
      </c>
      <c r="C366" s="65"/>
      <c r="D366" s="73"/>
      <c r="E366" s="13"/>
      <c r="F366" s="14">
        <f t="shared" si="144"/>
        <v>16577728.480162956</v>
      </c>
      <c r="G366" s="13"/>
      <c r="H366" s="14">
        <f t="shared" si="145"/>
        <v>-1647612.2289774446</v>
      </c>
      <c r="I366" s="47"/>
      <c r="J366" s="14">
        <f t="shared" si="146"/>
        <v>-88369.51520485202</v>
      </c>
      <c r="K366" s="315"/>
      <c r="L366" s="15"/>
      <c r="M366" s="13">
        <f>-E366</f>
        <v>0</v>
      </c>
      <c r="N366" s="14">
        <f t="shared" si="147"/>
        <v>0</v>
      </c>
      <c r="O366" s="13"/>
      <c r="P366" s="14">
        <f t="shared" si="148"/>
        <v>-15925832.251185518</v>
      </c>
      <c r="Q366" s="13"/>
      <c r="R366" s="14">
        <f t="shared" si="149"/>
        <v>88369.51520485202</v>
      </c>
      <c r="S366" s="12"/>
    </row>
    <row r="367" spans="1:19" ht="15.75">
      <c r="A367" s="39"/>
      <c r="B367" s="6" t="s">
        <v>156</v>
      </c>
      <c r="C367" s="65"/>
      <c r="D367" s="73"/>
      <c r="E367" s="13"/>
      <c r="F367" s="14">
        <f t="shared" si="144"/>
        <v>16577728.480162956</v>
      </c>
      <c r="G367" s="13">
        <f>-E366</f>
        <v>0</v>
      </c>
      <c r="H367" s="14">
        <f t="shared" si="145"/>
        <v>-1647612.2289774446</v>
      </c>
      <c r="I367" s="13">
        <f>+H364*$G$442/12</f>
        <v>-2018.3249804973696</v>
      </c>
      <c r="J367" s="14">
        <f t="shared" si="146"/>
        <v>-90387.8401853494</v>
      </c>
      <c r="K367" s="315"/>
      <c r="L367" s="15"/>
      <c r="M367" s="13">
        <f>-G367</f>
        <v>0</v>
      </c>
      <c r="N367" s="14">
        <f t="shared" si="147"/>
        <v>0</v>
      </c>
      <c r="O367" s="13"/>
      <c r="P367" s="14">
        <f t="shared" si="148"/>
        <v>-15925832.251185518</v>
      </c>
      <c r="Q367" s="13">
        <f>-I367</f>
        <v>2018.3249804973696</v>
      </c>
      <c r="R367" s="14">
        <f t="shared" si="149"/>
        <v>90387.8401853494</v>
      </c>
      <c r="S367" s="12"/>
    </row>
    <row r="368" spans="1:19" ht="15.75">
      <c r="A368" s="39" t="s">
        <v>48</v>
      </c>
      <c r="B368" s="6" t="s">
        <v>150</v>
      </c>
      <c r="C368" s="65"/>
      <c r="D368" s="73"/>
      <c r="E368" s="13"/>
      <c r="F368" s="14">
        <f t="shared" si="144"/>
        <v>16577728.480162956</v>
      </c>
      <c r="G368" s="29"/>
      <c r="H368" s="14">
        <f t="shared" si="145"/>
        <v>-1647612.2289774446</v>
      </c>
      <c r="I368" s="47"/>
      <c r="J368" s="14">
        <f t="shared" si="146"/>
        <v>-90387.8401853494</v>
      </c>
      <c r="K368" s="315"/>
      <c r="L368" s="15"/>
      <c r="M368" s="13"/>
      <c r="N368" s="14">
        <f t="shared" si="147"/>
        <v>0</v>
      </c>
      <c r="O368" s="13">
        <f>-G368</f>
        <v>0</v>
      </c>
      <c r="P368" s="14">
        <f t="shared" si="148"/>
        <v>-15925832.251185518</v>
      </c>
      <c r="Q368" s="13"/>
      <c r="R368" s="14">
        <f t="shared" si="149"/>
        <v>90387.8401853494</v>
      </c>
      <c r="S368" s="12"/>
    </row>
    <row r="369" spans="1:19" ht="15.75">
      <c r="A369" s="39"/>
      <c r="B369" s="6" t="s">
        <v>154</v>
      </c>
      <c r="C369" s="65"/>
      <c r="D369" s="73"/>
      <c r="E369" s="13"/>
      <c r="F369" s="14">
        <f t="shared" si="144"/>
        <v>16577728.480162956</v>
      </c>
      <c r="G369" s="13"/>
      <c r="H369" s="14">
        <f t="shared" si="145"/>
        <v>-1647612.2289774446</v>
      </c>
      <c r="I369" s="47"/>
      <c r="J369" s="14">
        <f t="shared" si="146"/>
        <v>-90387.8401853494</v>
      </c>
      <c r="K369" s="315"/>
      <c r="L369" s="15"/>
      <c r="M369" s="13">
        <f>-E369</f>
        <v>0</v>
      </c>
      <c r="N369" s="14">
        <f t="shared" si="147"/>
        <v>0</v>
      </c>
      <c r="O369" s="13"/>
      <c r="P369" s="14">
        <f t="shared" si="148"/>
        <v>-15925832.251185518</v>
      </c>
      <c r="Q369" s="13"/>
      <c r="R369" s="14">
        <f t="shared" si="149"/>
        <v>90387.8401853494</v>
      </c>
      <c r="S369" s="12"/>
    </row>
    <row r="370" spans="1:19" ht="15.75">
      <c r="A370" s="39"/>
      <c r="B370" s="6" t="s">
        <v>156</v>
      </c>
      <c r="C370" s="65"/>
      <c r="D370" s="73"/>
      <c r="E370" s="13"/>
      <c r="F370" s="14">
        <f t="shared" si="144"/>
        <v>16577728.480162956</v>
      </c>
      <c r="G370" s="13">
        <f>-E369</f>
        <v>0</v>
      </c>
      <c r="H370" s="14">
        <f t="shared" si="145"/>
        <v>-1647612.2289774446</v>
      </c>
      <c r="I370" s="13">
        <f>+H367*$G$442/12</f>
        <v>-2018.3249804973696</v>
      </c>
      <c r="J370" s="14">
        <f t="shared" si="146"/>
        <v>-92406.16516584677</v>
      </c>
      <c r="K370" s="315"/>
      <c r="L370" s="15"/>
      <c r="M370" s="13">
        <f>-G370</f>
        <v>0</v>
      </c>
      <c r="N370" s="14">
        <f t="shared" si="147"/>
        <v>0</v>
      </c>
      <c r="O370" s="13"/>
      <c r="P370" s="14">
        <f t="shared" si="148"/>
        <v>-15925832.251185518</v>
      </c>
      <c r="Q370" s="13">
        <f>-I370</f>
        <v>2018.3249804973696</v>
      </c>
      <c r="R370" s="14">
        <f t="shared" si="149"/>
        <v>92406.16516584677</v>
      </c>
      <c r="S370" s="12"/>
    </row>
    <row r="371" spans="1:19" ht="15.75">
      <c r="A371" s="39" t="s">
        <v>49</v>
      </c>
      <c r="B371" s="6" t="s">
        <v>150</v>
      </c>
      <c r="C371" s="65"/>
      <c r="D371" s="73"/>
      <c r="E371" s="13"/>
      <c r="F371" s="14">
        <f t="shared" si="144"/>
        <v>16577728.480162956</v>
      </c>
      <c r="G371" s="29"/>
      <c r="H371" s="14">
        <f t="shared" si="145"/>
        <v>-1647612.2289774446</v>
      </c>
      <c r="I371" s="47"/>
      <c r="J371" s="14">
        <f t="shared" si="146"/>
        <v>-92406.16516584677</v>
      </c>
      <c r="K371" s="315"/>
      <c r="L371" s="15"/>
      <c r="M371" s="13"/>
      <c r="N371" s="14">
        <f t="shared" si="147"/>
        <v>0</v>
      </c>
      <c r="O371" s="13">
        <f>-G371</f>
        <v>0</v>
      </c>
      <c r="P371" s="14">
        <f t="shared" si="148"/>
        <v>-15925832.251185518</v>
      </c>
      <c r="Q371" s="13"/>
      <c r="R371" s="14">
        <f t="shared" si="149"/>
        <v>92406.16516584677</v>
      </c>
      <c r="S371" s="12"/>
    </row>
    <row r="372" spans="1:19" ht="15.75">
      <c r="A372" s="39"/>
      <c r="B372" s="6" t="s">
        <v>154</v>
      </c>
      <c r="C372" s="65"/>
      <c r="D372" s="73"/>
      <c r="E372" s="13"/>
      <c r="F372" s="14">
        <f t="shared" si="144"/>
        <v>16577728.480162956</v>
      </c>
      <c r="G372" s="13"/>
      <c r="H372" s="14">
        <f t="shared" si="145"/>
        <v>-1647612.2289774446</v>
      </c>
      <c r="I372" s="47"/>
      <c r="J372" s="14">
        <f t="shared" si="146"/>
        <v>-92406.16516584677</v>
      </c>
      <c r="K372" s="315"/>
      <c r="L372" s="15"/>
      <c r="M372" s="13">
        <f>-E372</f>
        <v>0</v>
      </c>
      <c r="N372" s="14">
        <f t="shared" si="147"/>
        <v>0</v>
      </c>
      <c r="O372" s="13"/>
      <c r="P372" s="14">
        <f t="shared" si="148"/>
        <v>-15925832.251185518</v>
      </c>
      <c r="Q372" s="13"/>
      <c r="R372" s="14">
        <f t="shared" si="149"/>
        <v>92406.16516584677</v>
      </c>
      <c r="S372" s="12"/>
    </row>
    <row r="373" spans="1:19" ht="15.75">
      <c r="A373" s="39"/>
      <c r="B373" s="6" t="s">
        <v>156</v>
      </c>
      <c r="C373" s="65"/>
      <c r="D373" s="73"/>
      <c r="E373" s="13"/>
      <c r="F373" s="14">
        <f t="shared" si="144"/>
        <v>16577728.480162956</v>
      </c>
      <c r="G373" s="13">
        <f>-E372</f>
        <v>0</v>
      </c>
      <c r="H373" s="14">
        <f t="shared" si="145"/>
        <v>-1647612.2289774446</v>
      </c>
      <c r="I373" s="13">
        <f>+H370*$G$442/12</f>
        <v>-2018.3249804973696</v>
      </c>
      <c r="J373" s="14">
        <f t="shared" si="146"/>
        <v>-94424.49014634415</v>
      </c>
      <c r="K373" s="315"/>
      <c r="L373" s="15"/>
      <c r="M373" s="13">
        <f>-G373</f>
        <v>0</v>
      </c>
      <c r="N373" s="14">
        <f t="shared" si="147"/>
        <v>0</v>
      </c>
      <c r="O373" s="13"/>
      <c r="P373" s="14">
        <f t="shared" si="148"/>
        <v>-15925832.251185518</v>
      </c>
      <c r="Q373" s="13">
        <f>-I373</f>
        <v>2018.3249804973696</v>
      </c>
      <c r="R373" s="14">
        <f t="shared" si="149"/>
        <v>94424.49014634415</v>
      </c>
      <c r="S373" s="12"/>
    </row>
    <row r="374" spans="1:19" ht="15.75">
      <c r="A374" s="39" t="s">
        <v>50</v>
      </c>
      <c r="B374" s="6" t="s">
        <v>150</v>
      </c>
      <c r="C374" s="65"/>
      <c r="D374" s="73"/>
      <c r="E374" s="13"/>
      <c r="F374" s="14">
        <f aca="true" t="shared" si="150" ref="F374:F382">+F373+E374</f>
        <v>16577728.480162956</v>
      </c>
      <c r="G374" s="29"/>
      <c r="H374" s="14">
        <f aca="true" t="shared" si="151" ref="H374:H382">+H373+G374</f>
        <v>-1647612.2289774446</v>
      </c>
      <c r="I374" s="47"/>
      <c r="J374" s="14">
        <f aca="true" t="shared" si="152" ref="J374:J382">+J373+I374</f>
        <v>-94424.49014634415</v>
      </c>
      <c r="K374" s="315"/>
      <c r="L374" s="15"/>
      <c r="M374" s="13"/>
      <c r="N374" s="14">
        <f aca="true" t="shared" si="153" ref="N374:N382">+N373+M374</f>
        <v>0</v>
      </c>
      <c r="O374" s="13">
        <f>-G374</f>
        <v>0</v>
      </c>
      <c r="P374" s="14">
        <f aca="true" t="shared" si="154" ref="P374:P382">+P373+O374</f>
        <v>-15925832.251185518</v>
      </c>
      <c r="Q374" s="13"/>
      <c r="R374" s="14">
        <f aca="true" t="shared" si="155" ref="R374:R382">+R373+Q374</f>
        <v>94424.49014634415</v>
      </c>
      <c r="S374" s="12"/>
    </row>
    <row r="375" spans="1:19" ht="15.75">
      <c r="A375" s="39"/>
      <c r="B375" s="6" t="s">
        <v>154</v>
      </c>
      <c r="C375" s="65"/>
      <c r="D375" s="73"/>
      <c r="E375" s="13"/>
      <c r="F375" s="14">
        <f t="shared" si="150"/>
        <v>16577728.480162956</v>
      </c>
      <c r="G375" s="13"/>
      <c r="H375" s="14">
        <f t="shared" si="151"/>
        <v>-1647612.2289774446</v>
      </c>
      <c r="I375" s="47"/>
      <c r="J375" s="14">
        <f t="shared" si="152"/>
        <v>-94424.49014634415</v>
      </c>
      <c r="K375" s="315"/>
      <c r="L375" s="15"/>
      <c r="M375" s="13">
        <f>-E375</f>
        <v>0</v>
      </c>
      <c r="N375" s="14">
        <f t="shared" si="153"/>
        <v>0</v>
      </c>
      <c r="O375" s="13"/>
      <c r="P375" s="14">
        <f t="shared" si="154"/>
        <v>-15925832.251185518</v>
      </c>
      <c r="Q375" s="13"/>
      <c r="R375" s="14">
        <f t="shared" si="155"/>
        <v>94424.49014634415</v>
      </c>
      <c r="S375" s="12"/>
    </row>
    <row r="376" spans="1:19" ht="15.75">
      <c r="A376" s="39"/>
      <c r="B376" s="6" t="s">
        <v>156</v>
      </c>
      <c r="C376" s="65"/>
      <c r="D376" s="73"/>
      <c r="E376" s="13"/>
      <c r="F376" s="14">
        <f t="shared" si="150"/>
        <v>16577728.480162956</v>
      </c>
      <c r="G376" s="13">
        <f>-E375</f>
        <v>0</v>
      </c>
      <c r="H376" s="14">
        <f t="shared" si="151"/>
        <v>-1647612.2289774446</v>
      </c>
      <c r="I376" s="13">
        <f>+H373*$G$442/12</f>
        <v>-2018.3249804973696</v>
      </c>
      <c r="J376" s="14">
        <f t="shared" si="152"/>
        <v>-96442.81512684152</v>
      </c>
      <c r="K376" s="315"/>
      <c r="L376" s="15"/>
      <c r="M376" s="13">
        <f>-G376</f>
        <v>0</v>
      </c>
      <c r="N376" s="14">
        <f t="shared" si="153"/>
        <v>0</v>
      </c>
      <c r="O376" s="13"/>
      <c r="P376" s="14">
        <f t="shared" si="154"/>
        <v>-15925832.251185518</v>
      </c>
      <c r="Q376" s="13">
        <f>-I376</f>
        <v>2018.3249804973696</v>
      </c>
      <c r="R376" s="14">
        <f t="shared" si="155"/>
        <v>96442.81512684152</v>
      </c>
      <c r="S376" s="12"/>
    </row>
    <row r="377" spans="1:19" ht="15.75">
      <c r="A377" s="39" t="s">
        <v>51</v>
      </c>
      <c r="B377" s="6" t="s">
        <v>150</v>
      </c>
      <c r="C377" s="65"/>
      <c r="D377" s="73"/>
      <c r="E377" s="13"/>
      <c r="F377" s="14">
        <f t="shared" si="150"/>
        <v>16577728.480162956</v>
      </c>
      <c r="G377" s="29"/>
      <c r="H377" s="14">
        <f t="shared" si="151"/>
        <v>-1647612.2289774446</v>
      </c>
      <c r="I377" s="47"/>
      <c r="J377" s="14">
        <f t="shared" si="152"/>
        <v>-96442.81512684152</v>
      </c>
      <c r="K377" s="315"/>
      <c r="L377" s="15"/>
      <c r="M377" s="13"/>
      <c r="N377" s="14">
        <f t="shared" si="153"/>
        <v>0</v>
      </c>
      <c r="O377" s="13">
        <f>-G377</f>
        <v>0</v>
      </c>
      <c r="P377" s="14">
        <f t="shared" si="154"/>
        <v>-15925832.251185518</v>
      </c>
      <c r="Q377" s="13"/>
      <c r="R377" s="14">
        <f t="shared" si="155"/>
        <v>96442.81512684152</v>
      </c>
      <c r="S377" s="12"/>
    </row>
    <row r="378" spans="1:19" ht="15.75">
      <c r="A378" s="39"/>
      <c r="B378" s="6" t="s">
        <v>154</v>
      </c>
      <c r="C378" s="65"/>
      <c r="D378" s="73"/>
      <c r="E378" s="13"/>
      <c r="F378" s="14">
        <f t="shared" si="150"/>
        <v>16577728.480162956</v>
      </c>
      <c r="G378" s="13"/>
      <c r="H378" s="14">
        <f t="shared" si="151"/>
        <v>-1647612.2289774446</v>
      </c>
      <c r="I378" s="47"/>
      <c r="J378" s="14">
        <f t="shared" si="152"/>
        <v>-96442.81512684152</v>
      </c>
      <c r="K378" s="315"/>
      <c r="L378" s="15"/>
      <c r="M378" s="13">
        <f>-E378</f>
        <v>0</v>
      </c>
      <c r="N378" s="14">
        <f t="shared" si="153"/>
        <v>0</v>
      </c>
      <c r="O378" s="13"/>
      <c r="P378" s="14">
        <f t="shared" si="154"/>
        <v>-15925832.251185518</v>
      </c>
      <c r="Q378" s="13"/>
      <c r="R378" s="14">
        <f t="shared" si="155"/>
        <v>96442.81512684152</v>
      </c>
      <c r="S378" s="12"/>
    </row>
    <row r="379" spans="1:19" ht="15.75">
      <c r="A379" s="39" t="s">
        <v>112</v>
      </c>
      <c r="B379" s="6" t="s">
        <v>156</v>
      </c>
      <c r="C379" s="65"/>
      <c r="D379" s="73"/>
      <c r="E379" s="13"/>
      <c r="F379" s="14">
        <f t="shared" si="150"/>
        <v>16577728.480162956</v>
      </c>
      <c r="G379" s="13">
        <f>-E378</f>
        <v>0</v>
      </c>
      <c r="H379" s="14">
        <f t="shared" si="151"/>
        <v>-1647612.2289774446</v>
      </c>
      <c r="I379" s="13">
        <f>+H376*$G$442/12</f>
        <v>-2018.3249804973696</v>
      </c>
      <c r="J379" s="14">
        <f t="shared" si="152"/>
        <v>-98461.1401073389</v>
      </c>
      <c r="K379" s="315"/>
      <c r="L379" s="15"/>
      <c r="M379" s="13">
        <f>-G379</f>
        <v>0</v>
      </c>
      <c r="N379" s="14">
        <f t="shared" si="153"/>
        <v>0</v>
      </c>
      <c r="O379" s="13"/>
      <c r="P379" s="14">
        <f t="shared" si="154"/>
        <v>-15925832.251185518</v>
      </c>
      <c r="Q379" s="13">
        <f>-I379</f>
        <v>2018.3249804973696</v>
      </c>
      <c r="R379" s="14">
        <f t="shared" si="155"/>
        <v>98461.1401073389</v>
      </c>
      <c r="S379" s="12"/>
    </row>
    <row r="380" spans="1:19" ht="15.75">
      <c r="A380" s="39" t="s">
        <v>52</v>
      </c>
      <c r="B380" s="6" t="s">
        <v>150</v>
      </c>
      <c r="C380" s="65"/>
      <c r="D380" s="73"/>
      <c r="E380" s="13"/>
      <c r="F380" s="14">
        <f t="shared" si="150"/>
        <v>16577728.480162956</v>
      </c>
      <c r="G380" s="29"/>
      <c r="H380" s="14">
        <f t="shared" si="151"/>
        <v>-1647612.2289774446</v>
      </c>
      <c r="I380" s="47"/>
      <c r="J380" s="14">
        <f t="shared" si="152"/>
        <v>-98461.1401073389</v>
      </c>
      <c r="K380" s="315"/>
      <c r="L380" s="15"/>
      <c r="M380" s="13"/>
      <c r="N380" s="14">
        <f t="shared" si="153"/>
        <v>0</v>
      </c>
      <c r="O380" s="13">
        <f>-G380</f>
        <v>0</v>
      </c>
      <c r="P380" s="14">
        <f t="shared" si="154"/>
        <v>-15925832.251185518</v>
      </c>
      <c r="Q380" s="13"/>
      <c r="R380" s="14">
        <f t="shared" si="155"/>
        <v>98461.1401073389</v>
      </c>
      <c r="S380" s="12"/>
    </row>
    <row r="381" spans="1:19" ht="15.75">
      <c r="A381" s="39"/>
      <c r="B381" s="6" t="s">
        <v>154</v>
      </c>
      <c r="C381" s="65"/>
      <c r="D381" s="73"/>
      <c r="E381" s="13"/>
      <c r="F381" s="14">
        <f t="shared" si="150"/>
        <v>16577728.480162956</v>
      </c>
      <c r="G381" s="13"/>
      <c r="H381" s="14">
        <f t="shared" si="151"/>
        <v>-1647612.2289774446</v>
      </c>
      <c r="I381" s="47"/>
      <c r="J381" s="14">
        <f t="shared" si="152"/>
        <v>-98461.1401073389</v>
      </c>
      <c r="K381" s="315"/>
      <c r="L381" s="15"/>
      <c r="M381" s="13">
        <f>-E381</f>
        <v>0</v>
      </c>
      <c r="N381" s="14">
        <f t="shared" si="153"/>
        <v>0</v>
      </c>
      <c r="O381" s="13"/>
      <c r="P381" s="14">
        <f t="shared" si="154"/>
        <v>-15925832.251185518</v>
      </c>
      <c r="Q381" s="13"/>
      <c r="R381" s="14">
        <f t="shared" si="155"/>
        <v>98461.1401073389</v>
      </c>
      <c r="S381" s="12"/>
    </row>
    <row r="382" spans="1:19" ht="15.75">
      <c r="A382" s="39"/>
      <c r="B382" s="6" t="s">
        <v>156</v>
      </c>
      <c r="C382" s="65"/>
      <c r="D382" s="73"/>
      <c r="E382" s="13"/>
      <c r="F382" s="14">
        <f t="shared" si="150"/>
        <v>16577728.480162956</v>
      </c>
      <c r="G382" s="13">
        <f>-E381</f>
        <v>0</v>
      </c>
      <c r="H382" s="14">
        <f t="shared" si="151"/>
        <v>-1647612.2289774446</v>
      </c>
      <c r="I382" s="13">
        <f>+H379*$G$442/12</f>
        <v>-2018.3249804973696</v>
      </c>
      <c r="J382" s="14">
        <f t="shared" si="152"/>
        <v>-100479.46508783627</v>
      </c>
      <c r="K382" s="315"/>
      <c r="L382" s="15"/>
      <c r="M382" s="13">
        <f>-G382</f>
        <v>0</v>
      </c>
      <c r="N382" s="14">
        <f t="shared" si="153"/>
        <v>0</v>
      </c>
      <c r="O382" s="13"/>
      <c r="P382" s="14">
        <f t="shared" si="154"/>
        <v>-15925832.251185518</v>
      </c>
      <c r="Q382" s="13">
        <f>-I382</f>
        <v>2018.3249804973696</v>
      </c>
      <c r="R382" s="14">
        <f t="shared" si="155"/>
        <v>100479.46508783627</v>
      </c>
      <c r="S382" s="12"/>
    </row>
    <row r="383" spans="1:19" ht="15.75">
      <c r="A383" s="39" t="s">
        <v>53</v>
      </c>
      <c r="B383" s="6" t="s">
        <v>150</v>
      </c>
      <c r="C383" s="65"/>
      <c r="D383" s="73"/>
      <c r="E383" s="13"/>
      <c r="F383" s="14">
        <f aca="true" t="shared" si="156" ref="F383:F391">+F382+E383</f>
        <v>16577728.480162956</v>
      </c>
      <c r="G383" s="29"/>
      <c r="H383" s="14">
        <f aca="true" t="shared" si="157" ref="H383:H391">+H382+G383</f>
        <v>-1647612.2289774446</v>
      </c>
      <c r="I383" s="47"/>
      <c r="J383" s="14">
        <f aca="true" t="shared" si="158" ref="J383:J391">+J382+I383</f>
        <v>-100479.46508783627</v>
      </c>
      <c r="K383" s="315"/>
      <c r="L383" s="15"/>
      <c r="M383" s="13"/>
      <c r="N383" s="14">
        <f aca="true" t="shared" si="159" ref="N383:N391">+N382+M383</f>
        <v>0</v>
      </c>
      <c r="O383" s="13">
        <f>-G383</f>
        <v>0</v>
      </c>
      <c r="P383" s="14">
        <f aca="true" t="shared" si="160" ref="P383:P391">+P382+O383</f>
        <v>-15925832.251185518</v>
      </c>
      <c r="Q383" s="13"/>
      <c r="R383" s="14">
        <f aca="true" t="shared" si="161" ref="R383:R391">+R382+Q383</f>
        <v>100479.46508783627</v>
      </c>
      <c r="S383" s="12"/>
    </row>
    <row r="384" spans="1:19" ht="15.75">
      <c r="A384" s="39"/>
      <c r="B384" s="6" t="s">
        <v>154</v>
      </c>
      <c r="C384" s="65"/>
      <c r="D384" s="73"/>
      <c r="E384" s="13"/>
      <c r="F384" s="14">
        <f t="shared" si="156"/>
        <v>16577728.480162956</v>
      </c>
      <c r="G384" s="13"/>
      <c r="H384" s="14">
        <f t="shared" si="157"/>
        <v>-1647612.2289774446</v>
      </c>
      <c r="I384" s="47"/>
      <c r="J384" s="14">
        <f t="shared" si="158"/>
        <v>-100479.46508783627</v>
      </c>
      <c r="K384" s="315"/>
      <c r="L384" s="15"/>
      <c r="M384" s="13">
        <f>-E384</f>
        <v>0</v>
      </c>
      <c r="N384" s="14">
        <f t="shared" si="159"/>
        <v>0</v>
      </c>
      <c r="O384" s="13"/>
      <c r="P384" s="14">
        <f t="shared" si="160"/>
        <v>-15925832.251185518</v>
      </c>
      <c r="Q384" s="13"/>
      <c r="R384" s="14">
        <f t="shared" si="161"/>
        <v>100479.46508783627</v>
      </c>
      <c r="S384" s="12"/>
    </row>
    <row r="385" spans="1:19" ht="15.75">
      <c r="A385" s="39"/>
      <c r="B385" s="6" t="s">
        <v>156</v>
      </c>
      <c r="C385" s="65"/>
      <c r="D385" s="73"/>
      <c r="E385" s="13"/>
      <c r="F385" s="14">
        <f t="shared" si="156"/>
        <v>16577728.480162956</v>
      </c>
      <c r="G385" s="13">
        <f>-E384</f>
        <v>0</v>
      </c>
      <c r="H385" s="14">
        <f t="shared" si="157"/>
        <v>-1647612.2289774446</v>
      </c>
      <c r="I385" s="13">
        <f>+H382*$G$442/12</f>
        <v>-2018.3249804973696</v>
      </c>
      <c r="J385" s="14">
        <f t="shared" si="158"/>
        <v>-102497.79006833365</v>
      </c>
      <c r="K385" s="315"/>
      <c r="L385" s="15"/>
      <c r="M385" s="13">
        <f>-G385</f>
        <v>0</v>
      </c>
      <c r="N385" s="14">
        <f t="shared" si="159"/>
        <v>0</v>
      </c>
      <c r="O385" s="13"/>
      <c r="P385" s="14">
        <f t="shared" si="160"/>
        <v>-15925832.251185518</v>
      </c>
      <c r="Q385" s="13">
        <f>-I385</f>
        <v>2018.3249804973696</v>
      </c>
      <c r="R385" s="14">
        <f t="shared" si="161"/>
        <v>102497.79006833365</v>
      </c>
      <c r="S385" s="12"/>
    </row>
    <row r="386" spans="1:19" ht="15.75">
      <c r="A386" s="39" t="s">
        <v>54</v>
      </c>
      <c r="B386" s="6" t="s">
        <v>150</v>
      </c>
      <c r="C386" s="65"/>
      <c r="D386" s="73"/>
      <c r="E386" s="13"/>
      <c r="F386" s="14">
        <f t="shared" si="156"/>
        <v>16577728.480162956</v>
      </c>
      <c r="G386" s="29"/>
      <c r="H386" s="14">
        <f t="shared" si="157"/>
        <v>-1647612.2289774446</v>
      </c>
      <c r="I386" s="47"/>
      <c r="J386" s="14">
        <f t="shared" si="158"/>
        <v>-102497.79006833365</v>
      </c>
      <c r="K386" s="315"/>
      <c r="L386" s="15"/>
      <c r="M386" s="13"/>
      <c r="N386" s="14">
        <f t="shared" si="159"/>
        <v>0</v>
      </c>
      <c r="O386" s="13">
        <f>-G386</f>
        <v>0</v>
      </c>
      <c r="P386" s="14">
        <f t="shared" si="160"/>
        <v>-15925832.251185518</v>
      </c>
      <c r="Q386" s="13"/>
      <c r="R386" s="14">
        <f t="shared" si="161"/>
        <v>102497.79006833365</v>
      </c>
      <c r="S386" s="12"/>
    </row>
    <row r="387" spans="1:19" ht="15.75">
      <c r="A387" s="39"/>
      <c r="B387" s="6" t="s">
        <v>154</v>
      </c>
      <c r="C387" s="65"/>
      <c r="D387" s="73"/>
      <c r="E387" s="13"/>
      <c r="F387" s="14">
        <f t="shared" si="156"/>
        <v>16577728.480162956</v>
      </c>
      <c r="G387" s="13"/>
      <c r="H387" s="14">
        <f t="shared" si="157"/>
        <v>-1647612.2289774446</v>
      </c>
      <c r="I387" s="47"/>
      <c r="J387" s="14">
        <f t="shared" si="158"/>
        <v>-102497.79006833365</v>
      </c>
      <c r="K387" s="315"/>
      <c r="L387" s="15"/>
      <c r="M387" s="13">
        <f>-E387</f>
        <v>0</v>
      </c>
      <c r="N387" s="14">
        <f t="shared" si="159"/>
        <v>0</v>
      </c>
      <c r="O387" s="13"/>
      <c r="P387" s="14">
        <f t="shared" si="160"/>
        <v>-15925832.251185518</v>
      </c>
      <c r="Q387" s="13"/>
      <c r="R387" s="14">
        <f t="shared" si="161"/>
        <v>102497.79006833365</v>
      </c>
      <c r="S387" s="12"/>
    </row>
    <row r="388" spans="1:19" ht="15.75">
      <c r="A388" s="39"/>
      <c r="B388" s="6" t="s">
        <v>156</v>
      </c>
      <c r="C388" s="65"/>
      <c r="D388" s="73"/>
      <c r="E388" s="13"/>
      <c r="F388" s="14">
        <f t="shared" si="156"/>
        <v>16577728.480162956</v>
      </c>
      <c r="G388" s="13">
        <f>-E387</f>
        <v>0</v>
      </c>
      <c r="H388" s="14">
        <f t="shared" si="157"/>
        <v>-1647612.2289774446</v>
      </c>
      <c r="I388" s="13">
        <f>+H385*$G$442/12</f>
        <v>-2018.3249804973696</v>
      </c>
      <c r="J388" s="14">
        <f t="shared" si="158"/>
        <v>-104516.11504883102</v>
      </c>
      <c r="K388" s="315"/>
      <c r="L388" s="15"/>
      <c r="M388" s="13">
        <f>-G388</f>
        <v>0</v>
      </c>
      <c r="N388" s="14">
        <f t="shared" si="159"/>
        <v>0</v>
      </c>
      <c r="O388" s="13"/>
      <c r="P388" s="14">
        <f t="shared" si="160"/>
        <v>-15925832.251185518</v>
      </c>
      <c r="Q388" s="13">
        <f>-I388</f>
        <v>2018.3249804973696</v>
      </c>
      <c r="R388" s="14">
        <f t="shared" si="161"/>
        <v>104516.11504883102</v>
      </c>
      <c r="S388" s="12"/>
    </row>
    <row r="389" spans="1:19" ht="15.75">
      <c r="A389" s="39" t="s">
        <v>55</v>
      </c>
      <c r="B389" s="6" t="s">
        <v>150</v>
      </c>
      <c r="C389" s="65"/>
      <c r="D389" s="73"/>
      <c r="E389" s="13"/>
      <c r="F389" s="14">
        <f t="shared" si="156"/>
        <v>16577728.480162956</v>
      </c>
      <c r="G389" s="29"/>
      <c r="H389" s="14">
        <f t="shared" si="157"/>
        <v>-1647612.2289774446</v>
      </c>
      <c r="I389" s="47"/>
      <c r="J389" s="14">
        <f t="shared" si="158"/>
        <v>-104516.11504883102</v>
      </c>
      <c r="K389" s="315"/>
      <c r="L389" s="15"/>
      <c r="M389" s="13"/>
      <c r="N389" s="14">
        <f t="shared" si="159"/>
        <v>0</v>
      </c>
      <c r="O389" s="13">
        <f>-G389</f>
        <v>0</v>
      </c>
      <c r="P389" s="14">
        <f t="shared" si="160"/>
        <v>-15925832.251185518</v>
      </c>
      <c r="Q389" s="13"/>
      <c r="R389" s="14">
        <f t="shared" si="161"/>
        <v>104516.11504883102</v>
      </c>
      <c r="S389" s="12"/>
    </row>
    <row r="390" spans="1:19" ht="15.75">
      <c r="A390" s="39"/>
      <c r="B390" s="6" t="s">
        <v>154</v>
      </c>
      <c r="C390" s="65"/>
      <c r="D390" s="73"/>
      <c r="E390" s="13"/>
      <c r="F390" s="14">
        <f t="shared" si="156"/>
        <v>16577728.480162956</v>
      </c>
      <c r="G390" s="13"/>
      <c r="H390" s="14">
        <f t="shared" si="157"/>
        <v>-1647612.2289774446</v>
      </c>
      <c r="I390" s="47"/>
      <c r="J390" s="14">
        <f t="shared" si="158"/>
        <v>-104516.11504883102</v>
      </c>
      <c r="K390" s="315"/>
      <c r="L390" s="15"/>
      <c r="M390" s="13">
        <f>-E390</f>
        <v>0</v>
      </c>
      <c r="N390" s="14">
        <f t="shared" si="159"/>
        <v>0</v>
      </c>
      <c r="O390" s="13"/>
      <c r="P390" s="14">
        <f t="shared" si="160"/>
        <v>-15925832.251185518</v>
      </c>
      <c r="Q390" s="13"/>
      <c r="R390" s="14">
        <f t="shared" si="161"/>
        <v>104516.11504883102</v>
      </c>
      <c r="S390" s="12"/>
    </row>
    <row r="391" spans="1:19" ht="15.75">
      <c r="A391" s="39"/>
      <c r="B391" s="6" t="s">
        <v>156</v>
      </c>
      <c r="C391" s="65"/>
      <c r="D391" s="73"/>
      <c r="E391" s="13"/>
      <c r="F391" s="14">
        <f t="shared" si="156"/>
        <v>16577728.480162956</v>
      </c>
      <c r="G391" s="13">
        <f>-E390</f>
        <v>0</v>
      </c>
      <c r="H391" s="14">
        <f t="shared" si="157"/>
        <v>-1647612.2289774446</v>
      </c>
      <c r="I391" s="13">
        <f>+H388*$G$442/12</f>
        <v>-2018.3249804973696</v>
      </c>
      <c r="J391" s="14">
        <f t="shared" si="158"/>
        <v>-106534.4400293284</v>
      </c>
      <c r="K391" s="315"/>
      <c r="L391" s="15"/>
      <c r="M391" s="13">
        <f>-G391</f>
        <v>0</v>
      </c>
      <c r="N391" s="14">
        <f t="shared" si="159"/>
        <v>0</v>
      </c>
      <c r="O391" s="13"/>
      <c r="P391" s="14">
        <f t="shared" si="160"/>
        <v>-15925832.251185518</v>
      </c>
      <c r="Q391" s="13">
        <f>-I391</f>
        <v>2018.3249804973696</v>
      </c>
      <c r="R391" s="14">
        <f t="shared" si="161"/>
        <v>106534.4400293284</v>
      </c>
      <c r="S391" s="12"/>
    </row>
    <row r="392" spans="1:19" ht="15.75">
      <c r="A392" s="39" t="s">
        <v>44</v>
      </c>
      <c r="B392" s="6" t="s">
        <v>150</v>
      </c>
      <c r="C392" s="65"/>
      <c r="D392" s="73"/>
      <c r="E392" s="13"/>
      <c r="F392" s="14">
        <f aca="true" t="shared" si="162" ref="F392:F409">+F391+E392</f>
        <v>16577728.480162956</v>
      </c>
      <c r="G392" s="29"/>
      <c r="H392" s="14">
        <f aca="true" t="shared" si="163" ref="H392:H409">+H391+G392</f>
        <v>-1647612.2289774446</v>
      </c>
      <c r="I392" s="47"/>
      <c r="J392" s="14">
        <f aca="true" t="shared" si="164" ref="J392:J409">+J391+I392</f>
        <v>-106534.4400293284</v>
      </c>
      <c r="K392" s="315"/>
      <c r="L392" s="15"/>
      <c r="M392" s="13"/>
      <c r="N392" s="14">
        <f aca="true" t="shared" si="165" ref="N392:N409">+N391+M392</f>
        <v>0</v>
      </c>
      <c r="O392" s="13">
        <f>-G392</f>
        <v>0</v>
      </c>
      <c r="P392" s="14">
        <f aca="true" t="shared" si="166" ref="P392:P409">+P391+O392</f>
        <v>-15925832.251185518</v>
      </c>
      <c r="Q392" s="13"/>
      <c r="R392" s="14">
        <f aca="true" t="shared" si="167" ref="R392:R409">+R391+Q392</f>
        <v>106534.4400293284</v>
      </c>
      <c r="S392" s="12"/>
    </row>
    <row r="393" spans="1:19" ht="15.75">
      <c r="A393" s="39"/>
      <c r="B393" s="6" t="s">
        <v>154</v>
      </c>
      <c r="C393" s="65"/>
      <c r="D393" s="73"/>
      <c r="E393" s="13"/>
      <c r="F393" s="14">
        <f t="shared" si="162"/>
        <v>16577728.480162956</v>
      </c>
      <c r="G393" s="13"/>
      <c r="H393" s="14">
        <f t="shared" si="163"/>
        <v>-1647612.2289774446</v>
      </c>
      <c r="I393" s="47"/>
      <c r="J393" s="14">
        <f t="shared" si="164"/>
        <v>-106534.4400293284</v>
      </c>
      <c r="K393" s="315"/>
      <c r="L393" s="15"/>
      <c r="M393" s="13">
        <f>-E393</f>
        <v>0</v>
      </c>
      <c r="N393" s="14">
        <f t="shared" si="165"/>
        <v>0</v>
      </c>
      <c r="O393" s="13"/>
      <c r="P393" s="14">
        <f t="shared" si="166"/>
        <v>-15925832.251185518</v>
      </c>
      <c r="Q393" s="13"/>
      <c r="R393" s="14">
        <f t="shared" si="167"/>
        <v>106534.4400293284</v>
      </c>
      <c r="S393" s="12"/>
    </row>
    <row r="394" spans="1:19" ht="15.75">
      <c r="A394" s="39"/>
      <c r="B394" s="6" t="s">
        <v>156</v>
      </c>
      <c r="C394" s="65"/>
      <c r="D394" s="73"/>
      <c r="E394" s="13"/>
      <c r="F394" s="14">
        <f t="shared" si="162"/>
        <v>16577728.480162956</v>
      </c>
      <c r="G394" s="13">
        <f>-E393</f>
        <v>0</v>
      </c>
      <c r="H394" s="14">
        <f t="shared" si="163"/>
        <v>-1647612.2289774446</v>
      </c>
      <c r="I394" s="13">
        <f>+H391*$G$442/12</f>
        <v>-2018.3249804973696</v>
      </c>
      <c r="J394" s="14">
        <f t="shared" si="164"/>
        <v>-108552.76500982577</v>
      </c>
      <c r="K394" s="315"/>
      <c r="L394" s="15"/>
      <c r="M394" s="13">
        <f>-G394</f>
        <v>0</v>
      </c>
      <c r="N394" s="14">
        <f t="shared" si="165"/>
        <v>0</v>
      </c>
      <c r="O394" s="13"/>
      <c r="P394" s="14">
        <f t="shared" si="166"/>
        <v>-15925832.251185518</v>
      </c>
      <c r="Q394" s="13">
        <f>-I394</f>
        <v>2018.3249804973696</v>
      </c>
      <c r="R394" s="14">
        <f t="shared" si="167"/>
        <v>108552.76500982577</v>
      </c>
      <c r="S394" s="12"/>
    </row>
    <row r="395" spans="1:19" ht="15.75">
      <c r="A395" s="39" t="s">
        <v>56</v>
      </c>
      <c r="B395" s="6" t="s">
        <v>150</v>
      </c>
      <c r="C395" s="65"/>
      <c r="D395" s="73"/>
      <c r="E395" s="13"/>
      <c r="F395" s="14">
        <f t="shared" si="162"/>
        <v>16577728.480162956</v>
      </c>
      <c r="G395" s="29"/>
      <c r="H395" s="14">
        <f t="shared" si="163"/>
        <v>-1647612.2289774446</v>
      </c>
      <c r="I395" s="47"/>
      <c r="J395" s="14">
        <f t="shared" si="164"/>
        <v>-108552.76500982577</v>
      </c>
      <c r="K395" s="315"/>
      <c r="L395" s="15"/>
      <c r="M395" s="13"/>
      <c r="N395" s="14">
        <f t="shared" si="165"/>
        <v>0</v>
      </c>
      <c r="O395" s="13">
        <f>-G395</f>
        <v>0</v>
      </c>
      <c r="P395" s="14">
        <f t="shared" si="166"/>
        <v>-15925832.251185518</v>
      </c>
      <c r="Q395" s="13"/>
      <c r="R395" s="14">
        <f t="shared" si="167"/>
        <v>108552.76500982577</v>
      </c>
      <c r="S395" s="12"/>
    </row>
    <row r="396" spans="1:19" ht="15.75">
      <c r="A396" s="39"/>
      <c r="B396" s="6" t="s">
        <v>154</v>
      </c>
      <c r="C396" s="65"/>
      <c r="D396" s="73"/>
      <c r="E396" s="13"/>
      <c r="F396" s="14">
        <f t="shared" si="162"/>
        <v>16577728.480162956</v>
      </c>
      <c r="G396" s="13"/>
      <c r="H396" s="14">
        <f t="shared" si="163"/>
        <v>-1647612.2289774446</v>
      </c>
      <c r="I396" s="47"/>
      <c r="J396" s="14">
        <f t="shared" si="164"/>
        <v>-108552.76500982577</v>
      </c>
      <c r="K396" s="315"/>
      <c r="L396" s="15"/>
      <c r="M396" s="13">
        <f>-E396</f>
        <v>0</v>
      </c>
      <c r="N396" s="14">
        <f t="shared" si="165"/>
        <v>0</v>
      </c>
      <c r="O396" s="13"/>
      <c r="P396" s="14">
        <f t="shared" si="166"/>
        <v>-15925832.251185518</v>
      </c>
      <c r="Q396" s="13"/>
      <c r="R396" s="14">
        <f t="shared" si="167"/>
        <v>108552.76500982577</v>
      </c>
      <c r="S396" s="12"/>
    </row>
    <row r="397" spans="1:19" ht="15.75">
      <c r="A397" s="39"/>
      <c r="B397" s="6" t="s">
        <v>156</v>
      </c>
      <c r="C397" s="65"/>
      <c r="D397" s="73"/>
      <c r="E397" s="13"/>
      <c r="F397" s="14">
        <f t="shared" si="162"/>
        <v>16577728.480162956</v>
      </c>
      <c r="G397" s="13">
        <f>-E396</f>
        <v>0</v>
      </c>
      <c r="H397" s="14">
        <f t="shared" si="163"/>
        <v>-1647612.2289774446</v>
      </c>
      <c r="I397" s="13">
        <f>+H394*$G$442/12</f>
        <v>-2018.3249804973696</v>
      </c>
      <c r="J397" s="14">
        <f t="shared" si="164"/>
        <v>-110571.08999032315</v>
      </c>
      <c r="K397" s="315"/>
      <c r="L397" s="15"/>
      <c r="M397" s="13">
        <f>-G397</f>
        <v>0</v>
      </c>
      <c r="N397" s="14">
        <f t="shared" si="165"/>
        <v>0</v>
      </c>
      <c r="O397" s="13"/>
      <c r="P397" s="14">
        <f t="shared" si="166"/>
        <v>-15925832.251185518</v>
      </c>
      <c r="Q397" s="13">
        <f>-I397</f>
        <v>2018.3249804973696</v>
      </c>
      <c r="R397" s="14">
        <f t="shared" si="167"/>
        <v>110571.08999032315</v>
      </c>
      <c r="S397" s="12"/>
    </row>
    <row r="398" spans="1:19" ht="15.75">
      <c r="A398" s="39" t="s">
        <v>46</v>
      </c>
      <c r="B398" s="6" t="s">
        <v>150</v>
      </c>
      <c r="C398" s="65"/>
      <c r="D398" s="73"/>
      <c r="E398" s="13"/>
      <c r="F398" s="14">
        <f t="shared" si="162"/>
        <v>16577728.480162956</v>
      </c>
      <c r="G398" s="29"/>
      <c r="H398" s="14">
        <f t="shared" si="163"/>
        <v>-1647612.2289774446</v>
      </c>
      <c r="I398" s="47"/>
      <c r="J398" s="14">
        <f t="shared" si="164"/>
        <v>-110571.08999032315</v>
      </c>
      <c r="K398" s="315"/>
      <c r="L398" s="15"/>
      <c r="M398" s="13"/>
      <c r="N398" s="14">
        <f t="shared" si="165"/>
        <v>0</v>
      </c>
      <c r="O398" s="13">
        <f>-G398</f>
        <v>0</v>
      </c>
      <c r="P398" s="14">
        <f t="shared" si="166"/>
        <v>-15925832.251185518</v>
      </c>
      <c r="Q398" s="13"/>
      <c r="R398" s="14">
        <f t="shared" si="167"/>
        <v>110571.08999032315</v>
      </c>
      <c r="S398" s="12"/>
    </row>
    <row r="399" spans="1:19" ht="15.75">
      <c r="A399" s="39"/>
      <c r="B399" s="6" t="s">
        <v>154</v>
      </c>
      <c r="C399" s="65"/>
      <c r="D399" s="73"/>
      <c r="E399" s="13"/>
      <c r="F399" s="14">
        <f t="shared" si="162"/>
        <v>16577728.480162956</v>
      </c>
      <c r="G399" s="13"/>
      <c r="H399" s="14">
        <f t="shared" si="163"/>
        <v>-1647612.2289774446</v>
      </c>
      <c r="I399" s="47"/>
      <c r="J399" s="14">
        <f t="shared" si="164"/>
        <v>-110571.08999032315</v>
      </c>
      <c r="K399" s="315"/>
      <c r="L399" s="15"/>
      <c r="M399" s="13">
        <f>-E399</f>
        <v>0</v>
      </c>
      <c r="N399" s="14">
        <f t="shared" si="165"/>
        <v>0</v>
      </c>
      <c r="O399" s="13"/>
      <c r="P399" s="14">
        <f t="shared" si="166"/>
        <v>-15925832.251185518</v>
      </c>
      <c r="Q399" s="13"/>
      <c r="R399" s="14">
        <f t="shared" si="167"/>
        <v>110571.08999032315</v>
      </c>
      <c r="S399" s="12"/>
    </row>
    <row r="400" spans="1:19" ht="15.75">
      <c r="A400" s="39"/>
      <c r="B400" s="6" t="s">
        <v>156</v>
      </c>
      <c r="C400" s="65"/>
      <c r="D400" s="73"/>
      <c r="E400" s="13"/>
      <c r="F400" s="14">
        <f t="shared" si="162"/>
        <v>16577728.480162956</v>
      </c>
      <c r="G400" s="13">
        <f>-E399</f>
        <v>0</v>
      </c>
      <c r="H400" s="14">
        <f t="shared" si="163"/>
        <v>-1647612.2289774446</v>
      </c>
      <c r="I400" s="13">
        <f>+H397*$G$442/12</f>
        <v>-2018.3249804973696</v>
      </c>
      <c r="J400" s="77">
        <f t="shared" si="164"/>
        <v>-112589.41497082052</v>
      </c>
      <c r="K400" s="320">
        <f>+J400-J364</f>
        <v>-24219.899765968497</v>
      </c>
      <c r="L400" s="15"/>
      <c r="M400" s="13">
        <f>-G400</f>
        <v>0</v>
      </c>
      <c r="N400" s="14">
        <f t="shared" si="165"/>
        <v>0</v>
      </c>
      <c r="O400" s="13"/>
      <c r="P400" s="14">
        <f t="shared" si="166"/>
        <v>-15925832.251185518</v>
      </c>
      <c r="Q400" s="13">
        <f>-I400</f>
        <v>2018.3249804973696</v>
      </c>
      <c r="R400" s="14">
        <f t="shared" si="167"/>
        <v>112589.41497082052</v>
      </c>
      <c r="S400" s="12"/>
    </row>
    <row r="401" spans="1:19" ht="15.75">
      <c r="A401" s="78" t="s">
        <v>117</v>
      </c>
      <c r="B401" s="6" t="s">
        <v>150</v>
      </c>
      <c r="C401" s="65"/>
      <c r="D401" s="73"/>
      <c r="E401" s="13"/>
      <c r="F401" s="14">
        <f t="shared" si="162"/>
        <v>16577728.480162956</v>
      </c>
      <c r="G401" s="29"/>
      <c r="H401" s="14">
        <f t="shared" si="163"/>
        <v>-1647612.2289774446</v>
      </c>
      <c r="I401" s="47"/>
      <c r="J401" s="14">
        <f t="shared" si="164"/>
        <v>-112589.41497082052</v>
      </c>
      <c r="K401" s="315"/>
      <c r="L401" s="15"/>
      <c r="M401" s="13"/>
      <c r="N401" s="14">
        <f t="shared" si="165"/>
        <v>0</v>
      </c>
      <c r="O401" s="13">
        <f>-G401</f>
        <v>0</v>
      </c>
      <c r="P401" s="14">
        <f t="shared" si="166"/>
        <v>-15925832.251185518</v>
      </c>
      <c r="Q401" s="13"/>
      <c r="R401" s="14">
        <f t="shared" si="167"/>
        <v>112589.41497082052</v>
      </c>
      <c r="S401" s="12"/>
    </row>
    <row r="402" spans="1:19" ht="15.75">
      <c r="A402" s="39"/>
      <c r="B402" s="6" t="s">
        <v>154</v>
      </c>
      <c r="C402" s="65"/>
      <c r="D402" s="73"/>
      <c r="E402" s="13"/>
      <c r="F402" s="14">
        <f t="shared" si="162"/>
        <v>16577728.480162956</v>
      </c>
      <c r="G402" s="13"/>
      <c r="H402" s="14">
        <f t="shared" si="163"/>
        <v>-1647612.2289774446</v>
      </c>
      <c r="I402" s="47"/>
      <c r="J402" s="14">
        <f t="shared" si="164"/>
        <v>-112589.41497082052</v>
      </c>
      <c r="K402" s="315"/>
      <c r="L402" s="15"/>
      <c r="M402" s="13">
        <f>-E402</f>
        <v>0</v>
      </c>
      <c r="N402" s="14">
        <f t="shared" si="165"/>
        <v>0</v>
      </c>
      <c r="O402" s="13"/>
      <c r="P402" s="14">
        <f t="shared" si="166"/>
        <v>-15925832.251185518</v>
      </c>
      <c r="Q402" s="13"/>
      <c r="R402" s="14">
        <f t="shared" si="167"/>
        <v>112589.41497082052</v>
      </c>
      <c r="S402" s="12"/>
    </row>
    <row r="403" spans="1:19" ht="15.75">
      <c r="A403" s="39"/>
      <c r="B403" s="6" t="s">
        <v>156</v>
      </c>
      <c r="C403" s="65"/>
      <c r="D403" s="73"/>
      <c r="E403" s="13"/>
      <c r="F403" s="14">
        <f t="shared" si="162"/>
        <v>16577728.480162956</v>
      </c>
      <c r="G403" s="13">
        <f>-E402</f>
        <v>0</v>
      </c>
      <c r="H403" s="14">
        <f t="shared" si="163"/>
        <v>-1647612.2289774446</v>
      </c>
      <c r="I403" s="13">
        <f>+H400*$G$442/12</f>
        <v>-2018.3249804973696</v>
      </c>
      <c r="J403" s="14">
        <f t="shared" si="164"/>
        <v>-114607.7399513179</v>
      </c>
      <c r="K403" s="315"/>
      <c r="L403" s="15"/>
      <c r="M403" s="13">
        <f>-G403</f>
        <v>0</v>
      </c>
      <c r="N403" s="14">
        <f t="shared" si="165"/>
        <v>0</v>
      </c>
      <c r="O403" s="13"/>
      <c r="P403" s="14">
        <f t="shared" si="166"/>
        <v>-15925832.251185518</v>
      </c>
      <c r="Q403" s="13">
        <f>-I403</f>
        <v>2018.3249804973696</v>
      </c>
      <c r="R403" s="14">
        <f t="shared" si="167"/>
        <v>114607.7399513179</v>
      </c>
      <c r="S403" s="12"/>
    </row>
    <row r="404" spans="1:19" ht="15.75">
      <c r="A404" s="39" t="s">
        <v>48</v>
      </c>
      <c r="B404" s="6" t="s">
        <v>150</v>
      </c>
      <c r="C404" s="65"/>
      <c r="D404" s="73"/>
      <c r="E404" s="13"/>
      <c r="F404" s="14">
        <f t="shared" si="162"/>
        <v>16577728.480162956</v>
      </c>
      <c r="G404" s="29"/>
      <c r="H404" s="14">
        <f t="shared" si="163"/>
        <v>-1647612.2289774446</v>
      </c>
      <c r="I404" s="47"/>
      <c r="J404" s="14">
        <f t="shared" si="164"/>
        <v>-114607.7399513179</v>
      </c>
      <c r="K404" s="315"/>
      <c r="L404" s="15"/>
      <c r="M404" s="13"/>
      <c r="N404" s="14">
        <f t="shared" si="165"/>
        <v>0</v>
      </c>
      <c r="O404" s="13">
        <f>-G404</f>
        <v>0</v>
      </c>
      <c r="P404" s="14">
        <f t="shared" si="166"/>
        <v>-15925832.251185518</v>
      </c>
      <c r="Q404" s="13"/>
      <c r="R404" s="14">
        <f t="shared" si="167"/>
        <v>114607.7399513179</v>
      </c>
      <c r="S404" s="12"/>
    </row>
    <row r="405" spans="1:19" ht="15.75">
      <c r="A405" s="39"/>
      <c r="B405" s="6" t="s">
        <v>154</v>
      </c>
      <c r="C405" s="65"/>
      <c r="D405" s="73"/>
      <c r="E405" s="13"/>
      <c r="F405" s="14">
        <f t="shared" si="162"/>
        <v>16577728.480162956</v>
      </c>
      <c r="G405" s="13"/>
      <c r="H405" s="14">
        <f t="shared" si="163"/>
        <v>-1647612.2289774446</v>
      </c>
      <c r="I405" s="47"/>
      <c r="J405" s="14">
        <f t="shared" si="164"/>
        <v>-114607.7399513179</v>
      </c>
      <c r="K405" s="315"/>
      <c r="L405" s="15"/>
      <c r="M405" s="13">
        <f>-E405</f>
        <v>0</v>
      </c>
      <c r="N405" s="14">
        <f t="shared" si="165"/>
        <v>0</v>
      </c>
      <c r="O405" s="13"/>
      <c r="P405" s="14">
        <f t="shared" si="166"/>
        <v>-15925832.251185518</v>
      </c>
      <c r="Q405" s="13"/>
      <c r="R405" s="14">
        <f t="shared" si="167"/>
        <v>114607.7399513179</v>
      </c>
      <c r="S405" s="12"/>
    </row>
    <row r="406" spans="1:19" ht="15.75">
      <c r="A406" s="39"/>
      <c r="B406" s="6" t="s">
        <v>156</v>
      </c>
      <c r="C406" s="65"/>
      <c r="D406" s="73"/>
      <c r="E406" s="13"/>
      <c r="F406" s="14">
        <f t="shared" si="162"/>
        <v>16577728.480162956</v>
      </c>
      <c r="G406" s="13">
        <f>-E405</f>
        <v>0</v>
      </c>
      <c r="H406" s="14">
        <f t="shared" si="163"/>
        <v>-1647612.2289774446</v>
      </c>
      <c r="I406" s="13">
        <f>+H403*$G$442/12</f>
        <v>-2018.3249804973696</v>
      </c>
      <c r="J406" s="14">
        <f t="shared" si="164"/>
        <v>-116626.06493181527</v>
      </c>
      <c r="K406" s="315"/>
      <c r="L406" s="15"/>
      <c r="M406" s="13">
        <f>-G406</f>
        <v>0</v>
      </c>
      <c r="N406" s="14">
        <f t="shared" si="165"/>
        <v>0</v>
      </c>
      <c r="O406" s="13"/>
      <c r="P406" s="14">
        <f t="shared" si="166"/>
        <v>-15925832.251185518</v>
      </c>
      <c r="Q406" s="13">
        <f>-I406</f>
        <v>2018.3249804973696</v>
      </c>
      <c r="R406" s="14">
        <f t="shared" si="167"/>
        <v>116626.06493181527</v>
      </c>
      <c r="S406" s="12"/>
    </row>
    <row r="407" spans="1:19" ht="15.75">
      <c r="A407" s="39" t="s">
        <v>49</v>
      </c>
      <c r="B407" s="6" t="s">
        <v>150</v>
      </c>
      <c r="C407" s="65"/>
      <c r="D407" s="73"/>
      <c r="E407" s="13"/>
      <c r="F407" s="14">
        <f t="shared" si="162"/>
        <v>16577728.480162956</v>
      </c>
      <c r="G407" s="29"/>
      <c r="H407" s="14">
        <f t="shared" si="163"/>
        <v>-1647612.2289774446</v>
      </c>
      <c r="I407" s="47"/>
      <c r="J407" s="14">
        <f t="shared" si="164"/>
        <v>-116626.06493181527</v>
      </c>
      <c r="K407" s="315"/>
      <c r="L407" s="15"/>
      <c r="M407" s="13"/>
      <c r="N407" s="14">
        <f t="shared" si="165"/>
        <v>0</v>
      </c>
      <c r="O407" s="13">
        <f>-G407</f>
        <v>0</v>
      </c>
      <c r="P407" s="14">
        <f t="shared" si="166"/>
        <v>-15925832.251185518</v>
      </c>
      <c r="Q407" s="13"/>
      <c r="R407" s="14">
        <f t="shared" si="167"/>
        <v>116626.06493181527</v>
      </c>
      <c r="S407" s="12"/>
    </row>
    <row r="408" spans="1:19" ht="15.75">
      <c r="A408" s="39"/>
      <c r="B408" s="6" t="s">
        <v>154</v>
      </c>
      <c r="C408" s="65"/>
      <c r="D408" s="73"/>
      <c r="E408" s="13"/>
      <c r="F408" s="14">
        <f t="shared" si="162"/>
        <v>16577728.480162956</v>
      </c>
      <c r="G408" s="13"/>
      <c r="H408" s="14">
        <f t="shared" si="163"/>
        <v>-1647612.2289774446</v>
      </c>
      <c r="I408" s="47"/>
      <c r="J408" s="14">
        <f t="shared" si="164"/>
        <v>-116626.06493181527</v>
      </c>
      <c r="K408" s="315"/>
      <c r="L408" s="15"/>
      <c r="M408" s="13">
        <f>-E408</f>
        <v>0</v>
      </c>
      <c r="N408" s="14">
        <f t="shared" si="165"/>
        <v>0</v>
      </c>
      <c r="O408" s="13"/>
      <c r="P408" s="14">
        <f t="shared" si="166"/>
        <v>-15925832.251185518</v>
      </c>
      <c r="Q408" s="13"/>
      <c r="R408" s="14">
        <f t="shared" si="167"/>
        <v>116626.06493181527</v>
      </c>
      <c r="S408" s="12"/>
    </row>
    <row r="409" spans="1:19" ht="15.75">
      <c r="A409" s="39"/>
      <c r="B409" s="6" t="s">
        <v>156</v>
      </c>
      <c r="C409" s="65"/>
      <c r="D409" s="73"/>
      <c r="E409" s="13"/>
      <c r="F409" s="14">
        <f t="shared" si="162"/>
        <v>16577728.480162956</v>
      </c>
      <c r="G409" s="13">
        <f>-E408</f>
        <v>0</v>
      </c>
      <c r="H409" s="14">
        <f t="shared" si="163"/>
        <v>-1647612.2289774446</v>
      </c>
      <c r="I409" s="13">
        <f>+H406*$G$442/12</f>
        <v>-2018.3249804973696</v>
      </c>
      <c r="J409" s="14">
        <f t="shared" si="164"/>
        <v>-118644.38991231265</v>
      </c>
      <c r="K409" s="315"/>
      <c r="L409" s="15"/>
      <c r="M409" s="13">
        <f>-G409</f>
        <v>0</v>
      </c>
      <c r="N409" s="14">
        <f t="shared" si="165"/>
        <v>0</v>
      </c>
      <c r="O409" s="13"/>
      <c r="P409" s="14">
        <f t="shared" si="166"/>
        <v>-15925832.251185518</v>
      </c>
      <c r="Q409" s="13">
        <f>-I409</f>
        <v>2018.3249804973696</v>
      </c>
      <c r="R409" s="14">
        <f t="shared" si="167"/>
        <v>118644.38991231265</v>
      </c>
      <c r="S409" s="12"/>
    </row>
    <row r="410" spans="1:19" ht="15.75">
      <c r="A410" s="39" t="s">
        <v>50</v>
      </c>
      <c r="B410" s="6" t="s">
        <v>150</v>
      </c>
      <c r="C410" s="65"/>
      <c r="D410" s="73"/>
      <c r="E410" s="13"/>
      <c r="F410" s="14">
        <f>+F409+E410</f>
        <v>16577728.480162956</v>
      </c>
      <c r="G410" s="29"/>
      <c r="H410" s="14">
        <f>+H409+G410</f>
        <v>-1647612.2289774446</v>
      </c>
      <c r="I410" s="47"/>
      <c r="J410" s="14">
        <f>+J409+I410</f>
        <v>-118644.38991231265</v>
      </c>
      <c r="K410" s="315"/>
      <c r="L410" s="15"/>
      <c r="M410" s="13"/>
      <c r="N410" s="14">
        <f>+N409+M410</f>
        <v>0</v>
      </c>
      <c r="O410" s="13">
        <f>-G410</f>
        <v>0</v>
      </c>
      <c r="P410" s="14">
        <f>+P409+O410</f>
        <v>-15925832.251185518</v>
      </c>
      <c r="Q410" s="13"/>
      <c r="R410" s="14">
        <f>+R409+Q410</f>
        <v>118644.38991231265</v>
      </c>
      <c r="S410" s="12"/>
    </row>
    <row r="411" spans="1:19" ht="15.75">
      <c r="A411" s="39"/>
      <c r="B411" s="6" t="s">
        <v>154</v>
      </c>
      <c r="C411" s="65"/>
      <c r="D411" s="73"/>
      <c r="E411" s="13"/>
      <c r="F411" s="14">
        <f>+F410+E411</f>
        <v>16577728.480162956</v>
      </c>
      <c r="G411" s="13"/>
      <c r="H411" s="14">
        <f>+H410+G411</f>
        <v>-1647612.2289774446</v>
      </c>
      <c r="I411" s="47"/>
      <c r="J411" s="14">
        <f>+J410+I411</f>
        <v>-118644.38991231265</v>
      </c>
      <c r="K411" s="315"/>
      <c r="L411" s="15"/>
      <c r="M411" s="13">
        <f>-E411</f>
        <v>0</v>
      </c>
      <c r="N411" s="14">
        <f>+N410+M411</f>
        <v>0</v>
      </c>
      <c r="O411" s="13"/>
      <c r="P411" s="14">
        <f>+P410+O411</f>
        <v>-15925832.251185518</v>
      </c>
      <c r="Q411" s="13"/>
      <c r="R411" s="14">
        <f>+R410+Q411</f>
        <v>118644.38991231265</v>
      </c>
      <c r="S411" s="12"/>
    </row>
    <row r="412" spans="1:19" ht="15.75">
      <c r="A412" s="39"/>
      <c r="B412" s="6" t="s">
        <v>156</v>
      </c>
      <c r="C412" s="65"/>
      <c r="D412" s="73"/>
      <c r="E412" s="13"/>
      <c r="F412" s="14">
        <f>+F411+E412</f>
        <v>16577728.480162956</v>
      </c>
      <c r="G412" s="13">
        <f>-E411</f>
        <v>0</v>
      </c>
      <c r="H412" s="14">
        <f>+H411+G412</f>
        <v>-1647612.2289774446</v>
      </c>
      <c r="I412" s="13">
        <f>+H409*$G$442/12</f>
        <v>-2018.3249804973696</v>
      </c>
      <c r="J412" s="77">
        <f>+J411+I412</f>
        <v>-120662.71489281002</v>
      </c>
      <c r="K412" s="320">
        <f>+J412-J400</f>
        <v>-8073.299921989499</v>
      </c>
      <c r="L412" s="15"/>
      <c r="M412" s="13">
        <f>-G412</f>
        <v>0</v>
      </c>
      <c r="N412" s="14">
        <f>+N411+M412</f>
        <v>0</v>
      </c>
      <c r="O412" s="13"/>
      <c r="P412" s="14">
        <f>+P411+O412</f>
        <v>-15925832.251185518</v>
      </c>
      <c r="Q412" s="13">
        <f>-I412</f>
        <v>2018.3249804973696</v>
      </c>
      <c r="R412" s="14">
        <f>+R411+Q412</f>
        <v>120662.71489281002</v>
      </c>
      <c r="S412" s="12"/>
    </row>
    <row r="413" spans="1:19" ht="15.75">
      <c r="A413" s="39"/>
      <c r="B413" s="6"/>
      <c r="C413" s="65"/>
      <c r="D413" s="73"/>
      <c r="E413" s="13"/>
      <c r="F413" s="14"/>
      <c r="G413" s="13"/>
      <c r="H413" s="14"/>
      <c r="I413" s="47"/>
      <c r="J413" s="14"/>
      <c r="K413" s="315"/>
      <c r="L413" s="15"/>
      <c r="M413" s="13"/>
      <c r="N413" s="14"/>
      <c r="O413" s="13"/>
      <c r="P413" s="14"/>
      <c r="Q413" s="13"/>
      <c r="R413" s="14"/>
      <c r="S413" s="12"/>
    </row>
    <row r="414" spans="1:18" ht="16.5" thickBot="1">
      <c r="A414" s="39"/>
      <c r="B414" s="6"/>
      <c r="C414" s="65"/>
      <c r="D414" s="73"/>
      <c r="E414" s="13"/>
      <c r="F414" s="14"/>
      <c r="G414" s="13"/>
      <c r="H414" s="35" t="s">
        <v>25</v>
      </c>
      <c r="I414" s="13"/>
      <c r="J414" s="14"/>
      <c r="K414" s="315"/>
      <c r="L414" s="15"/>
      <c r="M414" s="13"/>
      <c r="N414" s="14"/>
      <c r="O414" s="13"/>
      <c r="P414" s="14"/>
      <c r="Q414" s="13"/>
      <c r="R414" s="14"/>
    </row>
    <row r="415" spans="1:18" ht="16.5" thickBot="1">
      <c r="A415" s="43" t="s">
        <v>25</v>
      </c>
      <c r="B415" s="7"/>
      <c r="C415" s="322">
        <f>SUM(C11:C414)</f>
        <v>16577728.480162956</v>
      </c>
      <c r="D415" s="322">
        <f>SUM(D11:D414)</f>
        <v>16915109.284166668</v>
      </c>
      <c r="E415" s="322">
        <f>SUM(E11:E414)</f>
        <v>16577728.480162956</v>
      </c>
      <c r="F415" s="323"/>
      <c r="G415" s="336">
        <f>SUM(G11:G414)</f>
        <v>-1647612.2289774446</v>
      </c>
      <c r="H415" s="337">
        <f>+G415+I415</f>
        <v>-1768274.9438702546</v>
      </c>
      <c r="I415" s="336">
        <f>SUM(I11:I414)</f>
        <v>-120662.71489281002</v>
      </c>
      <c r="J415" s="200"/>
      <c r="K415" s="200"/>
      <c r="L415" s="324">
        <f>SUM(L11:L414)</f>
        <v>0</v>
      </c>
      <c r="M415" s="322">
        <f>SUM(M11:M414)</f>
        <v>0</v>
      </c>
      <c r="N415" s="323"/>
      <c r="O415" s="322">
        <f>SUM(O11:O414)</f>
        <v>-14930116.251185518</v>
      </c>
      <c r="P415" s="323"/>
      <c r="Q415" s="322">
        <f>SUM(Q11:Q414)</f>
        <v>120662.71489281002</v>
      </c>
      <c r="R415" s="323"/>
    </row>
    <row r="416" spans="1:17" ht="15.75">
      <c r="A416" s="197"/>
      <c r="B416" s="27"/>
      <c r="C416" s="175"/>
      <c r="E416" s="28"/>
      <c r="F416" s="17"/>
      <c r="G416" s="198"/>
      <c r="H416" s="199"/>
      <c r="I416" s="198"/>
      <c r="J416" s="59"/>
      <c r="K416" s="59"/>
      <c r="O416" s="15">
        <f>+E415+G415+O415</f>
        <v>0</v>
      </c>
      <c r="Q416" s="15">
        <f>+I415+Q415</f>
        <v>0</v>
      </c>
    </row>
    <row r="417" spans="1:17" ht="15.75">
      <c r="A417" s="197"/>
      <c r="B417" s="17"/>
      <c r="E417" s="57"/>
      <c r="F417" s="57"/>
      <c r="G417" s="201"/>
      <c r="H417" s="202"/>
      <c r="I417" s="201"/>
      <c r="J417" s="58"/>
      <c r="K417" s="58"/>
      <c r="M417" s="203"/>
      <c r="N417" s="4"/>
      <c r="O417" s="205"/>
      <c r="P417" s="206"/>
      <c r="Q417" s="4"/>
    </row>
    <row r="418" spans="1:17" ht="15.75">
      <c r="A418" s="321" t="s">
        <v>165</v>
      </c>
      <c r="B418" s="17"/>
      <c r="E418" s="57"/>
      <c r="F418" s="57"/>
      <c r="G418" s="201"/>
      <c r="H418" s="202"/>
      <c r="I418" s="201"/>
      <c r="J418" s="58"/>
      <c r="K418" s="58"/>
      <c r="M418" s="203"/>
      <c r="N418" s="4"/>
      <c r="O418" s="205"/>
      <c r="P418" s="206"/>
      <c r="Q418" s="4"/>
    </row>
    <row r="419" spans="1:17" ht="15.75">
      <c r="A419" s="197"/>
      <c r="B419" s="17"/>
      <c r="E419" s="57"/>
      <c r="F419" s="52"/>
      <c r="G419" s="57"/>
      <c r="H419" s="52"/>
      <c r="I419" s="57"/>
      <c r="J419" s="60"/>
      <c r="K419" s="60"/>
      <c r="M419" s="204"/>
      <c r="N419" s="4"/>
      <c r="O419" s="201"/>
      <c r="P419" s="52"/>
      <c r="Q419" s="4"/>
    </row>
    <row r="420" spans="1:17" ht="15.75">
      <c r="A420" s="312" t="s">
        <v>11</v>
      </c>
      <c r="B420" s="1" t="s">
        <v>12</v>
      </c>
      <c r="F420" s="11">
        <v>1013161</v>
      </c>
      <c r="G420" s="9" t="s">
        <v>13</v>
      </c>
      <c r="H420" s="10">
        <v>3</v>
      </c>
      <c r="I420" s="1" t="s">
        <v>14</v>
      </c>
      <c r="J420" s="310">
        <f>+F420/H420</f>
        <v>337720.3333333333</v>
      </c>
      <c r="K420" s="61"/>
      <c r="M420" s="4"/>
      <c r="N420" s="4"/>
      <c r="O420" s="52"/>
      <c r="P420" s="52"/>
      <c r="Q420" s="4"/>
    </row>
    <row r="421" spans="1:17" ht="16.5" thickBot="1">
      <c r="A421" s="312" t="s">
        <v>16</v>
      </c>
      <c r="B421" s="1" t="s">
        <v>149</v>
      </c>
      <c r="C421" s="1" t="s">
        <v>82</v>
      </c>
      <c r="F421" s="16">
        <v>3370434</v>
      </c>
      <c r="G421" s="9" t="s">
        <v>13</v>
      </c>
      <c r="H421" s="10">
        <v>12</v>
      </c>
      <c r="I421" s="1" t="s">
        <v>14</v>
      </c>
      <c r="J421" s="311">
        <f>+F421/H421</f>
        <v>280869.5</v>
      </c>
      <c r="K421" s="61"/>
      <c r="M421" s="4"/>
      <c r="N421" s="4"/>
      <c r="O421" s="4"/>
      <c r="P421" s="4"/>
      <c r="Q421" s="4"/>
    </row>
    <row r="422" spans="1:11" ht="16.5" thickBot="1">
      <c r="A422" s="312"/>
      <c r="F422" s="20">
        <f>SUM(F420:F421)</f>
        <v>4383595</v>
      </c>
      <c r="G422" s="9"/>
      <c r="H422" s="10"/>
      <c r="J422" s="11"/>
      <c r="K422" s="62"/>
    </row>
    <row r="423" spans="1:11" ht="16.5" thickBot="1">
      <c r="A423" s="312" t="s">
        <v>71</v>
      </c>
      <c r="B423" s="1" t="s">
        <v>77</v>
      </c>
      <c r="F423" s="9" t="s">
        <v>13</v>
      </c>
      <c r="G423" s="9">
        <v>12</v>
      </c>
      <c r="H423" s="1" t="s">
        <v>14</v>
      </c>
      <c r="I423" s="9" t="s">
        <v>71</v>
      </c>
      <c r="J423" s="311">
        <f>+F422/G423</f>
        <v>365299.5833333333</v>
      </c>
      <c r="K423" s="61"/>
    </row>
    <row r="424" spans="1:11" ht="15.75">
      <c r="A424" s="312"/>
      <c r="F424" s="21"/>
      <c r="G424" s="9"/>
      <c r="H424" s="10"/>
      <c r="J424" s="338"/>
      <c r="K424" s="63"/>
    </row>
    <row r="425" spans="1:8" ht="15.75">
      <c r="A425" s="313"/>
      <c r="H425" s="26"/>
    </row>
    <row r="426" spans="1:10" ht="16.5" thickBot="1">
      <c r="A426" s="312" t="s">
        <v>99</v>
      </c>
      <c r="B426" s="1" t="s">
        <v>109</v>
      </c>
      <c r="F426" s="339">
        <v>3398387.57</v>
      </c>
      <c r="G426" s="9" t="s">
        <v>13</v>
      </c>
      <c r="H426" s="10">
        <v>12</v>
      </c>
      <c r="I426" s="1" t="s">
        <v>14</v>
      </c>
      <c r="J426" s="311">
        <f>+F426/H426</f>
        <v>283198.9641666667</v>
      </c>
    </row>
    <row r="427" spans="1:8" ht="15.75">
      <c r="A427" s="312" t="s">
        <v>18</v>
      </c>
      <c r="B427" s="1" t="s">
        <v>164</v>
      </c>
      <c r="H427" s="26"/>
    </row>
    <row r="428" spans="1:2" ht="15.75">
      <c r="A428" s="314"/>
      <c r="B428" s="17"/>
    </row>
    <row r="429" ht="16.5" thickBot="1"/>
    <row r="430" spans="1:7" ht="15.75">
      <c r="A430" s="179" t="s">
        <v>118</v>
      </c>
      <c r="B430" s="180"/>
      <c r="C430" s="181"/>
      <c r="D430" s="181"/>
      <c r="E430" s="181"/>
      <c r="F430" s="181"/>
      <c r="G430" s="182">
        <v>0.0725</v>
      </c>
    </row>
    <row r="431" spans="1:7" ht="15.75">
      <c r="A431" s="183" t="s">
        <v>119</v>
      </c>
      <c r="B431" s="184"/>
      <c r="C431" s="185"/>
      <c r="D431" s="185"/>
      <c r="E431" s="185"/>
      <c r="F431" s="185"/>
      <c r="G431" s="186">
        <v>0.0414</v>
      </c>
    </row>
    <row r="432" spans="1:7" ht="15.75">
      <c r="A432" s="183" t="s">
        <v>120</v>
      </c>
      <c r="B432" s="184"/>
      <c r="C432" s="185"/>
      <c r="D432" s="185"/>
      <c r="E432" s="185"/>
      <c r="F432" s="185"/>
      <c r="G432" s="186">
        <v>0.0459</v>
      </c>
    </row>
    <row r="433" spans="1:7" ht="15.75">
      <c r="A433" s="183" t="s">
        <v>121</v>
      </c>
      <c r="B433" s="184"/>
      <c r="C433" s="185"/>
      <c r="D433" s="185"/>
      <c r="E433" s="185"/>
      <c r="F433" s="185"/>
      <c r="G433" s="186">
        <v>0.0459</v>
      </c>
    </row>
    <row r="434" spans="1:7" ht="15.75">
      <c r="A434" s="183" t="s">
        <v>122</v>
      </c>
      <c r="B434" s="184"/>
      <c r="C434" s="185"/>
      <c r="D434" s="185"/>
      <c r="E434" s="185"/>
      <c r="F434" s="185"/>
      <c r="G434" s="186">
        <v>0.0514</v>
      </c>
    </row>
    <row r="435" spans="1:7" ht="15.75">
      <c r="A435" s="183" t="s">
        <v>123</v>
      </c>
      <c r="B435" s="184"/>
      <c r="C435" s="185"/>
      <c r="D435" s="185"/>
      <c r="E435" s="185"/>
      <c r="F435" s="185"/>
      <c r="G435" s="186">
        <v>0.0408</v>
      </c>
    </row>
    <row r="436" spans="1:7" ht="15.75">
      <c r="A436" s="183" t="s">
        <v>169</v>
      </c>
      <c r="B436" s="187"/>
      <c r="C436" s="187"/>
      <c r="D436" s="187"/>
      <c r="E436" s="187"/>
      <c r="F436" s="187"/>
      <c r="G436" s="186">
        <v>0.0335</v>
      </c>
    </row>
    <row r="437" spans="1:7" ht="15.75">
      <c r="A437" s="183" t="s">
        <v>170</v>
      </c>
      <c r="B437" s="187"/>
      <c r="C437" s="187"/>
      <c r="D437" s="187"/>
      <c r="E437" s="187"/>
      <c r="F437" s="187"/>
      <c r="G437" s="186">
        <v>0.0245</v>
      </c>
    </row>
    <row r="438" spans="1:7" ht="15.75">
      <c r="A438" s="183" t="s">
        <v>171</v>
      </c>
      <c r="B438" s="187"/>
      <c r="C438" s="187"/>
      <c r="D438" s="187"/>
      <c r="E438" s="187"/>
      <c r="F438" s="187"/>
      <c r="G438" s="186">
        <v>0.01</v>
      </c>
    </row>
    <row r="439" spans="1:7" ht="15.75">
      <c r="A439" s="183" t="s">
        <v>124</v>
      </c>
      <c r="B439" s="187"/>
      <c r="C439" s="187"/>
      <c r="D439" s="187"/>
      <c r="E439" s="187"/>
      <c r="F439" s="187"/>
      <c r="G439" s="186">
        <v>0.0055</v>
      </c>
    </row>
    <row r="440" spans="1:7" ht="15.75">
      <c r="A440" s="183" t="s">
        <v>172</v>
      </c>
      <c r="B440" s="187"/>
      <c r="C440" s="187"/>
      <c r="D440" s="187"/>
      <c r="E440" s="187"/>
      <c r="F440" s="187"/>
      <c r="G440" s="186">
        <v>0.0089</v>
      </c>
    </row>
    <row r="441" spans="1:7" ht="15.75">
      <c r="A441" s="183" t="s">
        <v>173</v>
      </c>
      <c r="B441" s="187"/>
      <c r="C441" s="187"/>
      <c r="D441" s="187"/>
      <c r="E441" s="187"/>
      <c r="F441" s="187"/>
      <c r="G441" s="186">
        <v>0.012</v>
      </c>
    </row>
    <row r="442" spans="1:7" ht="16.5" thickBot="1">
      <c r="A442" s="188" t="s">
        <v>174</v>
      </c>
      <c r="B442" s="189"/>
      <c r="C442" s="189"/>
      <c r="D442" s="189"/>
      <c r="E442" s="189"/>
      <c r="F442" s="189"/>
      <c r="G442" s="190">
        <v>0.0147</v>
      </c>
    </row>
  </sheetData>
  <sheetProtection/>
  <mergeCells count="25">
    <mergeCell ref="K5:K9"/>
    <mergeCell ref="A1:R1"/>
    <mergeCell ref="Q5:R5"/>
    <mergeCell ref="Q6:R6"/>
    <mergeCell ref="Q7:R7"/>
    <mergeCell ref="E7:F7"/>
    <mergeCell ref="G7:H7"/>
    <mergeCell ref="A3:B3"/>
    <mergeCell ref="E4:J4"/>
    <mergeCell ref="B5:B9"/>
    <mergeCell ref="A5:A9"/>
    <mergeCell ref="C5:C9"/>
    <mergeCell ref="G5:H5"/>
    <mergeCell ref="I5:J5"/>
    <mergeCell ref="I6:J6"/>
    <mergeCell ref="D5:D9"/>
    <mergeCell ref="O6:P6"/>
    <mergeCell ref="O7:P7"/>
    <mergeCell ref="E5:F5"/>
    <mergeCell ref="C4:D4"/>
    <mergeCell ref="I7:J7"/>
    <mergeCell ref="M7:N7"/>
    <mergeCell ref="M5:N5"/>
    <mergeCell ref="O5:P5"/>
    <mergeCell ref="M4:R4"/>
  </mergeCells>
  <printOptions/>
  <pageMargins left="0.2" right="0.2" top="0.24" bottom="0.28" header="0.17" footer="0.25"/>
  <pageSetup fitToHeight="0" fitToWidth="1" horizontalDpi="600" verticalDpi="600" orientation="landscape" scale="4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A1">
      <pane xSplit="1" ySplit="6" topLeftCell="B9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7" sqref="B117"/>
    </sheetView>
  </sheetViews>
  <sheetFormatPr defaultColWidth="9.140625" defaultRowHeight="12.75"/>
  <cols>
    <col min="1" max="1" width="33.7109375" style="83" bestFit="1" customWidth="1"/>
    <col min="2" max="2" width="22.140625" style="83" customWidth="1"/>
    <col min="3" max="3" width="22.00390625" style="83" customWidth="1"/>
    <col min="4" max="4" width="22.140625" style="83" customWidth="1"/>
    <col min="5" max="6" width="9.8515625" style="83" customWidth="1"/>
    <col min="7" max="16384" width="9.140625" style="83" customWidth="1"/>
  </cols>
  <sheetData>
    <row r="1" spans="1:4" ht="20.25">
      <c r="A1" s="370" t="s">
        <v>0</v>
      </c>
      <c r="B1" s="370"/>
      <c r="C1" s="370"/>
      <c r="D1" s="370"/>
    </row>
    <row r="2" ht="15.75" thickBot="1"/>
    <row r="3" spans="1:4" ht="18.75" thickBot="1">
      <c r="A3" s="371" t="s">
        <v>134</v>
      </c>
      <c r="B3" s="372"/>
      <c r="C3" s="372"/>
      <c r="D3" s="373"/>
    </row>
    <row r="5" ht="15.75" thickBot="1"/>
    <row r="6" spans="1:4" ht="16.5" thickBot="1">
      <c r="A6" s="84"/>
      <c r="B6" s="169" t="s">
        <v>131</v>
      </c>
      <c r="C6" s="123" t="s">
        <v>132</v>
      </c>
      <c r="D6" s="169" t="s">
        <v>25</v>
      </c>
    </row>
    <row r="7" spans="1:4" ht="16.5" thickBot="1">
      <c r="A7" s="85"/>
      <c r="B7" s="86"/>
      <c r="C7" s="87"/>
      <c r="D7" s="88"/>
    </row>
    <row r="8" spans="1:4" ht="16.5" thickBot="1">
      <c r="A8" s="169">
        <v>2002</v>
      </c>
      <c r="B8" s="90"/>
      <c r="C8" s="91"/>
      <c r="D8" s="96">
        <f aca="true" t="shared" si="0" ref="D8:D22">SUM(B8:C8)</f>
        <v>0</v>
      </c>
    </row>
    <row r="9" spans="1:4" ht="15.75">
      <c r="A9" s="93" t="s">
        <v>74</v>
      </c>
      <c r="B9" s="94"/>
      <c r="C9" s="95"/>
      <c r="D9" s="96">
        <f t="shared" si="0"/>
        <v>0</v>
      </c>
    </row>
    <row r="10" spans="1:4" ht="15.75">
      <c r="A10" s="93" t="s">
        <v>69</v>
      </c>
      <c r="B10" s="94"/>
      <c r="C10" s="95"/>
      <c r="D10" s="96">
        <f t="shared" si="0"/>
        <v>0</v>
      </c>
    </row>
    <row r="11" spans="1:4" ht="15.75">
      <c r="A11" s="93" t="s">
        <v>70</v>
      </c>
      <c r="B11" s="94"/>
      <c r="C11" s="95"/>
      <c r="D11" s="96">
        <f t="shared" si="0"/>
        <v>0</v>
      </c>
    </row>
    <row r="12" spans="1:4" ht="15">
      <c r="A12" s="93" t="s">
        <v>40</v>
      </c>
      <c r="B12" s="170"/>
      <c r="C12" s="171">
        <v>22952.971654433542</v>
      </c>
      <c r="D12" s="96">
        <f t="shared" si="0"/>
        <v>22952.971654433542</v>
      </c>
    </row>
    <row r="13" spans="1:4" ht="15">
      <c r="A13" s="93" t="s">
        <v>133</v>
      </c>
      <c r="B13" s="170">
        <v>214573</v>
      </c>
      <c r="C13" s="171">
        <v>95892.67643132473</v>
      </c>
      <c r="D13" s="96">
        <f t="shared" si="0"/>
        <v>310465.67643132474</v>
      </c>
    </row>
    <row r="14" spans="1:4" ht="15">
      <c r="A14" s="93" t="s">
        <v>41</v>
      </c>
      <c r="B14" s="170">
        <v>176002.88460495</v>
      </c>
      <c r="C14" s="171">
        <v>197505.72171744212</v>
      </c>
      <c r="D14" s="96">
        <f t="shared" si="0"/>
        <v>373508.6063223921</v>
      </c>
    </row>
    <row r="15" spans="1:4" ht="15">
      <c r="A15" s="93" t="s">
        <v>28</v>
      </c>
      <c r="B15" s="170">
        <v>158456.10897136</v>
      </c>
      <c r="C15" s="171">
        <v>197505.72171744212</v>
      </c>
      <c r="D15" s="96">
        <f t="shared" si="0"/>
        <v>355961.8306888021</v>
      </c>
    </row>
    <row r="16" spans="1:4" ht="15">
      <c r="A16" s="93" t="s">
        <v>29</v>
      </c>
      <c r="B16" s="170">
        <v>188751.07883946</v>
      </c>
      <c r="C16" s="171">
        <v>197505.72171744212</v>
      </c>
      <c r="D16" s="96">
        <f t="shared" si="0"/>
        <v>386256.80055690213</v>
      </c>
    </row>
    <row r="17" spans="1:4" ht="15">
      <c r="A17" s="93" t="s">
        <v>30</v>
      </c>
      <c r="B17" s="170">
        <v>172470.07280294003</v>
      </c>
      <c r="C17" s="171">
        <v>197505.72171744212</v>
      </c>
      <c r="D17" s="96">
        <f t="shared" si="0"/>
        <v>369975.7945203822</v>
      </c>
    </row>
    <row r="18" spans="1:4" ht="15">
      <c r="A18" s="93" t="s">
        <v>31</v>
      </c>
      <c r="B18" s="170">
        <v>203148.87402761003</v>
      </c>
      <c r="C18" s="171">
        <v>197507.3491950892</v>
      </c>
      <c r="D18" s="96">
        <f t="shared" si="0"/>
        <v>400656.22322269925</v>
      </c>
    </row>
    <row r="19" spans="1:4" ht="15">
      <c r="A19" s="93" t="s">
        <v>32</v>
      </c>
      <c r="B19" s="170">
        <v>169026.69533398</v>
      </c>
      <c r="C19" s="171">
        <v>170455.33910873724</v>
      </c>
      <c r="D19" s="96">
        <f t="shared" si="0"/>
        <v>339482.0344427172</v>
      </c>
    </row>
    <row r="20" spans="1:4" ht="15">
      <c r="A20" s="93" t="s">
        <v>33</v>
      </c>
      <c r="B20" s="170">
        <v>180596.29196524</v>
      </c>
      <c r="C20" s="171">
        <v>218224.85169998303</v>
      </c>
      <c r="D20" s="96">
        <f t="shared" si="0"/>
        <v>398821.14366522303</v>
      </c>
    </row>
    <row r="21" spans="1:4" ht="15">
      <c r="A21" s="93" t="s">
        <v>34</v>
      </c>
      <c r="B21" s="170">
        <v>156679.40796015</v>
      </c>
      <c r="C21" s="171">
        <v>171969.755457963</v>
      </c>
      <c r="D21" s="96">
        <f t="shared" si="0"/>
        <v>328649.163418113</v>
      </c>
    </row>
    <row r="22" spans="1:4" ht="15">
      <c r="A22" s="93" t="s">
        <v>36</v>
      </c>
      <c r="B22" s="170">
        <v>218968.39056147</v>
      </c>
      <c r="C22" s="171">
        <v>296013.55801179755</v>
      </c>
      <c r="D22" s="96">
        <f t="shared" si="0"/>
        <v>514981.94857326755</v>
      </c>
    </row>
    <row r="23" spans="1:4" ht="15">
      <c r="A23" s="97"/>
      <c r="B23" s="98"/>
      <c r="C23" s="99"/>
      <c r="D23" s="96"/>
    </row>
    <row r="24" spans="1:4" ht="15.75" thickBot="1">
      <c r="A24" s="97" t="s">
        <v>25</v>
      </c>
      <c r="B24" s="100">
        <f>SUM(B9:B23)</f>
        <v>1838672.80506716</v>
      </c>
      <c r="C24" s="100">
        <f>SUM(C9:C23)</f>
        <v>1963039.3884290967</v>
      </c>
      <c r="D24" s="100">
        <f>SUM(D9:D23)</f>
        <v>3801712.1934962566</v>
      </c>
    </row>
    <row r="25" spans="1:4" ht="15.75" thickBot="1">
      <c r="A25" s="102"/>
      <c r="B25" s="103">
        <f>+B24-'Billing kW kWh'!W21</f>
        <v>0</v>
      </c>
      <c r="C25" s="104">
        <f>+C24-'Billing Service Charge '!M23</f>
        <v>0</v>
      </c>
      <c r="D25" s="103">
        <f>+B24+C24-D24</f>
        <v>0</v>
      </c>
    </row>
    <row r="26" spans="2:4" ht="15">
      <c r="B26" s="105"/>
      <c r="C26" s="106"/>
      <c r="D26" s="105"/>
    </row>
    <row r="27" ht="15.75" thickBot="1"/>
    <row r="28" spans="1:4" ht="16.5" thickBot="1">
      <c r="A28" s="84"/>
      <c r="B28" s="169" t="s">
        <v>131</v>
      </c>
      <c r="C28" s="123" t="s">
        <v>132</v>
      </c>
      <c r="D28" s="169" t="s">
        <v>25</v>
      </c>
    </row>
    <row r="29" spans="1:4" ht="16.5" thickBot="1">
      <c r="A29" s="85"/>
      <c r="B29" s="86"/>
      <c r="C29" s="87"/>
      <c r="D29" s="88"/>
    </row>
    <row r="30" spans="1:4" ht="16.5" thickBot="1">
      <c r="A30" s="169">
        <v>2003</v>
      </c>
      <c r="B30" s="90"/>
      <c r="C30" s="91"/>
      <c r="D30" s="96">
        <f aca="true" t="shared" si="1" ref="D30:D44">SUM(B30:C30)</f>
        <v>0</v>
      </c>
    </row>
    <row r="31" spans="1:4" ht="15">
      <c r="A31" s="93" t="s">
        <v>36</v>
      </c>
      <c r="B31" s="170">
        <v>-218968.39056147</v>
      </c>
      <c r="C31" s="170">
        <v>-296013.55801179755</v>
      </c>
      <c r="D31" s="96">
        <f t="shared" si="1"/>
        <v>-514981.94857326755</v>
      </c>
    </row>
    <row r="32" spans="1:4" ht="15">
      <c r="A32" s="93" t="s">
        <v>69</v>
      </c>
      <c r="B32" s="170">
        <v>190440.01500805002</v>
      </c>
      <c r="C32" s="171">
        <v>221850.70867379068</v>
      </c>
      <c r="D32" s="96">
        <f t="shared" si="1"/>
        <v>412290.7236818407</v>
      </c>
    </row>
    <row r="33" spans="1:4" ht="15">
      <c r="A33" s="93" t="s">
        <v>70</v>
      </c>
      <c r="B33" s="170">
        <v>174000.08775354002</v>
      </c>
      <c r="C33" s="171">
        <v>173250.43088599708</v>
      </c>
      <c r="D33" s="96">
        <f t="shared" si="1"/>
        <v>347250.5186395371</v>
      </c>
    </row>
    <row r="34" spans="1:4" ht="15">
      <c r="A34" s="93" t="s">
        <v>40</v>
      </c>
      <c r="B34" s="170">
        <v>200093.53947771</v>
      </c>
      <c r="C34" s="171">
        <v>221167.89860057973</v>
      </c>
      <c r="D34" s="96">
        <f t="shared" si="1"/>
        <v>421261.43807828974</v>
      </c>
    </row>
    <row r="35" spans="1:4" ht="15">
      <c r="A35" s="93" t="s">
        <v>133</v>
      </c>
      <c r="B35" s="170">
        <v>167316.34430434</v>
      </c>
      <c r="C35" s="171">
        <v>173845.49736287963</v>
      </c>
      <c r="D35" s="96">
        <f t="shared" si="1"/>
        <v>341161.84166721965</v>
      </c>
    </row>
    <row r="36" spans="1:4" ht="15">
      <c r="A36" s="93" t="s">
        <v>41</v>
      </c>
      <c r="B36" s="170">
        <v>188172.85320845</v>
      </c>
      <c r="C36" s="171">
        <v>224834.9839000255</v>
      </c>
      <c r="D36" s="96">
        <f t="shared" si="1"/>
        <v>413007.8371084755</v>
      </c>
    </row>
    <row r="37" spans="1:4" ht="15">
      <c r="A37" s="93" t="s">
        <v>28</v>
      </c>
      <c r="B37" s="170">
        <v>153284.90709129997</v>
      </c>
      <c r="C37" s="171">
        <v>172611.63551776044</v>
      </c>
      <c r="D37" s="96">
        <f t="shared" si="1"/>
        <v>325896.5426090604</v>
      </c>
    </row>
    <row r="38" spans="1:4" ht="15">
      <c r="A38" s="93" t="s">
        <v>29</v>
      </c>
      <c r="B38" s="170">
        <v>184103.6432289</v>
      </c>
      <c r="C38" s="171">
        <v>223985.52007574568</v>
      </c>
      <c r="D38" s="96">
        <f t="shared" si="1"/>
        <v>408089.1633046457</v>
      </c>
    </row>
    <row r="39" spans="1:4" ht="15">
      <c r="A39" s="93" t="s">
        <v>30</v>
      </c>
      <c r="B39" s="170">
        <v>160586.89675020002</v>
      </c>
      <c r="C39" s="171">
        <v>174286.80905089743</v>
      </c>
      <c r="D39" s="96">
        <f t="shared" si="1"/>
        <v>334873.70580109744</v>
      </c>
    </row>
    <row r="40" spans="1:4" ht="15">
      <c r="A40" s="93" t="s">
        <v>31</v>
      </c>
      <c r="B40" s="170">
        <v>197422.69384539</v>
      </c>
      <c r="C40" s="171">
        <v>227889.4820789848</v>
      </c>
      <c r="D40" s="96">
        <f t="shared" si="1"/>
        <v>425312.1759243748</v>
      </c>
    </row>
    <row r="41" spans="1:4" ht="15">
      <c r="A41" s="93" t="s">
        <v>32</v>
      </c>
      <c r="B41" s="170">
        <v>158607.48942611998</v>
      </c>
      <c r="C41" s="171">
        <v>172408.55894982142</v>
      </c>
      <c r="D41" s="96">
        <f t="shared" si="1"/>
        <v>331016.0483759414</v>
      </c>
    </row>
    <row r="42" spans="1:4" ht="15">
      <c r="A42" s="93" t="s">
        <v>33</v>
      </c>
      <c r="B42" s="170">
        <v>180690.28368261002</v>
      </c>
      <c r="C42" s="171">
        <v>226278.12219617833</v>
      </c>
      <c r="D42" s="96">
        <f t="shared" si="1"/>
        <v>406968.4058787883</v>
      </c>
    </row>
    <row r="43" spans="1:4" ht="15">
      <c r="A43" s="93" t="s">
        <v>34</v>
      </c>
      <c r="B43" s="170">
        <v>156522.96446360002</v>
      </c>
      <c r="C43" s="171">
        <v>174017.1562538109</v>
      </c>
      <c r="D43" s="96">
        <f t="shared" si="1"/>
        <v>330540.12071741093</v>
      </c>
    </row>
    <row r="44" spans="1:4" ht="15">
      <c r="A44" s="93" t="s">
        <v>73</v>
      </c>
      <c r="B44" s="170">
        <v>231625.81010794002</v>
      </c>
      <c r="C44" s="171">
        <v>306247.71833579394</v>
      </c>
      <c r="D44" s="96">
        <f t="shared" si="1"/>
        <v>537873.5284437339</v>
      </c>
    </row>
    <row r="45" spans="1:4" ht="15">
      <c r="A45" s="97"/>
      <c r="B45" s="98"/>
      <c r="C45" s="99"/>
      <c r="D45" s="96"/>
    </row>
    <row r="46" spans="1:4" ht="15.75" thickBot="1">
      <c r="A46" s="97" t="s">
        <v>25</v>
      </c>
      <c r="B46" s="100">
        <f>SUM(B31:B45)</f>
        <v>2123899.13778668</v>
      </c>
      <c r="C46" s="100">
        <f>SUM(C31:C45)</f>
        <v>2396660.963870468</v>
      </c>
      <c r="D46" s="177">
        <f>SUM(D31:D45)</f>
        <v>4520560.101657148</v>
      </c>
    </row>
    <row r="47" spans="1:4" ht="15.75" thickBot="1">
      <c r="A47" s="102"/>
      <c r="B47" s="103">
        <f>+B46-'Billing kW kWh'!W51</f>
        <v>0</v>
      </c>
      <c r="C47" s="104">
        <f>+C46-'Billing Service Charge '!M44</f>
        <v>0</v>
      </c>
      <c r="D47" s="103">
        <f>+B46+C46-D46</f>
        <v>0</v>
      </c>
    </row>
    <row r="49" ht="15.75" thickBot="1"/>
    <row r="50" spans="1:4" ht="16.5" thickBot="1">
      <c r="A50" s="84"/>
      <c r="B50" s="169" t="s">
        <v>131</v>
      </c>
      <c r="C50" s="123" t="s">
        <v>132</v>
      </c>
      <c r="D50" s="169" t="s">
        <v>25</v>
      </c>
    </row>
    <row r="51" spans="1:4" ht="16.5" thickBot="1">
      <c r="A51" s="85"/>
      <c r="B51" s="86"/>
      <c r="C51" s="87"/>
      <c r="D51" s="88"/>
    </row>
    <row r="52" spans="1:4" ht="16.5" thickBot="1">
      <c r="A52" s="169">
        <v>2004</v>
      </c>
      <c r="B52" s="90"/>
      <c r="C52" s="91"/>
      <c r="D52" s="88"/>
    </row>
    <row r="53" spans="1:5" ht="15">
      <c r="A53" s="93" t="s">
        <v>73</v>
      </c>
      <c r="B53" s="170">
        <v>-231625.81010794002</v>
      </c>
      <c r="C53" s="171">
        <v>-306247.71833579394</v>
      </c>
      <c r="D53" s="176">
        <f aca="true" t="shared" si="2" ref="D53:D66">SUM(B53:C53)</f>
        <v>-537873.5284437339</v>
      </c>
      <c r="E53" s="107"/>
    </row>
    <row r="54" spans="1:5" ht="15">
      <c r="A54" s="93" t="s">
        <v>69</v>
      </c>
      <c r="B54" s="170">
        <v>190982.89973393</v>
      </c>
      <c r="C54" s="171">
        <v>229135.5621151549</v>
      </c>
      <c r="D54" s="96">
        <f t="shared" si="2"/>
        <v>420118.46184908494</v>
      </c>
      <c r="E54" s="107"/>
    </row>
    <row r="55" spans="1:5" ht="15">
      <c r="A55" s="93" t="s">
        <v>70</v>
      </c>
      <c r="B55" s="170">
        <v>174912.64850324002</v>
      </c>
      <c r="C55" s="171">
        <v>175081.44870576035</v>
      </c>
      <c r="D55" s="96">
        <f t="shared" si="2"/>
        <v>349994.0972090004</v>
      </c>
      <c r="E55" s="107"/>
    </row>
    <row r="56" spans="1:5" ht="15">
      <c r="A56" s="93" t="s">
        <v>40</v>
      </c>
      <c r="B56" s="170">
        <v>199022.30388788003</v>
      </c>
      <c r="C56" s="171">
        <v>517257.62902657525</v>
      </c>
      <c r="D56" s="96">
        <f t="shared" si="2"/>
        <v>716279.9329144553</v>
      </c>
      <c r="E56" s="107"/>
    </row>
    <row r="57" spans="1:5" ht="15">
      <c r="A57" s="93" t="s">
        <v>19</v>
      </c>
      <c r="B57" s="170">
        <v>173162.72891321</v>
      </c>
      <c r="C57" s="171">
        <v>0</v>
      </c>
      <c r="D57" s="96">
        <f t="shared" si="2"/>
        <v>173162.72891321</v>
      </c>
      <c r="E57" s="107"/>
    </row>
    <row r="58" spans="1:5" ht="15">
      <c r="A58" s="93" t="s">
        <v>41</v>
      </c>
      <c r="B58" s="170">
        <v>241484.31571152003</v>
      </c>
      <c r="C58" s="171">
        <v>0</v>
      </c>
      <c r="D58" s="96">
        <f t="shared" si="2"/>
        <v>241484.31571152003</v>
      </c>
      <c r="E58" s="107"/>
    </row>
    <row r="59" spans="1:5" ht="15">
      <c r="A59" s="93" t="s">
        <v>28</v>
      </c>
      <c r="B59" s="170">
        <v>218763.028469246</v>
      </c>
      <c r="C59" s="171">
        <v>0</v>
      </c>
      <c r="D59" s="96">
        <f t="shared" si="2"/>
        <v>218763.028469246</v>
      </c>
      <c r="E59" s="108"/>
    </row>
    <row r="60" spans="1:5" ht="15">
      <c r="A60" s="93" t="s">
        <v>29</v>
      </c>
      <c r="B60" s="170">
        <v>277119.40905734006</v>
      </c>
      <c r="C60" s="171">
        <v>0</v>
      </c>
      <c r="D60" s="96">
        <f t="shared" si="2"/>
        <v>277119.40905734006</v>
      </c>
      <c r="E60" s="107"/>
    </row>
    <row r="61" spans="1:5" ht="15">
      <c r="A61" s="93" t="s">
        <v>30</v>
      </c>
      <c r="B61" s="170">
        <v>229602.94685384998</v>
      </c>
      <c r="C61" s="171">
        <v>0</v>
      </c>
      <c r="D61" s="96">
        <f t="shared" si="2"/>
        <v>229602.94685384998</v>
      </c>
      <c r="E61" s="107"/>
    </row>
    <row r="62" spans="1:5" ht="15">
      <c r="A62" s="93" t="s">
        <v>31</v>
      </c>
      <c r="B62" s="170">
        <v>296206.4198318</v>
      </c>
      <c r="C62" s="171">
        <v>0</v>
      </c>
      <c r="D62" s="96">
        <f t="shared" si="2"/>
        <v>296206.4198318</v>
      </c>
      <c r="E62" s="107"/>
    </row>
    <row r="63" spans="1:5" ht="15">
      <c r="A63" s="93" t="s">
        <v>32</v>
      </c>
      <c r="B63" s="170">
        <v>228433.50853335</v>
      </c>
      <c r="C63" s="171">
        <v>0</v>
      </c>
      <c r="D63" s="96">
        <f t="shared" si="2"/>
        <v>228433.50853335</v>
      </c>
      <c r="E63" s="107"/>
    </row>
    <row r="64" spans="1:5" ht="15">
      <c r="A64" s="93" t="s">
        <v>33</v>
      </c>
      <c r="B64" s="170">
        <v>280305.2882975</v>
      </c>
      <c r="C64" s="171">
        <v>0</v>
      </c>
      <c r="D64" s="96">
        <f t="shared" si="2"/>
        <v>280305.2882975</v>
      </c>
      <c r="E64" s="107"/>
    </row>
    <row r="65" spans="1:5" ht="15">
      <c r="A65" s="93" t="s">
        <v>34</v>
      </c>
      <c r="B65" s="170">
        <v>227668.48746614</v>
      </c>
      <c r="C65" s="171">
        <v>0</v>
      </c>
      <c r="D65" s="96">
        <f t="shared" si="2"/>
        <v>227668.48746614</v>
      </c>
      <c r="E65" s="107"/>
    </row>
    <row r="66" spans="1:5" ht="15">
      <c r="A66" s="93" t="s">
        <v>135</v>
      </c>
      <c r="B66" s="170">
        <v>424389.491532</v>
      </c>
      <c r="C66" s="171"/>
      <c r="D66" s="96">
        <f t="shared" si="2"/>
        <v>424389.491532</v>
      </c>
      <c r="E66" s="107"/>
    </row>
    <row r="67" spans="1:5" ht="15">
      <c r="A67" s="97"/>
      <c r="B67" s="98"/>
      <c r="C67" s="99"/>
      <c r="D67" s="96"/>
      <c r="E67" s="107"/>
    </row>
    <row r="68" spans="1:5" ht="15.75" thickBot="1">
      <c r="A68" s="97" t="s">
        <v>25</v>
      </c>
      <c r="B68" s="100">
        <f>SUM(B53:B67)</f>
        <v>2930427.6666830666</v>
      </c>
      <c r="C68" s="100">
        <f>SUM(C53:C67)</f>
        <v>615226.9215116965</v>
      </c>
      <c r="D68" s="100">
        <f>SUM(D53:D67)</f>
        <v>3545654.5881947633</v>
      </c>
      <c r="E68" s="107"/>
    </row>
    <row r="69" spans="1:4" ht="15.75" thickBot="1">
      <c r="A69" s="102"/>
      <c r="B69" s="103">
        <f>+B68-'Billing kW kWh'!W97</f>
        <v>0</v>
      </c>
      <c r="C69" s="104">
        <f>+C68-'Billing Service Charge '!M65</f>
        <v>0</v>
      </c>
      <c r="D69" s="103"/>
    </row>
    <row r="70" ht="15">
      <c r="D70" s="108"/>
    </row>
    <row r="71" ht="15.75" thickBot="1">
      <c r="D71" s="108"/>
    </row>
    <row r="72" spans="1:4" ht="16.5" thickBot="1">
      <c r="A72" s="84"/>
      <c r="B72" s="169" t="s">
        <v>131</v>
      </c>
      <c r="C72" s="123" t="s">
        <v>132</v>
      </c>
      <c r="D72" s="169" t="s">
        <v>25</v>
      </c>
    </row>
    <row r="73" spans="1:4" ht="16.5" thickBot="1">
      <c r="A73" s="85"/>
      <c r="B73" s="86"/>
      <c r="C73" s="87"/>
      <c r="D73" s="88"/>
    </row>
    <row r="74" spans="1:4" ht="16.5" thickBot="1">
      <c r="A74" s="169">
        <v>2005</v>
      </c>
      <c r="B74" s="90"/>
      <c r="C74" s="91"/>
      <c r="D74" s="88"/>
    </row>
    <row r="75" spans="1:5" ht="15">
      <c r="A75" s="93" t="s">
        <v>79</v>
      </c>
      <c r="B75" s="170">
        <v>-424389.491532</v>
      </c>
      <c r="C75" s="170"/>
      <c r="D75" s="176">
        <f aca="true" t="shared" si="3" ref="D75:D88">SUM(B75:C75)</f>
        <v>-424389.491532</v>
      </c>
      <c r="E75" s="107"/>
    </row>
    <row r="76" spans="1:5" ht="15">
      <c r="A76" s="93" t="s">
        <v>69</v>
      </c>
      <c r="B76" s="170">
        <v>319983.82372586</v>
      </c>
      <c r="C76" s="171"/>
      <c r="D76" s="96">
        <f t="shared" si="3"/>
        <v>319983.82372586</v>
      </c>
      <c r="E76" s="107"/>
    </row>
    <row r="77" spans="1:5" ht="15">
      <c r="A77" s="93" t="s">
        <v>70</v>
      </c>
      <c r="B77" s="170">
        <v>272588.96240701305</v>
      </c>
      <c r="C77" s="171"/>
      <c r="D77" s="96">
        <f t="shared" si="3"/>
        <v>272588.96240701305</v>
      </c>
      <c r="E77" s="107"/>
    </row>
    <row r="78" spans="1:5" ht="15">
      <c r="A78" s="93" t="s">
        <v>40</v>
      </c>
      <c r="B78" s="170">
        <v>327677.01939449296</v>
      </c>
      <c r="C78" s="171"/>
      <c r="D78" s="96">
        <f t="shared" si="3"/>
        <v>327677.01939449296</v>
      </c>
      <c r="E78" s="107"/>
    </row>
    <row r="79" spans="1:5" ht="15">
      <c r="A79" s="93" t="s">
        <v>19</v>
      </c>
      <c r="B79" s="170">
        <v>261429.84701102</v>
      </c>
      <c r="C79" s="171"/>
      <c r="D79" s="96">
        <f t="shared" si="3"/>
        <v>261429.84701102</v>
      </c>
      <c r="E79" s="107"/>
    </row>
    <row r="80" spans="1:5" ht="15">
      <c r="A80" s="93" t="s">
        <v>41</v>
      </c>
      <c r="B80" s="170">
        <v>315395.30452239997</v>
      </c>
      <c r="C80" s="171"/>
      <c r="D80" s="96">
        <f t="shared" si="3"/>
        <v>315395.30452239997</v>
      </c>
      <c r="E80" s="107"/>
    </row>
    <row r="81" spans="1:5" ht="15">
      <c r="A81" s="93" t="s">
        <v>28</v>
      </c>
      <c r="B81" s="170">
        <v>237500.822772</v>
      </c>
      <c r="C81" s="171"/>
      <c r="D81" s="96">
        <f t="shared" si="3"/>
        <v>237500.822772</v>
      </c>
      <c r="E81" s="107"/>
    </row>
    <row r="82" spans="1:5" ht="15">
      <c r="A82" s="93" t="s">
        <v>29</v>
      </c>
      <c r="B82" s="170">
        <v>332343.2200124</v>
      </c>
      <c r="C82" s="171"/>
      <c r="D82" s="96">
        <f t="shared" si="3"/>
        <v>332343.2200124</v>
      </c>
      <c r="E82" s="107"/>
    </row>
    <row r="83" spans="1:5" ht="15">
      <c r="A83" s="93" t="s">
        <v>30</v>
      </c>
      <c r="B83" s="170">
        <v>278493.44124039996</v>
      </c>
      <c r="C83" s="171"/>
      <c r="D83" s="96">
        <f t="shared" si="3"/>
        <v>278493.44124039996</v>
      </c>
      <c r="E83" s="107"/>
    </row>
    <row r="84" spans="1:5" ht="15">
      <c r="A84" s="93" t="s">
        <v>31</v>
      </c>
      <c r="B84" s="170">
        <v>364691.9429384</v>
      </c>
      <c r="C84" s="171"/>
      <c r="D84" s="96">
        <f t="shared" si="3"/>
        <v>364691.9429384</v>
      </c>
      <c r="E84" s="107"/>
    </row>
    <row r="85" spans="1:5" ht="15">
      <c r="A85" s="93" t="s">
        <v>32</v>
      </c>
      <c r="B85" s="170">
        <v>257109.42848560002</v>
      </c>
      <c r="C85" s="171"/>
      <c r="D85" s="96">
        <f t="shared" si="3"/>
        <v>257109.42848560002</v>
      </c>
      <c r="E85" s="107"/>
    </row>
    <row r="86" spans="1:5" ht="15">
      <c r="A86" s="93" t="s">
        <v>33</v>
      </c>
      <c r="B86" s="170">
        <v>309013.22099680005</v>
      </c>
      <c r="C86" s="171"/>
      <c r="D86" s="96">
        <f t="shared" si="3"/>
        <v>309013.22099680005</v>
      </c>
      <c r="E86" s="107"/>
    </row>
    <row r="87" spans="1:5" ht="15">
      <c r="A87" s="93" t="s">
        <v>34</v>
      </c>
      <c r="B87" s="170">
        <v>248943.90761</v>
      </c>
      <c r="C87" s="171"/>
      <c r="D87" s="96">
        <f t="shared" si="3"/>
        <v>248943.90761</v>
      </c>
      <c r="E87" s="107"/>
    </row>
    <row r="88" spans="1:5" ht="15">
      <c r="A88" s="93" t="s">
        <v>106</v>
      </c>
      <c r="B88" s="170">
        <v>439247.77930839994</v>
      </c>
      <c r="C88" s="171"/>
      <c r="D88" s="96">
        <f t="shared" si="3"/>
        <v>439247.77930839994</v>
      </c>
      <c r="E88" s="107"/>
    </row>
    <row r="89" spans="1:5" ht="15">
      <c r="A89" s="97"/>
      <c r="B89" s="98"/>
      <c r="C89" s="99"/>
      <c r="D89" s="96"/>
      <c r="E89" s="107"/>
    </row>
    <row r="90" spans="1:5" ht="15.75" thickBot="1">
      <c r="A90" s="97" t="s">
        <v>25</v>
      </c>
      <c r="B90" s="100">
        <f>SUM(B75:B89)</f>
        <v>3540029.228892786</v>
      </c>
      <c r="C90" s="100">
        <f>SUM(C75:C89)</f>
        <v>0</v>
      </c>
      <c r="D90" s="100">
        <f>SUM(D75:D89)</f>
        <v>3540029.228892786</v>
      </c>
      <c r="E90" s="107"/>
    </row>
    <row r="91" spans="1:4" ht="15.75" thickBot="1">
      <c r="A91" s="102"/>
      <c r="B91" s="103">
        <f>+B90-'Billing kW kWh'!W135</f>
        <v>0</v>
      </c>
      <c r="C91" s="104"/>
      <c r="D91" s="103"/>
    </row>
    <row r="92" ht="15.75" thickBot="1"/>
    <row r="93" spans="1:4" ht="16.5" thickBot="1">
      <c r="A93" s="84"/>
      <c r="B93" s="169" t="s">
        <v>131</v>
      </c>
      <c r="C93" s="123" t="s">
        <v>132</v>
      </c>
      <c r="D93" s="169" t="s">
        <v>25</v>
      </c>
    </row>
    <row r="94" spans="1:4" ht="16.5" thickBot="1">
      <c r="A94" s="85"/>
      <c r="B94" s="86"/>
      <c r="C94" s="87"/>
      <c r="D94" s="88"/>
    </row>
    <row r="95" spans="1:4" ht="16.5" thickBot="1">
      <c r="A95" s="169">
        <v>2006</v>
      </c>
      <c r="B95" s="90"/>
      <c r="C95" s="91"/>
      <c r="D95" s="88"/>
    </row>
    <row r="96" spans="1:5" ht="15.75">
      <c r="A96" s="93" t="s">
        <v>136</v>
      </c>
      <c r="B96" s="170">
        <v>-439247.77930839994</v>
      </c>
      <c r="C96" s="94"/>
      <c r="D96" s="96">
        <f aca="true" t="shared" si="4" ref="D96:D109">SUM(B96:C96)</f>
        <v>-439247.77930839994</v>
      </c>
      <c r="E96" s="107"/>
    </row>
    <row r="97" spans="1:5" ht="15.75">
      <c r="A97" s="93" t="s">
        <v>69</v>
      </c>
      <c r="B97" s="170">
        <v>320433.8813844</v>
      </c>
      <c r="C97" s="94"/>
      <c r="D97" s="96">
        <f t="shared" si="4"/>
        <v>320433.8813844</v>
      </c>
      <c r="E97" s="107"/>
    </row>
    <row r="98" spans="1:5" ht="15.75">
      <c r="A98" s="93" t="s">
        <v>70</v>
      </c>
      <c r="B98" s="170">
        <v>307810.3582786</v>
      </c>
      <c r="C98" s="94"/>
      <c r="D98" s="96">
        <f t="shared" si="4"/>
        <v>307810.3582786</v>
      </c>
      <c r="E98" s="107"/>
    </row>
    <row r="99" spans="1:5" ht="15.75">
      <c r="A99" s="93" t="s">
        <v>40</v>
      </c>
      <c r="B99" s="170">
        <v>364397.2423906</v>
      </c>
      <c r="C99" s="94"/>
      <c r="D99" s="96">
        <f t="shared" si="4"/>
        <v>364397.2423906</v>
      </c>
      <c r="E99" s="107"/>
    </row>
    <row r="100" spans="1:5" ht="15.75">
      <c r="A100" s="93" t="s">
        <v>19</v>
      </c>
      <c r="B100" s="170">
        <v>244709.87474720003</v>
      </c>
      <c r="C100" s="94"/>
      <c r="D100" s="172">
        <f t="shared" si="4"/>
        <v>244709.87474720003</v>
      </c>
      <c r="E100" s="107"/>
    </row>
    <row r="101" spans="1:5" ht="15.75">
      <c r="A101" s="93" t="s">
        <v>41</v>
      </c>
      <c r="B101" s="170">
        <v>287208.25172959996</v>
      </c>
      <c r="C101" s="94"/>
      <c r="D101" s="172">
        <f t="shared" si="4"/>
        <v>287208.25172959996</v>
      </c>
      <c r="E101" s="107"/>
    </row>
    <row r="102" spans="1:5" ht="15.75">
      <c r="A102" s="93" t="s">
        <v>28</v>
      </c>
      <c r="B102" s="170">
        <v>70094.6698</v>
      </c>
      <c r="C102" s="94"/>
      <c r="D102" s="172">
        <f t="shared" si="4"/>
        <v>70094.6698</v>
      </c>
      <c r="E102" s="107"/>
    </row>
    <row r="103" spans="1:5" ht="15.75">
      <c r="A103" s="93" t="s">
        <v>29</v>
      </c>
      <c r="B103" s="170">
        <v>14382.418</v>
      </c>
      <c r="C103" s="94"/>
      <c r="D103" s="172">
        <f t="shared" si="4"/>
        <v>14382.418</v>
      </c>
      <c r="E103" s="107"/>
    </row>
    <row r="104" spans="1:5" ht="15.75">
      <c r="A104" s="93" t="s">
        <v>30</v>
      </c>
      <c r="B104" s="170">
        <v>-5.560099999999999</v>
      </c>
      <c r="C104" s="94"/>
      <c r="D104" s="172">
        <f t="shared" si="4"/>
        <v>-5.560099999999999</v>
      </c>
      <c r="E104" s="107"/>
    </row>
    <row r="105" spans="1:6" ht="15.75">
      <c r="A105" s="93" t="s">
        <v>31</v>
      </c>
      <c r="B105" s="170">
        <v>-10.988999999999999</v>
      </c>
      <c r="C105" s="94"/>
      <c r="D105" s="172">
        <f t="shared" si="4"/>
        <v>-10.988999999999999</v>
      </c>
      <c r="E105" s="107"/>
      <c r="F105" s="105"/>
    </row>
    <row r="106" spans="1:5" ht="15.75">
      <c r="A106" s="93" t="s">
        <v>32</v>
      </c>
      <c r="B106" s="170">
        <v>0</v>
      </c>
      <c r="C106" s="94"/>
      <c r="D106" s="96">
        <f t="shared" si="4"/>
        <v>0</v>
      </c>
      <c r="E106" s="107"/>
    </row>
    <row r="107" spans="1:5" ht="15.75">
      <c r="A107" s="93" t="s">
        <v>33</v>
      </c>
      <c r="B107" s="170">
        <v>0</v>
      </c>
      <c r="C107" s="94"/>
      <c r="D107" s="96">
        <f t="shared" si="4"/>
        <v>0</v>
      </c>
      <c r="E107" s="107"/>
    </row>
    <row r="108" spans="1:5" ht="15.75">
      <c r="A108" s="93" t="s">
        <v>34</v>
      </c>
      <c r="B108" s="170">
        <v>0</v>
      </c>
      <c r="C108" s="94"/>
      <c r="D108" s="96">
        <f t="shared" si="4"/>
        <v>0</v>
      </c>
      <c r="E108" s="107"/>
    </row>
    <row r="109" spans="1:5" ht="15.75">
      <c r="A109" s="93" t="s">
        <v>107</v>
      </c>
      <c r="B109" s="170">
        <v>0</v>
      </c>
      <c r="C109" s="94"/>
      <c r="D109" s="96">
        <f t="shared" si="4"/>
        <v>0</v>
      </c>
      <c r="E109" s="107"/>
    </row>
    <row r="110" spans="1:5" ht="15">
      <c r="A110" s="97"/>
      <c r="B110" s="98"/>
      <c r="C110" s="99"/>
      <c r="D110" s="96"/>
      <c r="E110" s="107"/>
    </row>
    <row r="111" spans="1:5" ht="15.75" thickBot="1">
      <c r="A111" s="97" t="s">
        <v>25</v>
      </c>
      <c r="B111" s="100">
        <f>SUM(B96:B110)</f>
        <v>1169772.3679220001</v>
      </c>
      <c r="C111" s="100">
        <f>SUM(C96:C110)</f>
        <v>0</v>
      </c>
      <c r="D111" s="100">
        <f>SUM(D96:D110)</f>
        <v>1169772.3679220001</v>
      </c>
      <c r="E111" s="107"/>
    </row>
    <row r="112" spans="1:4" ht="15.75" thickBot="1">
      <c r="A112" s="102"/>
      <c r="B112" s="103">
        <f>+B111-'Billing kW kWh'!W165</f>
        <v>0</v>
      </c>
      <c r="C112" s="104"/>
      <c r="D112" s="103"/>
    </row>
    <row r="113" ht="15.75" thickBot="1"/>
    <row r="114" spans="1:4" ht="15.75" thickBot="1">
      <c r="A114" s="83" t="s">
        <v>137</v>
      </c>
      <c r="D114" s="173">
        <f>SUM(D100:D105)</f>
        <v>616378.6651768</v>
      </c>
    </row>
    <row r="116" ht="15.75" thickBot="1"/>
    <row r="117" ht="15.75" thickBot="1">
      <c r="D117" s="174">
        <f>+D24+D46+D68+D90+D111</f>
        <v>16577728.480162956</v>
      </c>
    </row>
    <row r="123" ht="15" customHeight="1"/>
  </sheetData>
  <sheetProtection/>
  <mergeCells count="2">
    <mergeCell ref="A1:D1"/>
    <mergeCell ref="A3:D3"/>
  </mergeCells>
  <printOptions/>
  <pageMargins left="0.25" right="0.25" top="0.43" bottom="0.41" header="0.25" footer="0.25"/>
  <pageSetup fitToHeight="0" fitToWidth="1" horizontalDpi="355" verticalDpi="3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1" sqref="B31:E34"/>
    </sheetView>
  </sheetViews>
  <sheetFormatPr defaultColWidth="9.140625" defaultRowHeight="12.75"/>
  <cols>
    <col min="1" max="1" width="19.00390625" style="83" customWidth="1"/>
    <col min="2" max="2" width="14.28125" style="83" bestFit="1" customWidth="1"/>
    <col min="3" max="3" width="13.8515625" style="83" customWidth="1"/>
    <col min="4" max="4" width="15.57421875" style="83" bestFit="1" customWidth="1"/>
    <col min="5" max="5" width="15.57421875" style="83" customWidth="1"/>
    <col min="6" max="6" width="12.7109375" style="83" bestFit="1" customWidth="1"/>
    <col min="7" max="7" width="12.7109375" style="83" customWidth="1"/>
    <col min="8" max="8" width="11.7109375" style="83" customWidth="1"/>
    <col min="9" max="9" width="12.421875" style="83" customWidth="1"/>
    <col min="10" max="10" width="14.140625" style="83" bestFit="1" customWidth="1"/>
    <col min="11" max="11" width="12.28125" style="83" customWidth="1"/>
    <col min="12" max="12" width="1.421875" style="83" customWidth="1"/>
    <col min="13" max="13" width="12.57421875" style="83" customWidth="1"/>
    <col min="14" max="14" width="12.140625" style="83" customWidth="1"/>
    <col min="15" max="15" width="12.28125" style="83" customWidth="1"/>
    <col min="16" max="16" width="12.421875" style="83" customWidth="1"/>
    <col min="17" max="17" width="15.00390625" style="83" customWidth="1"/>
    <col min="18" max="18" width="12.7109375" style="83" customWidth="1"/>
    <col min="19" max="20" width="12.00390625" style="83" customWidth="1"/>
    <col min="21" max="21" width="11.8515625" style="83" customWidth="1"/>
    <col min="22" max="22" width="12.140625" style="83" customWidth="1"/>
    <col min="23" max="23" width="12.8515625" style="83" bestFit="1" customWidth="1"/>
    <col min="24" max="16384" width="9.140625" style="83" customWidth="1"/>
  </cols>
  <sheetData>
    <row r="1" spans="1:23" ht="20.25">
      <c r="A1" s="400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</row>
    <row r="2" ht="15.75" thickBot="1"/>
    <row r="3" spans="1:23" ht="18.75" thickBot="1">
      <c r="A3" s="402" t="s">
        <v>38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4"/>
    </row>
    <row r="4" ht="15.75" thickBot="1"/>
    <row r="5" spans="1:23" ht="16.5" thickBot="1">
      <c r="A5" s="238"/>
      <c r="B5" s="381" t="s">
        <v>26</v>
      </c>
      <c r="C5" s="382"/>
      <c r="D5" s="382"/>
      <c r="E5" s="383"/>
      <c r="F5" s="381" t="s">
        <v>27</v>
      </c>
      <c r="G5" s="382"/>
      <c r="H5" s="382"/>
      <c r="I5" s="382"/>
      <c r="J5" s="382"/>
      <c r="K5" s="383"/>
      <c r="M5" s="381" t="s">
        <v>37</v>
      </c>
      <c r="N5" s="382"/>
      <c r="O5" s="382"/>
      <c r="P5" s="382"/>
      <c r="Q5" s="382"/>
      <c r="R5" s="382"/>
      <c r="S5" s="382"/>
      <c r="T5" s="382"/>
      <c r="U5" s="382"/>
      <c r="V5" s="382"/>
      <c r="W5" s="383"/>
    </row>
    <row r="6" spans="1:23" s="82" customFormat="1" ht="16.5" thickBot="1">
      <c r="A6" s="209"/>
      <c r="B6" s="391" t="s">
        <v>20</v>
      </c>
      <c r="C6" s="392"/>
      <c r="D6" s="393" t="s">
        <v>21</v>
      </c>
      <c r="E6" s="394"/>
      <c r="F6" s="399" t="s">
        <v>22</v>
      </c>
      <c r="G6" s="399"/>
      <c r="H6" s="389" t="s">
        <v>23</v>
      </c>
      <c r="I6" s="390"/>
      <c r="J6" s="405" t="s">
        <v>24</v>
      </c>
      <c r="K6" s="385"/>
      <c r="M6" s="391" t="s">
        <v>20</v>
      </c>
      <c r="N6" s="392"/>
      <c r="O6" s="393" t="s">
        <v>21</v>
      </c>
      <c r="P6" s="394"/>
      <c r="Q6" s="395" t="s">
        <v>22</v>
      </c>
      <c r="R6" s="396"/>
      <c r="S6" s="389" t="s">
        <v>23</v>
      </c>
      <c r="T6" s="390"/>
      <c r="U6" s="384" t="s">
        <v>24</v>
      </c>
      <c r="V6" s="385"/>
      <c r="W6" s="166" t="s">
        <v>25</v>
      </c>
    </row>
    <row r="7" spans="1:23" s="110" customFormat="1" ht="15.75">
      <c r="A7" s="239" t="s">
        <v>35</v>
      </c>
      <c r="B7" s="89"/>
      <c r="C7" s="132"/>
      <c r="D7" s="89"/>
      <c r="E7" s="132"/>
      <c r="F7" s="91"/>
      <c r="G7" s="91"/>
      <c r="H7" s="89"/>
      <c r="I7" s="132"/>
      <c r="J7" s="91"/>
      <c r="K7" s="132"/>
      <c r="M7" s="89">
        <f>0.000432+0.001436</f>
        <v>0.0018679999999999999</v>
      </c>
      <c r="N7" s="132"/>
      <c r="O7" s="248">
        <f>0.000391+0.001301</f>
        <v>0.0016920000000000001</v>
      </c>
      <c r="P7" s="132"/>
      <c r="Q7" s="89">
        <f>0.150075+0.499246</f>
        <v>0.649321</v>
      </c>
      <c r="R7" s="132"/>
      <c r="S7" s="89">
        <f>0.111317+0.370314</f>
        <v>0.481631</v>
      </c>
      <c r="T7" s="132"/>
      <c r="U7" s="89">
        <f>0.28173+0.937219</f>
        <v>1.218949</v>
      </c>
      <c r="V7" s="132"/>
      <c r="W7" s="92"/>
    </row>
    <row r="8" spans="1:23" s="110" customFormat="1" ht="15.75">
      <c r="A8" s="240">
        <v>2002</v>
      </c>
      <c r="B8" s="245"/>
      <c r="C8" s="242"/>
      <c r="D8" s="245"/>
      <c r="E8" s="242"/>
      <c r="F8" s="241"/>
      <c r="G8" s="241"/>
      <c r="H8" s="245"/>
      <c r="I8" s="242"/>
      <c r="J8" s="241"/>
      <c r="K8" s="242"/>
      <c r="L8" s="111"/>
      <c r="M8" s="136"/>
      <c r="N8" s="137"/>
      <c r="O8" s="89"/>
      <c r="P8" s="132"/>
      <c r="Q8" s="89"/>
      <c r="R8" s="132"/>
      <c r="S8" s="89"/>
      <c r="T8" s="132"/>
      <c r="U8" s="89"/>
      <c r="V8" s="132"/>
      <c r="W8" s="92"/>
    </row>
    <row r="9" spans="1:23" ht="15">
      <c r="A9" s="93"/>
      <c r="B9" s="233"/>
      <c r="C9" s="235"/>
      <c r="D9" s="233"/>
      <c r="E9" s="235"/>
      <c r="F9" s="101"/>
      <c r="G9" s="101"/>
      <c r="H9" s="233"/>
      <c r="I9" s="235"/>
      <c r="J9" s="101"/>
      <c r="K9" s="235"/>
      <c r="L9" s="105"/>
      <c r="M9" s="233"/>
      <c r="N9" s="235"/>
      <c r="O9" s="97"/>
      <c r="P9" s="234"/>
      <c r="Q9" s="97"/>
      <c r="R9" s="234"/>
      <c r="S9" s="97"/>
      <c r="T9" s="234"/>
      <c r="U9" s="97"/>
      <c r="V9" s="234"/>
      <c r="W9" s="88"/>
    </row>
    <row r="10" spans="1:24" ht="15">
      <c r="A10" s="93" t="s">
        <v>130</v>
      </c>
      <c r="B10" s="233">
        <v>16347334</v>
      </c>
      <c r="C10" s="235"/>
      <c r="D10" s="233">
        <v>8767340</v>
      </c>
      <c r="E10" s="235"/>
      <c r="F10" s="101">
        <v>232670</v>
      </c>
      <c r="G10" s="101"/>
      <c r="H10" s="233">
        <v>30336</v>
      </c>
      <c r="I10" s="235"/>
      <c r="J10" s="101">
        <v>3120</v>
      </c>
      <c r="K10" s="235"/>
      <c r="L10" s="101"/>
      <c r="M10" s="233">
        <v>31060</v>
      </c>
      <c r="N10" s="235"/>
      <c r="O10" s="233">
        <v>14028</v>
      </c>
      <c r="P10" s="235"/>
      <c r="Q10" s="233">
        <v>151072</v>
      </c>
      <c r="R10" s="235"/>
      <c r="S10" s="233">
        <v>14610</v>
      </c>
      <c r="T10" s="235"/>
      <c r="U10" s="233">
        <v>3803</v>
      </c>
      <c r="V10" s="235"/>
      <c r="W10" s="96">
        <f aca="true" t="shared" si="0" ref="W10:W18">SUM(M10:U10)</f>
        <v>214573</v>
      </c>
      <c r="X10" s="105"/>
    </row>
    <row r="11" spans="1:24" ht="15">
      <c r="A11" s="93" t="s">
        <v>39</v>
      </c>
      <c r="B11" s="233">
        <v>31391168</v>
      </c>
      <c r="C11" s="235"/>
      <c r="D11" s="233">
        <v>15531204</v>
      </c>
      <c r="E11" s="235"/>
      <c r="F11" s="101">
        <v>125991.1</v>
      </c>
      <c r="G11" s="101"/>
      <c r="H11" s="247">
        <v>15310.35</v>
      </c>
      <c r="I11" s="243"/>
      <c r="J11" s="230">
        <v>1561</v>
      </c>
      <c r="K11" s="243"/>
      <c r="L11" s="101"/>
      <c r="M11" s="233">
        <f>+B11*$M$7</f>
        <v>58638.701823999996</v>
      </c>
      <c r="N11" s="235"/>
      <c r="O11" s="233">
        <f>+D11*$O$7</f>
        <v>26278.797168</v>
      </c>
      <c r="P11" s="235"/>
      <c r="Q11" s="233">
        <f>+F11*$Q$7</f>
        <v>81808.66704310001</v>
      </c>
      <c r="R11" s="235"/>
      <c r="S11" s="233">
        <f>+H11*$S$7</f>
        <v>7373.9391808499995</v>
      </c>
      <c r="T11" s="235"/>
      <c r="U11" s="233">
        <f>+J11*$U$7</f>
        <v>1902.779389</v>
      </c>
      <c r="V11" s="235"/>
      <c r="W11" s="96">
        <f t="shared" si="0"/>
        <v>176002.88460495</v>
      </c>
      <c r="X11" s="105"/>
    </row>
    <row r="12" spans="1:24" ht="15">
      <c r="A12" s="93" t="s">
        <v>28</v>
      </c>
      <c r="B12" s="233">
        <v>23757542</v>
      </c>
      <c r="C12" s="235"/>
      <c r="D12" s="233">
        <v>12611809</v>
      </c>
      <c r="E12" s="235"/>
      <c r="F12" s="101">
        <v>127182.44</v>
      </c>
      <c r="G12" s="101"/>
      <c r="H12" s="233">
        <v>17122.52</v>
      </c>
      <c r="I12" s="235"/>
      <c r="J12" s="230">
        <v>1566</v>
      </c>
      <c r="K12" s="243"/>
      <c r="L12" s="101"/>
      <c r="M12" s="233">
        <f aca="true" t="shared" si="1" ref="M12:M18">+B12*$M$7</f>
        <v>44379.088456</v>
      </c>
      <c r="N12" s="235"/>
      <c r="O12" s="233">
        <f aca="true" t="shared" si="2" ref="O12:O18">+D12*$O$7</f>
        <v>21339.180828</v>
      </c>
      <c r="P12" s="235"/>
      <c r="Q12" s="233">
        <f aca="true" t="shared" si="3" ref="Q12:Q18">+F12*$Q$7</f>
        <v>82582.22912324</v>
      </c>
      <c r="R12" s="235"/>
      <c r="S12" s="233">
        <f aca="true" t="shared" si="4" ref="S12:S18">+H12*$S$7</f>
        <v>8246.73643012</v>
      </c>
      <c r="T12" s="235"/>
      <c r="U12" s="233">
        <f aca="true" t="shared" si="5" ref="U12:U18">+J12*$U$7</f>
        <v>1908.8741340000001</v>
      </c>
      <c r="V12" s="235"/>
      <c r="W12" s="96">
        <f t="shared" si="0"/>
        <v>158456.10897136</v>
      </c>
      <c r="X12" s="105"/>
    </row>
    <row r="13" spans="1:24" ht="15">
      <c r="A13" s="93" t="s">
        <v>29</v>
      </c>
      <c r="B13" s="233">
        <v>33274638</v>
      </c>
      <c r="C13" s="235"/>
      <c r="D13" s="233">
        <v>16739088</v>
      </c>
      <c r="E13" s="235"/>
      <c r="F13" s="101">
        <v>134760</v>
      </c>
      <c r="G13" s="101"/>
      <c r="H13" s="233">
        <v>18398.66</v>
      </c>
      <c r="I13" s="235"/>
      <c r="J13" s="230">
        <v>1565</v>
      </c>
      <c r="K13" s="243"/>
      <c r="L13" s="101"/>
      <c r="M13" s="233">
        <f t="shared" si="1"/>
        <v>62157.023784</v>
      </c>
      <c r="N13" s="235"/>
      <c r="O13" s="233">
        <f t="shared" si="2"/>
        <v>28322.536896</v>
      </c>
      <c r="P13" s="235"/>
      <c r="Q13" s="233">
        <f t="shared" si="3"/>
        <v>87502.49796000001</v>
      </c>
      <c r="R13" s="235"/>
      <c r="S13" s="233">
        <f t="shared" si="4"/>
        <v>8861.36501446</v>
      </c>
      <c r="T13" s="235"/>
      <c r="U13" s="233">
        <f t="shared" si="5"/>
        <v>1907.655185</v>
      </c>
      <c r="V13" s="235"/>
      <c r="W13" s="96">
        <f t="shared" si="0"/>
        <v>188751.07883946</v>
      </c>
      <c r="X13" s="105"/>
    </row>
    <row r="14" spans="1:24" ht="15">
      <c r="A14" s="93" t="s">
        <v>30</v>
      </c>
      <c r="B14" s="233">
        <v>28111491</v>
      </c>
      <c r="C14" s="235"/>
      <c r="D14" s="233">
        <v>13645675</v>
      </c>
      <c r="E14" s="235"/>
      <c r="F14" s="101">
        <v>132020.39</v>
      </c>
      <c r="G14" s="101"/>
      <c r="H14" s="233">
        <v>19178.25</v>
      </c>
      <c r="I14" s="235"/>
      <c r="J14" s="230">
        <v>1566</v>
      </c>
      <c r="K14" s="243"/>
      <c r="L14" s="101"/>
      <c r="M14" s="233">
        <f t="shared" si="1"/>
        <v>52512.265188</v>
      </c>
      <c r="N14" s="235"/>
      <c r="O14" s="233">
        <f t="shared" si="2"/>
        <v>23088.4821</v>
      </c>
      <c r="P14" s="235"/>
      <c r="Q14" s="233">
        <f t="shared" si="3"/>
        <v>85723.61165519002</v>
      </c>
      <c r="R14" s="235"/>
      <c r="S14" s="233">
        <f t="shared" si="4"/>
        <v>9236.83972575</v>
      </c>
      <c r="T14" s="235"/>
      <c r="U14" s="233">
        <f t="shared" si="5"/>
        <v>1908.8741340000001</v>
      </c>
      <c r="V14" s="235"/>
      <c r="W14" s="96">
        <f t="shared" si="0"/>
        <v>172470.07280294003</v>
      </c>
      <c r="X14" s="105"/>
    </row>
    <row r="15" spans="1:24" ht="15">
      <c r="A15" s="93" t="s">
        <v>31</v>
      </c>
      <c r="B15" s="233">
        <v>40559542</v>
      </c>
      <c r="C15" s="235"/>
      <c r="D15" s="233">
        <v>18108684</v>
      </c>
      <c r="E15" s="235"/>
      <c r="F15" s="101">
        <v>132635.93</v>
      </c>
      <c r="G15" s="101"/>
      <c r="H15" s="233">
        <v>18087.68</v>
      </c>
      <c r="I15" s="235"/>
      <c r="J15" s="230">
        <v>1566</v>
      </c>
      <c r="K15" s="243"/>
      <c r="L15" s="101"/>
      <c r="M15" s="233">
        <f t="shared" si="1"/>
        <v>75765.224456</v>
      </c>
      <c r="N15" s="235"/>
      <c r="O15" s="233">
        <f t="shared" si="2"/>
        <v>30639.893328000002</v>
      </c>
      <c r="P15" s="235"/>
      <c r="Q15" s="233">
        <f t="shared" si="3"/>
        <v>86123.29470353</v>
      </c>
      <c r="R15" s="235"/>
      <c r="S15" s="233">
        <f t="shared" si="4"/>
        <v>8711.58740608</v>
      </c>
      <c r="T15" s="235"/>
      <c r="U15" s="233">
        <f t="shared" si="5"/>
        <v>1908.8741340000001</v>
      </c>
      <c r="V15" s="235"/>
      <c r="W15" s="96">
        <f t="shared" si="0"/>
        <v>203148.87402761003</v>
      </c>
      <c r="X15" s="105"/>
    </row>
    <row r="16" spans="1:24" ht="15">
      <c r="A16" s="93" t="s">
        <v>32</v>
      </c>
      <c r="B16" s="233">
        <v>26065387</v>
      </c>
      <c r="C16" s="235"/>
      <c r="D16" s="233">
        <v>13007625</v>
      </c>
      <c r="E16" s="235"/>
      <c r="F16" s="101">
        <v>134518.75</v>
      </c>
      <c r="G16" s="101"/>
      <c r="H16" s="233">
        <v>18830.33</v>
      </c>
      <c r="I16" s="235"/>
      <c r="J16" s="230">
        <v>1569</v>
      </c>
      <c r="K16" s="243"/>
      <c r="L16" s="101"/>
      <c r="M16" s="233">
        <f t="shared" si="1"/>
        <v>48690.142916</v>
      </c>
      <c r="N16" s="235"/>
      <c r="O16" s="233">
        <f t="shared" si="2"/>
        <v>22008.901500000004</v>
      </c>
      <c r="P16" s="235"/>
      <c r="Q16" s="233">
        <f t="shared" si="3"/>
        <v>87345.84926875001</v>
      </c>
      <c r="R16" s="235"/>
      <c r="S16" s="233">
        <f t="shared" si="4"/>
        <v>9069.27066823</v>
      </c>
      <c r="T16" s="235"/>
      <c r="U16" s="233">
        <f t="shared" si="5"/>
        <v>1912.530981</v>
      </c>
      <c r="V16" s="235"/>
      <c r="W16" s="96">
        <f t="shared" si="0"/>
        <v>169026.69533398</v>
      </c>
      <c r="X16" s="105"/>
    </row>
    <row r="17" spans="1:24" ht="15">
      <c r="A17" s="93" t="s">
        <v>33</v>
      </c>
      <c r="B17" s="233">
        <v>33660338</v>
      </c>
      <c r="C17" s="235"/>
      <c r="D17" s="233">
        <v>16563301</v>
      </c>
      <c r="E17" s="235"/>
      <c r="F17" s="101">
        <v>123437.36</v>
      </c>
      <c r="G17" s="101"/>
      <c r="H17" s="233">
        <v>15833.28</v>
      </c>
      <c r="I17" s="235"/>
      <c r="J17" s="230">
        <v>1573</v>
      </c>
      <c r="K17" s="243"/>
      <c r="L17" s="101"/>
      <c r="M17" s="233">
        <f t="shared" si="1"/>
        <v>62877.511384</v>
      </c>
      <c r="N17" s="235"/>
      <c r="O17" s="233">
        <f t="shared" si="2"/>
        <v>28025.105292000004</v>
      </c>
      <c r="P17" s="235"/>
      <c r="Q17" s="233">
        <f t="shared" si="3"/>
        <v>80150.47003256</v>
      </c>
      <c r="R17" s="235"/>
      <c r="S17" s="233">
        <f t="shared" si="4"/>
        <v>7625.79847968</v>
      </c>
      <c r="T17" s="235"/>
      <c r="U17" s="233">
        <f t="shared" si="5"/>
        <v>1917.4067770000001</v>
      </c>
      <c r="V17" s="235"/>
      <c r="W17" s="96">
        <f t="shared" si="0"/>
        <v>180596.29196524</v>
      </c>
      <c r="X17" s="105"/>
    </row>
    <row r="18" spans="1:24" ht="15">
      <c r="A18" s="93" t="s">
        <v>34</v>
      </c>
      <c r="B18" s="233">
        <v>26411886</v>
      </c>
      <c r="C18" s="235"/>
      <c r="D18" s="233">
        <v>12576509</v>
      </c>
      <c r="E18" s="235"/>
      <c r="F18" s="101">
        <v>118155.51</v>
      </c>
      <c r="G18" s="101"/>
      <c r="H18" s="233">
        <v>15402.24</v>
      </c>
      <c r="I18" s="235"/>
      <c r="J18" s="230">
        <v>1578</v>
      </c>
      <c r="K18" s="243"/>
      <c r="L18" s="101"/>
      <c r="M18" s="233">
        <f t="shared" si="1"/>
        <v>49337.403048</v>
      </c>
      <c r="N18" s="235"/>
      <c r="O18" s="233">
        <f t="shared" si="2"/>
        <v>21279.453228000002</v>
      </c>
      <c r="P18" s="235"/>
      <c r="Q18" s="233">
        <f t="shared" si="3"/>
        <v>76720.85390871</v>
      </c>
      <c r="R18" s="235"/>
      <c r="S18" s="233">
        <f t="shared" si="4"/>
        <v>7418.19625344</v>
      </c>
      <c r="T18" s="235"/>
      <c r="U18" s="233">
        <f t="shared" si="5"/>
        <v>1923.501522</v>
      </c>
      <c r="V18" s="235"/>
      <c r="W18" s="96">
        <f t="shared" si="0"/>
        <v>156679.40796015</v>
      </c>
      <c r="X18" s="105"/>
    </row>
    <row r="19" spans="1:24" ht="15">
      <c r="A19" s="93" t="s">
        <v>36</v>
      </c>
      <c r="B19" s="233">
        <v>57801782.83</v>
      </c>
      <c r="C19" s="235"/>
      <c r="D19" s="233">
        <v>24775953</v>
      </c>
      <c r="E19" s="235"/>
      <c r="F19" s="101">
        <v>97116.6</v>
      </c>
      <c r="G19" s="101"/>
      <c r="H19" s="233">
        <v>12486.53</v>
      </c>
      <c r="I19" s="235"/>
      <c r="J19" s="230">
        <v>0</v>
      </c>
      <c r="K19" s="243"/>
      <c r="L19" s="101"/>
      <c r="M19" s="233">
        <f>+B19*$M$7</f>
        <v>107973.73032644</v>
      </c>
      <c r="N19" s="235"/>
      <c r="O19" s="233">
        <f>+D19*$O$7</f>
        <v>41920.912476000005</v>
      </c>
      <c r="P19" s="235"/>
      <c r="Q19" s="233">
        <f>+F19*$Q$7</f>
        <v>63059.84782860001</v>
      </c>
      <c r="R19" s="235"/>
      <c r="S19" s="233">
        <f>+H19*$S$7</f>
        <v>6013.89993043</v>
      </c>
      <c r="T19" s="235"/>
      <c r="U19" s="233">
        <f>+J19*$U$7</f>
        <v>0</v>
      </c>
      <c r="V19" s="235"/>
      <c r="W19" s="96">
        <f>SUM(M19:U19)</f>
        <v>218968.39056147</v>
      </c>
      <c r="X19" s="105"/>
    </row>
    <row r="20" spans="1:24" ht="15">
      <c r="A20" s="97"/>
      <c r="B20" s="233"/>
      <c r="C20" s="235"/>
      <c r="D20" s="233"/>
      <c r="E20" s="235"/>
      <c r="F20" s="101"/>
      <c r="G20" s="101"/>
      <c r="H20" s="233"/>
      <c r="I20" s="235"/>
      <c r="J20" s="101"/>
      <c r="K20" s="235"/>
      <c r="L20" s="101"/>
      <c r="M20" s="233"/>
      <c r="N20" s="235"/>
      <c r="O20" s="233"/>
      <c r="P20" s="235"/>
      <c r="Q20" s="233"/>
      <c r="R20" s="235"/>
      <c r="S20" s="233"/>
      <c r="T20" s="235"/>
      <c r="U20" s="233"/>
      <c r="V20" s="235"/>
      <c r="W20" s="96"/>
      <c r="X20" s="105"/>
    </row>
    <row r="21" spans="1:24" ht="15.75" thickBot="1">
      <c r="A21" s="102"/>
      <c r="B21" s="246"/>
      <c r="C21" s="244"/>
      <c r="D21" s="246"/>
      <c r="E21" s="244"/>
      <c r="F21" s="104"/>
      <c r="G21" s="104"/>
      <c r="H21" s="246"/>
      <c r="I21" s="244"/>
      <c r="J21" s="104"/>
      <c r="K21" s="244"/>
      <c r="L21" s="101"/>
      <c r="M21" s="236">
        <f>SUM(M9:M20)</f>
        <v>593391.09138244</v>
      </c>
      <c r="N21" s="237"/>
      <c r="O21" s="236">
        <f>SUM(O9:O20)</f>
        <v>256931.262816</v>
      </c>
      <c r="P21" s="237"/>
      <c r="Q21" s="236">
        <f>SUM(Q9:Q20)</f>
        <v>882089.32152368</v>
      </c>
      <c r="R21" s="237"/>
      <c r="S21" s="236">
        <f>SUM(S9:S20)</f>
        <v>87167.63308904</v>
      </c>
      <c r="T21" s="237"/>
      <c r="U21" s="236">
        <f>SUM(U9:U20)</f>
        <v>19093.496256</v>
      </c>
      <c r="V21" s="237"/>
      <c r="W21" s="100">
        <f>SUM(W9:W20)</f>
        <v>1838672.80506716</v>
      </c>
      <c r="X21" s="105"/>
    </row>
    <row r="22" spans="2:24" ht="15.75" thickBot="1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1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2:24" ht="16.5" thickBot="1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208">
        <f>SUM(M21:U21)</f>
        <v>1838672.8050671597</v>
      </c>
      <c r="R23" s="148"/>
      <c r="S23" s="105"/>
      <c r="T23" s="105"/>
      <c r="U23" s="105"/>
      <c r="V23" s="105"/>
      <c r="W23" s="105"/>
      <c r="X23" s="105"/>
    </row>
    <row r="24" spans="13:24" ht="15"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3:24" ht="15"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3:24" ht="15"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3:24" ht="15"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3:24" ht="15"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3:24" ht="15"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3:24" ht="15"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3:24" ht="15"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ht="15.75" thickBot="1"/>
    <row r="33" spans="1:23" ht="16.5" thickBot="1">
      <c r="A33" s="238"/>
      <c r="B33" s="381" t="s">
        <v>146</v>
      </c>
      <c r="C33" s="382"/>
      <c r="D33" s="382"/>
      <c r="E33" s="383"/>
      <c r="F33" s="381" t="s">
        <v>27</v>
      </c>
      <c r="G33" s="382"/>
      <c r="H33" s="382"/>
      <c r="I33" s="382"/>
      <c r="J33" s="382"/>
      <c r="K33" s="383"/>
      <c r="M33" s="381" t="s">
        <v>37</v>
      </c>
      <c r="N33" s="382"/>
      <c r="O33" s="382"/>
      <c r="P33" s="382"/>
      <c r="Q33" s="382"/>
      <c r="R33" s="382"/>
      <c r="S33" s="382"/>
      <c r="T33" s="382"/>
      <c r="U33" s="382"/>
      <c r="V33" s="382"/>
      <c r="W33" s="383"/>
    </row>
    <row r="34" spans="1:23" s="82" customFormat="1" ht="16.5" thickBot="1">
      <c r="A34" s="209"/>
      <c r="B34" s="391" t="s">
        <v>20</v>
      </c>
      <c r="C34" s="397"/>
      <c r="D34" s="393" t="s">
        <v>21</v>
      </c>
      <c r="E34" s="394"/>
      <c r="F34" s="395" t="s">
        <v>22</v>
      </c>
      <c r="G34" s="396"/>
      <c r="H34" s="398" t="s">
        <v>23</v>
      </c>
      <c r="I34" s="398"/>
      <c r="J34" s="384" t="s">
        <v>24</v>
      </c>
      <c r="K34" s="385"/>
      <c r="M34" s="391" t="s">
        <v>20</v>
      </c>
      <c r="N34" s="392"/>
      <c r="O34" s="393" t="s">
        <v>21</v>
      </c>
      <c r="P34" s="394"/>
      <c r="Q34" s="395" t="s">
        <v>22</v>
      </c>
      <c r="R34" s="396"/>
      <c r="S34" s="389" t="s">
        <v>23</v>
      </c>
      <c r="T34" s="390"/>
      <c r="U34" s="384" t="s">
        <v>24</v>
      </c>
      <c r="V34" s="385"/>
      <c r="W34" s="166" t="s">
        <v>25</v>
      </c>
    </row>
    <row r="35" spans="1:23" s="110" customFormat="1" ht="15.75">
      <c r="A35" s="239" t="s">
        <v>35</v>
      </c>
      <c r="B35" s="89"/>
      <c r="C35" s="91"/>
      <c r="D35" s="89"/>
      <c r="E35" s="132"/>
      <c r="F35" s="89"/>
      <c r="G35" s="132"/>
      <c r="H35" s="91"/>
      <c r="I35" s="91"/>
      <c r="J35" s="89"/>
      <c r="K35" s="132"/>
      <c r="M35" s="89">
        <f>0.000432+0.001436</f>
        <v>0.0018679999999999999</v>
      </c>
      <c r="N35" s="132"/>
      <c r="O35" s="248">
        <f>0.000391+0.001301</f>
        <v>0.0016920000000000001</v>
      </c>
      <c r="P35" s="132"/>
      <c r="Q35" s="89">
        <f>0.150075+0.499246</f>
        <v>0.649321</v>
      </c>
      <c r="R35" s="132"/>
      <c r="S35" s="89">
        <f>0.111317+0.370314</f>
        <v>0.481631</v>
      </c>
      <c r="T35" s="132"/>
      <c r="U35" s="89">
        <f>0.28173+0.937219</f>
        <v>1.218949</v>
      </c>
      <c r="V35" s="132"/>
      <c r="W35" s="92"/>
    </row>
    <row r="36" spans="1:23" s="110" customFormat="1" ht="15.75">
      <c r="A36" s="240">
        <v>2003</v>
      </c>
      <c r="B36" s="245"/>
      <c r="C36" s="241"/>
      <c r="D36" s="245"/>
      <c r="E36" s="242"/>
      <c r="F36" s="245"/>
      <c r="G36" s="242"/>
      <c r="H36" s="241"/>
      <c r="I36" s="241"/>
      <c r="J36" s="245"/>
      <c r="K36" s="242"/>
      <c r="L36" s="111"/>
      <c r="M36" s="136"/>
      <c r="N36" s="137"/>
      <c r="O36" s="89"/>
      <c r="P36" s="132"/>
      <c r="Q36" s="89"/>
      <c r="R36" s="132"/>
      <c r="S36" s="89"/>
      <c r="T36" s="132"/>
      <c r="U36" s="89"/>
      <c r="V36" s="132"/>
      <c r="W36" s="92"/>
    </row>
    <row r="37" spans="1:23" ht="15">
      <c r="A37" s="93" t="s">
        <v>36</v>
      </c>
      <c r="B37" s="138">
        <v>-57801782.83</v>
      </c>
      <c r="C37" s="140"/>
      <c r="D37" s="138">
        <v>-24775953</v>
      </c>
      <c r="E37" s="139"/>
      <c r="F37" s="138">
        <v>-97116.6</v>
      </c>
      <c r="G37" s="139"/>
      <c r="H37" s="140">
        <v>-12486.53</v>
      </c>
      <c r="I37" s="140"/>
      <c r="J37" s="138">
        <v>0</v>
      </c>
      <c r="K37" s="139"/>
      <c r="L37" s="140"/>
      <c r="M37" s="138">
        <f>+B37*$M$7</f>
        <v>-107973.73032644</v>
      </c>
      <c r="N37" s="139"/>
      <c r="O37" s="138">
        <f>+D37*$O$7</f>
        <v>-41920.912476000005</v>
      </c>
      <c r="P37" s="139"/>
      <c r="Q37" s="138">
        <f>+F37*$Q$7</f>
        <v>-63059.84782860001</v>
      </c>
      <c r="R37" s="139"/>
      <c r="S37" s="138">
        <f>+H37*$S$7</f>
        <v>-6013.89993043</v>
      </c>
      <c r="T37" s="139"/>
      <c r="U37" s="138">
        <f>+J37*$U$7</f>
        <v>0</v>
      </c>
      <c r="V37" s="139"/>
      <c r="W37" s="141">
        <f>SUM(M37:U37)</f>
        <v>-218968.39056147</v>
      </c>
    </row>
    <row r="38" spans="1:23" ht="15">
      <c r="A38" s="249" t="s">
        <v>57</v>
      </c>
      <c r="B38" s="138">
        <v>37974474</v>
      </c>
      <c r="C38" s="140"/>
      <c r="D38" s="138">
        <v>17344588</v>
      </c>
      <c r="E38" s="139"/>
      <c r="F38" s="138">
        <v>124610.74</v>
      </c>
      <c r="G38" s="139"/>
      <c r="H38" s="140">
        <v>15186.24</v>
      </c>
      <c r="I38" s="140"/>
      <c r="J38" s="138">
        <v>1583.43</v>
      </c>
      <c r="K38" s="139"/>
      <c r="L38" s="140"/>
      <c r="M38" s="138">
        <f>+B38*$M$7</f>
        <v>70936.317432</v>
      </c>
      <c r="N38" s="139"/>
      <c r="O38" s="138">
        <f>+D38*$O$7</f>
        <v>29347.042896000003</v>
      </c>
      <c r="P38" s="139"/>
      <c r="Q38" s="138">
        <f>+F38*$Q$7</f>
        <v>80912.37030754001</v>
      </c>
      <c r="R38" s="139"/>
      <c r="S38" s="138">
        <f>+H38*$S$7</f>
        <v>7314.16395744</v>
      </c>
      <c r="T38" s="139"/>
      <c r="U38" s="138">
        <f>+J38*$U$7</f>
        <v>1930.1204150700003</v>
      </c>
      <c r="V38" s="139"/>
      <c r="W38" s="141">
        <f>SUM(M38:U38)</f>
        <v>190440.01500805002</v>
      </c>
    </row>
    <row r="39" spans="1:23" ht="15">
      <c r="A39" s="249" t="s">
        <v>58</v>
      </c>
      <c r="B39" s="138">
        <v>33433014</v>
      </c>
      <c r="C39" s="140"/>
      <c r="D39" s="138">
        <v>14452681</v>
      </c>
      <c r="E39" s="139"/>
      <c r="F39" s="138">
        <v>119849.64</v>
      </c>
      <c r="G39" s="139"/>
      <c r="H39" s="140">
        <v>15242.4</v>
      </c>
      <c r="I39" s="140"/>
      <c r="J39" s="138">
        <v>1584.3</v>
      </c>
      <c r="K39" s="139"/>
      <c r="L39" s="140"/>
      <c r="M39" s="138">
        <f>+B39*$M$7</f>
        <v>62452.870151999996</v>
      </c>
      <c r="N39" s="139"/>
      <c r="O39" s="138">
        <f>+D39*$O$7</f>
        <v>24453.936252000003</v>
      </c>
      <c r="P39" s="139"/>
      <c r="Q39" s="138">
        <f>+F39*$Q$7</f>
        <v>77820.88809444</v>
      </c>
      <c r="R39" s="139"/>
      <c r="S39" s="138">
        <f>+H39*$S$7</f>
        <v>7341.2123544</v>
      </c>
      <c r="T39" s="139"/>
      <c r="U39" s="138">
        <f>+J39*$U$7</f>
        <v>1931.1809007</v>
      </c>
      <c r="V39" s="139"/>
      <c r="W39" s="141">
        <f aca="true" t="shared" si="6" ref="W39:W49">SUM(M39:U39)</f>
        <v>174000.08775354002</v>
      </c>
    </row>
    <row r="40" spans="1:24" ht="15">
      <c r="A40" s="249" t="s">
        <v>59</v>
      </c>
      <c r="B40" s="138">
        <v>42771602</v>
      </c>
      <c r="C40" s="140"/>
      <c r="D40" s="138">
        <v>19007604</v>
      </c>
      <c r="E40" s="139"/>
      <c r="F40" s="138">
        <v>121313.04</v>
      </c>
      <c r="G40" s="139"/>
      <c r="H40" s="140">
        <v>15225.6</v>
      </c>
      <c r="I40" s="140"/>
      <c r="J40" s="138">
        <v>1584.23</v>
      </c>
      <c r="K40" s="139"/>
      <c r="L40" s="140"/>
      <c r="M40" s="138">
        <f>+B40*$M$7</f>
        <v>79897.35253599999</v>
      </c>
      <c r="N40" s="139"/>
      <c r="O40" s="138">
        <f>+D40*$O$7</f>
        <v>32160.865968000002</v>
      </c>
      <c r="P40" s="139"/>
      <c r="Q40" s="138">
        <f>+F40*$Q$7</f>
        <v>78771.10444584</v>
      </c>
      <c r="R40" s="139"/>
      <c r="S40" s="138">
        <f>+H40*$S$7</f>
        <v>7333.1209536</v>
      </c>
      <c r="T40" s="139"/>
      <c r="U40" s="138">
        <f>+J40*$U$7</f>
        <v>1931.09557427</v>
      </c>
      <c r="V40" s="139"/>
      <c r="W40" s="141">
        <f t="shared" si="6"/>
        <v>200093.53947771</v>
      </c>
      <c r="X40" s="105"/>
    </row>
    <row r="41" spans="1:24" ht="15">
      <c r="A41" s="249" t="s">
        <v>60</v>
      </c>
      <c r="B41" s="138">
        <v>30081174</v>
      </c>
      <c r="C41" s="140"/>
      <c r="D41" s="138">
        <v>13513740</v>
      </c>
      <c r="E41" s="139"/>
      <c r="F41" s="138">
        <v>121629.68</v>
      </c>
      <c r="G41" s="139"/>
      <c r="H41" s="140">
        <v>15252.48</v>
      </c>
      <c r="I41" s="140"/>
      <c r="J41" s="138">
        <v>1588.82</v>
      </c>
      <c r="K41" s="139"/>
      <c r="L41" s="140"/>
      <c r="M41" s="138">
        <f>+B41*$M$7</f>
        <v>56191.633032</v>
      </c>
      <c r="N41" s="139"/>
      <c r="O41" s="138">
        <f>+D41*$O$7</f>
        <v>22865.24808</v>
      </c>
      <c r="P41" s="139"/>
      <c r="Q41" s="138">
        <f>+F41*$Q$7</f>
        <v>78976.70544728</v>
      </c>
      <c r="R41" s="139"/>
      <c r="S41" s="138">
        <f>+H41*$S$7</f>
        <v>7346.067194879999</v>
      </c>
      <c r="T41" s="139"/>
      <c r="U41" s="138">
        <f>+J41*$U$7</f>
        <v>1936.69055018</v>
      </c>
      <c r="V41" s="139"/>
      <c r="W41" s="141">
        <f t="shared" si="6"/>
        <v>167316.34430434</v>
      </c>
      <c r="X41" s="105"/>
    </row>
    <row r="42" spans="1:24" ht="15">
      <c r="A42" s="249" t="s">
        <v>61</v>
      </c>
      <c r="B42" s="138">
        <v>36408945</v>
      </c>
      <c r="C42" s="140"/>
      <c r="D42" s="138">
        <v>17336111</v>
      </c>
      <c r="E42" s="139"/>
      <c r="F42" s="138">
        <v>126034.52</v>
      </c>
      <c r="G42" s="139"/>
      <c r="H42" s="140">
        <v>14631.84</v>
      </c>
      <c r="I42" s="140"/>
      <c r="J42" s="138">
        <v>1595.01</v>
      </c>
      <c r="K42" s="139"/>
      <c r="L42" s="140"/>
      <c r="M42" s="138">
        <f aca="true" t="shared" si="7" ref="M42:M48">+B42*$M$7</f>
        <v>68011.90926</v>
      </c>
      <c r="N42" s="139"/>
      <c r="O42" s="138">
        <f aca="true" t="shared" si="8" ref="O42:O48">+D42*$O$7</f>
        <v>29332.699812000003</v>
      </c>
      <c r="P42" s="139"/>
      <c r="Q42" s="138">
        <f aca="true" t="shared" si="9" ref="Q42:Q48">+F42*$Q$7</f>
        <v>81836.86056092</v>
      </c>
      <c r="R42" s="139"/>
      <c r="S42" s="138">
        <f aca="true" t="shared" si="10" ref="S42:S48">+H42*$S$7</f>
        <v>7047.14773104</v>
      </c>
      <c r="T42" s="139"/>
      <c r="U42" s="138">
        <f aca="true" t="shared" si="11" ref="U42:U48">+J42*$U$7</f>
        <v>1944.23584449</v>
      </c>
      <c r="V42" s="139"/>
      <c r="W42" s="141">
        <f t="shared" si="6"/>
        <v>188172.85320845</v>
      </c>
      <c r="X42" s="105"/>
    </row>
    <row r="43" spans="1:24" ht="15">
      <c r="A43" s="249" t="s">
        <v>62</v>
      </c>
      <c r="B43" s="138">
        <v>23915739</v>
      </c>
      <c r="C43" s="140"/>
      <c r="D43" s="138">
        <v>12528733</v>
      </c>
      <c r="E43" s="139"/>
      <c r="F43" s="138">
        <v>121590.25</v>
      </c>
      <c r="G43" s="139"/>
      <c r="H43" s="140">
        <v>13529.76</v>
      </c>
      <c r="I43" s="140"/>
      <c r="J43" s="138">
        <v>1595.01</v>
      </c>
      <c r="K43" s="139"/>
      <c r="L43" s="140"/>
      <c r="M43" s="138">
        <f t="shared" si="7"/>
        <v>44674.600452</v>
      </c>
      <c r="N43" s="139"/>
      <c r="O43" s="138">
        <f t="shared" si="8"/>
        <v>21198.616236</v>
      </c>
      <c r="P43" s="139"/>
      <c r="Q43" s="138">
        <f t="shared" si="9"/>
        <v>78951.10272025001</v>
      </c>
      <c r="R43" s="139"/>
      <c r="S43" s="138">
        <f t="shared" si="10"/>
        <v>6516.35183856</v>
      </c>
      <c r="T43" s="139"/>
      <c r="U43" s="138">
        <f t="shared" si="11"/>
        <v>1944.23584449</v>
      </c>
      <c r="V43" s="139"/>
      <c r="W43" s="141">
        <f t="shared" si="6"/>
        <v>153284.9070913</v>
      </c>
      <c r="X43" s="105"/>
    </row>
    <row r="44" spans="1:24" ht="15">
      <c r="A44" s="249" t="s">
        <v>63</v>
      </c>
      <c r="B44" s="138">
        <v>31673751</v>
      </c>
      <c r="C44" s="140"/>
      <c r="D44" s="138">
        <v>16244318</v>
      </c>
      <c r="E44" s="139"/>
      <c r="F44" s="138">
        <v>133912.45</v>
      </c>
      <c r="G44" s="139"/>
      <c r="H44" s="140">
        <v>17763.16</v>
      </c>
      <c r="I44" s="140"/>
      <c r="J44" s="138">
        <v>1595.01</v>
      </c>
      <c r="K44" s="139"/>
      <c r="L44" s="140"/>
      <c r="M44" s="138">
        <f t="shared" si="7"/>
        <v>59166.566867999994</v>
      </c>
      <c r="N44" s="139"/>
      <c r="O44" s="138">
        <f t="shared" si="8"/>
        <v>27485.386056000003</v>
      </c>
      <c r="P44" s="139"/>
      <c r="Q44" s="138">
        <f t="shared" si="9"/>
        <v>86952.16594645001</v>
      </c>
      <c r="R44" s="139"/>
      <c r="S44" s="138">
        <f t="shared" si="10"/>
        <v>8555.28851396</v>
      </c>
      <c r="T44" s="139"/>
      <c r="U44" s="138">
        <f t="shared" si="11"/>
        <v>1944.23584449</v>
      </c>
      <c r="V44" s="139"/>
      <c r="W44" s="141">
        <f t="shared" si="6"/>
        <v>184103.6432289</v>
      </c>
      <c r="X44" s="105"/>
    </row>
    <row r="45" spans="1:24" ht="15">
      <c r="A45" s="249" t="s">
        <v>64</v>
      </c>
      <c r="B45" s="252">
        <v>25174529</v>
      </c>
      <c r="C45" s="156"/>
      <c r="D45" s="138">
        <v>12612096</v>
      </c>
      <c r="E45" s="139"/>
      <c r="F45" s="138">
        <v>125597.21</v>
      </c>
      <c r="G45" s="139"/>
      <c r="H45" s="140">
        <v>18114.1</v>
      </c>
      <c r="I45" s="140"/>
      <c r="J45" s="138">
        <v>1594.81</v>
      </c>
      <c r="K45" s="139"/>
      <c r="L45" s="140"/>
      <c r="M45" s="138">
        <f t="shared" si="7"/>
        <v>47026.020172</v>
      </c>
      <c r="N45" s="139"/>
      <c r="O45" s="138">
        <f t="shared" si="8"/>
        <v>21339.666432</v>
      </c>
      <c r="P45" s="139"/>
      <c r="Q45" s="138">
        <f t="shared" si="9"/>
        <v>81552.90599441002</v>
      </c>
      <c r="R45" s="139"/>
      <c r="S45" s="138">
        <f t="shared" si="10"/>
        <v>8724.312097099999</v>
      </c>
      <c r="T45" s="139"/>
      <c r="U45" s="138">
        <f t="shared" si="11"/>
        <v>1943.99205469</v>
      </c>
      <c r="V45" s="139"/>
      <c r="W45" s="141">
        <f t="shared" si="6"/>
        <v>160586.89675020002</v>
      </c>
      <c r="X45" s="105"/>
    </row>
    <row r="46" spans="1:24" ht="15">
      <c r="A46" s="249" t="s">
        <v>65</v>
      </c>
      <c r="B46" s="138">
        <v>36979675</v>
      </c>
      <c r="C46" s="140"/>
      <c r="D46" s="138">
        <v>17122941</v>
      </c>
      <c r="E46" s="139"/>
      <c r="F46" s="138">
        <v>137159.23</v>
      </c>
      <c r="G46" s="139"/>
      <c r="H46" s="140">
        <v>17375.52</v>
      </c>
      <c r="I46" s="140"/>
      <c r="J46" s="138">
        <v>1594.56</v>
      </c>
      <c r="K46" s="139"/>
      <c r="L46" s="140"/>
      <c r="M46" s="138">
        <f t="shared" si="7"/>
        <v>69078.03289999999</v>
      </c>
      <c r="N46" s="139"/>
      <c r="O46" s="138">
        <f t="shared" si="8"/>
        <v>28972.016172000003</v>
      </c>
      <c r="P46" s="139"/>
      <c r="Q46" s="138">
        <f t="shared" si="9"/>
        <v>89060.36838283001</v>
      </c>
      <c r="R46" s="139"/>
      <c r="S46" s="138">
        <f t="shared" si="10"/>
        <v>8368.58907312</v>
      </c>
      <c r="T46" s="139"/>
      <c r="U46" s="138">
        <f t="shared" si="11"/>
        <v>1943.68731744</v>
      </c>
      <c r="V46" s="139"/>
      <c r="W46" s="141">
        <f t="shared" si="6"/>
        <v>197422.69384539002</v>
      </c>
      <c r="X46" s="105"/>
    </row>
    <row r="47" spans="1:24" ht="15">
      <c r="A47" s="249" t="s">
        <v>66</v>
      </c>
      <c r="B47" s="138">
        <v>23657185</v>
      </c>
      <c r="C47" s="140"/>
      <c r="D47" s="138">
        <v>12031046</v>
      </c>
      <c r="E47" s="139"/>
      <c r="F47" s="138">
        <v>129588.21</v>
      </c>
      <c r="G47" s="139"/>
      <c r="H47" s="140">
        <v>16539.84</v>
      </c>
      <c r="I47" s="140"/>
      <c r="J47" s="138">
        <v>1598.83</v>
      </c>
      <c r="K47" s="139"/>
      <c r="L47" s="140"/>
      <c r="M47" s="138">
        <f t="shared" si="7"/>
        <v>44191.62158</v>
      </c>
      <c r="N47" s="139"/>
      <c r="O47" s="138">
        <f t="shared" si="8"/>
        <v>20356.529832</v>
      </c>
      <c r="P47" s="139"/>
      <c r="Q47" s="138">
        <f t="shared" si="9"/>
        <v>84144.34610541</v>
      </c>
      <c r="R47" s="139"/>
      <c r="S47" s="138">
        <f t="shared" si="10"/>
        <v>7966.0996790399995</v>
      </c>
      <c r="T47" s="139"/>
      <c r="U47" s="138">
        <f t="shared" si="11"/>
        <v>1948.89222967</v>
      </c>
      <c r="V47" s="139"/>
      <c r="W47" s="141">
        <f t="shared" si="6"/>
        <v>158607.48942611998</v>
      </c>
      <c r="X47" s="105"/>
    </row>
    <row r="48" spans="1:24" ht="15">
      <c r="A48" s="249" t="s">
        <v>67</v>
      </c>
      <c r="B48" s="138">
        <v>32568244</v>
      </c>
      <c r="C48" s="140"/>
      <c r="D48" s="138">
        <v>15989555</v>
      </c>
      <c r="E48" s="139"/>
      <c r="F48" s="138">
        <v>127898.49</v>
      </c>
      <c r="G48" s="139"/>
      <c r="H48" s="140">
        <v>16200.96</v>
      </c>
      <c r="I48" s="140"/>
      <c r="J48" s="138">
        <v>1598.44</v>
      </c>
      <c r="K48" s="139"/>
      <c r="L48" s="140"/>
      <c r="M48" s="138">
        <f t="shared" si="7"/>
        <v>60837.479792</v>
      </c>
      <c r="N48" s="139"/>
      <c r="O48" s="138">
        <f t="shared" si="8"/>
        <v>27054.327060000003</v>
      </c>
      <c r="P48" s="139"/>
      <c r="Q48" s="138">
        <f t="shared" si="9"/>
        <v>83047.17542529001</v>
      </c>
      <c r="R48" s="139"/>
      <c r="S48" s="138">
        <f t="shared" si="10"/>
        <v>7802.8845657599995</v>
      </c>
      <c r="T48" s="139"/>
      <c r="U48" s="138">
        <f t="shared" si="11"/>
        <v>1948.4168395600002</v>
      </c>
      <c r="V48" s="139"/>
      <c r="W48" s="141">
        <f t="shared" si="6"/>
        <v>180690.28368261002</v>
      </c>
      <c r="X48" s="105"/>
    </row>
    <row r="49" spans="1:24" ht="15">
      <c r="A49" s="249" t="s">
        <v>68</v>
      </c>
      <c r="B49" s="138">
        <v>25371062</v>
      </c>
      <c r="C49" s="140"/>
      <c r="D49" s="252">
        <v>12319155</v>
      </c>
      <c r="E49" s="253"/>
      <c r="F49" s="138">
        <v>121990.34</v>
      </c>
      <c r="G49" s="139"/>
      <c r="H49" s="140">
        <v>14796.96</v>
      </c>
      <c r="I49" s="140"/>
      <c r="J49" s="138">
        <v>1598.3</v>
      </c>
      <c r="K49" s="139"/>
      <c r="L49" s="140"/>
      <c r="M49" s="138">
        <f>+B49*$M$7</f>
        <v>47393.143815999996</v>
      </c>
      <c r="N49" s="139"/>
      <c r="O49" s="138">
        <f>+D49*$O$7</f>
        <v>20844.010260000003</v>
      </c>
      <c r="P49" s="139"/>
      <c r="Q49" s="138">
        <f>+F49*$Q$7</f>
        <v>79210.88955914</v>
      </c>
      <c r="R49" s="139"/>
      <c r="S49" s="138">
        <f>+H49*$S$7</f>
        <v>7126.674641759999</v>
      </c>
      <c r="T49" s="139"/>
      <c r="U49" s="138">
        <f>+J49*$U$7</f>
        <v>1948.2461867</v>
      </c>
      <c r="V49" s="139"/>
      <c r="W49" s="141">
        <f t="shared" si="6"/>
        <v>156522.96446360002</v>
      </c>
      <c r="X49" s="105"/>
    </row>
    <row r="50" spans="1:24" ht="15">
      <c r="A50" s="249" t="s">
        <v>78</v>
      </c>
      <c r="B50" s="138">
        <v>59710913</v>
      </c>
      <c r="C50" s="140"/>
      <c r="D50" s="138">
        <v>24505510</v>
      </c>
      <c r="E50" s="139"/>
      <c r="F50" s="138">
        <v>110735.94</v>
      </c>
      <c r="G50" s="139"/>
      <c r="H50" s="140">
        <v>13951.2</v>
      </c>
      <c r="I50" s="140"/>
      <c r="J50" s="138"/>
      <c r="K50" s="139"/>
      <c r="L50" s="140"/>
      <c r="M50" s="138">
        <f>+B50*$M$7</f>
        <v>111539.98548399999</v>
      </c>
      <c r="N50" s="139"/>
      <c r="O50" s="138">
        <f>+D50*$O$7</f>
        <v>41463.322920000006</v>
      </c>
      <c r="P50" s="139"/>
      <c r="Q50" s="138">
        <f>+F50*$Q$7</f>
        <v>71903.17129674001</v>
      </c>
      <c r="R50" s="139"/>
      <c r="S50" s="138">
        <f>+H50*$S$7</f>
        <v>6719.3304072</v>
      </c>
      <c r="T50" s="139"/>
      <c r="U50" s="138">
        <f>+J50*$U$7</f>
        <v>0</v>
      </c>
      <c r="V50" s="139"/>
      <c r="W50" s="141">
        <f>SUM(M50:U50)</f>
        <v>231625.81010794002</v>
      </c>
      <c r="X50" s="105"/>
    </row>
    <row r="51" spans="1:24" ht="15.75" thickBot="1">
      <c r="A51" s="250"/>
      <c r="B51" s="142">
        <f>SUM(B37:B50)</f>
        <v>381918524.17</v>
      </c>
      <c r="C51" s="115">
        <f aca="true" t="shared" si="12" ref="C51:J51">SUM(C37:C50)</f>
        <v>0</v>
      </c>
      <c r="D51" s="142">
        <f t="shared" si="12"/>
        <v>180232125</v>
      </c>
      <c r="E51" s="143">
        <f t="shared" si="12"/>
        <v>0</v>
      </c>
      <c r="F51" s="142">
        <f t="shared" si="12"/>
        <v>1524793.14</v>
      </c>
      <c r="G51" s="143">
        <f t="shared" si="12"/>
        <v>0</v>
      </c>
      <c r="H51" s="115">
        <f t="shared" si="12"/>
        <v>191323.53</v>
      </c>
      <c r="I51" s="115">
        <f t="shared" si="12"/>
        <v>0</v>
      </c>
      <c r="J51" s="142">
        <f t="shared" si="12"/>
        <v>19110.749999999996</v>
      </c>
      <c r="K51" s="251"/>
      <c r="L51" s="140"/>
      <c r="M51" s="142">
        <f aca="true" t="shared" si="13" ref="M51:W51">SUM(M37:M50)</f>
        <v>713423.8031495599</v>
      </c>
      <c r="N51" s="143"/>
      <c r="O51" s="142">
        <f t="shared" si="13"/>
        <v>304952.7555</v>
      </c>
      <c r="P51" s="143"/>
      <c r="Q51" s="142">
        <f t="shared" si="13"/>
        <v>990080.2064579402</v>
      </c>
      <c r="R51" s="143"/>
      <c r="S51" s="142">
        <f t="shared" si="13"/>
        <v>92147.34307742999</v>
      </c>
      <c r="T51" s="143"/>
      <c r="U51" s="142">
        <f t="shared" si="13"/>
        <v>23295.029601749997</v>
      </c>
      <c r="V51" s="143"/>
      <c r="W51" s="144">
        <f t="shared" si="13"/>
        <v>2123899.13778668</v>
      </c>
      <c r="X51" s="105"/>
    </row>
    <row r="52" spans="1:24" ht="15.75" thickBot="1">
      <c r="A52" s="211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05">
        <f>+W51-Q53</f>
        <v>0</v>
      </c>
      <c r="X52" s="105"/>
    </row>
    <row r="53" spans="1:24" ht="16.5" thickBot="1">
      <c r="A53" s="212"/>
      <c r="B53" s="117"/>
      <c r="C53" s="140"/>
      <c r="D53" s="117"/>
      <c r="E53" s="117"/>
      <c r="F53" s="117"/>
      <c r="G53" s="117"/>
      <c r="H53" s="117"/>
      <c r="I53" s="117"/>
      <c r="J53" s="117"/>
      <c r="K53" s="140"/>
      <c r="L53" s="140"/>
      <c r="M53" s="113"/>
      <c r="N53" s="113"/>
      <c r="O53" s="113"/>
      <c r="P53" s="113"/>
      <c r="Q53" s="210">
        <f>SUM(M51:U51)</f>
        <v>2123899.13778668</v>
      </c>
      <c r="R53" s="168"/>
      <c r="S53" s="113"/>
      <c r="T53" s="113"/>
      <c r="U53" s="113"/>
      <c r="V53" s="113"/>
      <c r="W53" s="105"/>
      <c r="X53" s="105"/>
    </row>
    <row r="54" spans="1:24" ht="15.75">
      <c r="A54" s="212"/>
      <c r="B54" s="117"/>
      <c r="C54" s="140"/>
      <c r="D54" s="117"/>
      <c r="E54" s="140"/>
      <c r="F54" s="117"/>
      <c r="G54" s="117"/>
      <c r="H54" s="117"/>
      <c r="I54" s="213"/>
      <c r="J54" s="117"/>
      <c r="K54" s="140"/>
      <c r="L54" s="140"/>
      <c r="M54" s="113"/>
      <c r="N54" s="113"/>
      <c r="O54" s="113"/>
      <c r="P54" s="113"/>
      <c r="Q54" s="168"/>
      <c r="R54" s="168"/>
      <c r="S54" s="114"/>
      <c r="T54" s="113"/>
      <c r="U54" s="113"/>
      <c r="V54" s="113"/>
      <c r="W54" s="105"/>
      <c r="X54" s="105"/>
    </row>
    <row r="55" spans="1:24" ht="15.75">
      <c r="A55" s="212"/>
      <c r="B55" s="117"/>
      <c r="C55" s="140"/>
      <c r="D55" s="117"/>
      <c r="E55" s="140"/>
      <c r="F55" s="117"/>
      <c r="G55" s="117"/>
      <c r="H55" s="117"/>
      <c r="I55" s="214"/>
      <c r="J55" s="117"/>
      <c r="K55" s="140"/>
      <c r="L55" s="140"/>
      <c r="M55" s="113"/>
      <c r="N55" s="113"/>
      <c r="O55" s="113"/>
      <c r="P55" s="113"/>
      <c r="Q55" s="168"/>
      <c r="R55" s="168"/>
      <c r="S55" s="114"/>
      <c r="T55" s="113"/>
      <c r="U55" s="113"/>
      <c r="V55" s="113"/>
      <c r="W55" s="105"/>
      <c r="X55" s="105"/>
    </row>
    <row r="56" spans="1:24" ht="15.75">
      <c r="A56" s="212"/>
      <c r="B56" s="117"/>
      <c r="C56" s="140"/>
      <c r="D56" s="117"/>
      <c r="E56" s="140"/>
      <c r="F56" s="117"/>
      <c r="G56" s="117"/>
      <c r="H56" s="117"/>
      <c r="I56" s="214"/>
      <c r="J56" s="117"/>
      <c r="K56" s="140"/>
      <c r="L56" s="140"/>
      <c r="M56" s="113"/>
      <c r="N56" s="113"/>
      <c r="O56" s="113"/>
      <c r="P56" s="113"/>
      <c r="Q56" s="168"/>
      <c r="R56" s="168"/>
      <c r="S56" s="114"/>
      <c r="T56" s="113"/>
      <c r="U56" s="113"/>
      <c r="V56" s="113"/>
      <c r="W56" s="105"/>
      <c r="X56" s="105"/>
    </row>
    <row r="57" spans="1:24" ht="15.75">
      <c r="A57" s="212"/>
      <c r="B57" s="117"/>
      <c r="C57" s="140"/>
      <c r="D57" s="117"/>
      <c r="E57" s="140"/>
      <c r="F57" s="117"/>
      <c r="G57" s="117"/>
      <c r="H57" s="117"/>
      <c r="I57" s="214"/>
      <c r="J57" s="117"/>
      <c r="K57" s="140"/>
      <c r="L57" s="140"/>
      <c r="M57" s="113"/>
      <c r="N57" s="113"/>
      <c r="O57" s="113"/>
      <c r="P57" s="113"/>
      <c r="Q57" s="168"/>
      <c r="R57" s="168"/>
      <c r="S57" s="114"/>
      <c r="T57" s="113"/>
      <c r="U57" s="113"/>
      <c r="V57" s="113"/>
      <c r="W57" s="105"/>
      <c r="X57" s="105"/>
    </row>
    <row r="58" spans="1:24" ht="15.75">
      <c r="A58" s="212"/>
      <c r="B58" s="117"/>
      <c r="C58" s="140"/>
      <c r="D58" s="117"/>
      <c r="E58" s="140"/>
      <c r="F58" s="117"/>
      <c r="G58" s="117"/>
      <c r="H58" s="117"/>
      <c r="I58" s="214"/>
      <c r="J58" s="117"/>
      <c r="K58" s="140"/>
      <c r="L58" s="140"/>
      <c r="M58" s="113"/>
      <c r="N58" s="113"/>
      <c r="O58" s="113"/>
      <c r="P58" s="113"/>
      <c r="Q58" s="168"/>
      <c r="R58" s="168"/>
      <c r="S58" s="114"/>
      <c r="T58" s="113"/>
      <c r="U58" s="113"/>
      <c r="V58" s="113"/>
      <c r="W58" s="105"/>
      <c r="X58" s="105"/>
    </row>
    <row r="59" spans="1:24" ht="15">
      <c r="A59" s="109"/>
      <c r="B59" s="109"/>
      <c r="C59" s="109"/>
      <c r="D59" s="109"/>
      <c r="E59" s="109"/>
      <c r="F59" s="109"/>
      <c r="G59" s="109"/>
      <c r="H59" s="101"/>
      <c r="I59" s="109"/>
      <c r="J59" s="109"/>
      <c r="K59" s="109"/>
      <c r="L59" s="109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1:24" ht="12" customHeight="1">
      <c r="A60" s="109"/>
      <c r="B60" s="109"/>
      <c r="C60" s="109"/>
      <c r="D60" s="109"/>
      <c r="E60" s="109"/>
      <c r="F60" s="109"/>
      <c r="G60" s="109"/>
      <c r="H60" s="149"/>
      <c r="I60" s="149"/>
      <c r="J60" s="149"/>
      <c r="K60" s="149"/>
      <c r="L60" s="150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1:12" ht="11.25" customHeight="1">
      <c r="A61" s="118"/>
      <c r="B61" s="118"/>
      <c r="C61" s="118"/>
      <c r="D61" s="215"/>
      <c r="E61" s="215"/>
      <c r="F61" s="119"/>
      <c r="G61" s="119"/>
      <c r="H61" s="151"/>
      <c r="I61" s="151"/>
      <c r="J61" s="152"/>
      <c r="K61" s="152"/>
      <c r="L61" s="151"/>
    </row>
    <row r="62" spans="1:12" ht="11.25" customHeight="1">
      <c r="A62" s="118"/>
      <c r="B62" s="118"/>
      <c r="C62" s="118"/>
      <c r="D62" s="215"/>
      <c r="E62" s="215"/>
      <c r="F62" s="119"/>
      <c r="G62" s="119"/>
      <c r="H62" s="151"/>
      <c r="I62" s="151"/>
      <c r="J62" s="152"/>
      <c r="K62" s="152"/>
      <c r="L62" s="151"/>
    </row>
    <row r="63" spans="1:12" ht="11.25" customHeight="1">
      <c r="A63" s="118"/>
      <c r="B63" s="120"/>
      <c r="C63" s="120"/>
      <c r="D63" s="215"/>
      <c r="E63" s="215"/>
      <c r="F63" s="119"/>
      <c r="G63" s="119"/>
      <c r="H63" s="151"/>
      <c r="I63" s="151"/>
      <c r="J63" s="152"/>
      <c r="K63" s="152"/>
      <c r="L63" s="151"/>
    </row>
    <row r="64" spans="1:12" ht="12" customHeight="1">
      <c r="A64" s="118"/>
      <c r="B64" s="118"/>
      <c r="C64" s="118"/>
      <c r="D64" s="215"/>
      <c r="E64" s="215"/>
      <c r="F64" s="119"/>
      <c r="G64" s="119"/>
      <c r="H64" s="151"/>
      <c r="I64" s="151"/>
      <c r="J64" s="152"/>
      <c r="K64" s="152"/>
      <c r="L64" s="151"/>
    </row>
    <row r="65" spans="1:12" ht="12" customHeight="1">
      <c r="A65" s="118"/>
      <c r="B65" s="118"/>
      <c r="C65" s="118"/>
      <c r="D65" s="215"/>
      <c r="E65" s="215"/>
      <c r="F65" s="119"/>
      <c r="G65" s="119"/>
      <c r="H65" s="151"/>
      <c r="I65" s="151"/>
      <c r="J65" s="152"/>
      <c r="K65" s="152"/>
      <c r="L65" s="151"/>
    </row>
    <row r="66" spans="1:12" ht="12" customHeight="1">
      <c r="A66" s="118"/>
      <c r="B66" s="118"/>
      <c r="C66" s="118"/>
      <c r="D66" s="215"/>
      <c r="E66" s="215"/>
      <c r="F66" s="119"/>
      <c r="G66" s="119"/>
      <c r="H66" s="151"/>
      <c r="I66" s="151"/>
      <c r="J66" s="152"/>
      <c r="K66" s="152"/>
      <c r="L66" s="151"/>
    </row>
    <row r="67" spans="1:12" ht="12" customHeight="1">
      <c r="A67" s="118"/>
      <c r="B67" s="118"/>
      <c r="C67" s="118"/>
      <c r="D67" s="215"/>
      <c r="E67" s="215"/>
      <c r="F67" s="119"/>
      <c r="G67" s="119"/>
      <c r="H67" s="151"/>
      <c r="I67" s="151"/>
      <c r="J67" s="152"/>
      <c r="K67" s="152"/>
      <c r="L67" s="151"/>
    </row>
    <row r="68" spans="1:12" ht="12" customHeight="1">
      <c r="A68" s="216"/>
      <c r="B68" s="118"/>
      <c r="C68" s="118"/>
      <c r="D68" s="215"/>
      <c r="E68" s="215"/>
      <c r="F68" s="119"/>
      <c r="G68" s="119"/>
      <c r="H68" s="151"/>
      <c r="I68" s="151"/>
      <c r="J68" s="152"/>
      <c r="K68" s="152"/>
      <c r="L68" s="151"/>
    </row>
    <row r="69" spans="1:12" ht="12" customHeight="1">
      <c r="A69" s="118"/>
      <c r="B69" s="118"/>
      <c r="C69" s="118"/>
      <c r="D69" s="215"/>
      <c r="E69" s="215"/>
      <c r="F69" s="119"/>
      <c r="G69" s="119"/>
      <c r="H69" s="151"/>
      <c r="I69" s="151"/>
      <c r="J69" s="152"/>
      <c r="K69" s="152"/>
      <c r="L69" s="151"/>
    </row>
    <row r="70" spans="1:12" ht="11.25" customHeight="1">
      <c r="A70" s="118"/>
      <c r="B70" s="118"/>
      <c r="C70" s="118"/>
      <c r="D70" s="215"/>
      <c r="E70" s="215"/>
      <c r="F70" s="119"/>
      <c r="G70" s="119"/>
      <c r="H70" s="151"/>
      <c r="I70" s="151"/>
      <c r="J70" s="152"/>
      <c r="K70" s="152"/>
      <c r="L70" s="151"/>
    </row>
    <row r="71" spans="1:12" ht="12" customHeight="1">
      <c r="A71" s="118"/>
      <c r="B71" s="118"/>
      <c r="C71" s="118"/>
      <c r="D71" s="215"/>
      <c r="E71" s="215"/>
      <c r="F71" s="119"/>
      <c r="G71" s="119"/>
      <c r="H71" s="151"/>
      <c r="I71" s="151"/>
      <c r="J71" s="152"/>
      <c r="K71" s="152"/>
      <c r="L71" s="151"/>
    </row>
    <row r="72" spans="1:12" ht="12" customHeight="1">
      <c r="A72" s="118"/>
      <c r="B72" s="121"/>
      <c r="C72" s="121"/>
      <c r="D72" s="215"/>
      <c r="E72" s="215"/>
      <c r="F72" s="119"/>
      <c r="G72" s="119"/>
      <c r="H72" s="151"/>
      <c r="I72" s="151"/>
      <c r="J72" s="152"/>
      <c r="K72" s="152"/>
      <c r="L72" s="151"/>
    </row>
    <row r="73" spans="1:12" ht="9.75" customHeight="1">
      <c r="A73" s="118"/>
      <c r="B73" s="118"/>
      <c r="C73" s="118"/>
      <c r="D73" s="119"/>
      <c r="E73" s="119"/>
      <c r="F73" s="119"/>
      <c r="G73" s="119"/>
      <c r="H73" s="151"/>
      <c r="I73" s="151"/>
      <c r="J73" s="152"/>
      <c r="K73" s="152"/>
      <c r="L73" s="151"/>
    </row>
    <row r="74" spans="1:12" ht="15">
      <c r="A74" s="118"/>
      <c r="B74" s="118"/>
      <c r="C74" s="118"/>
      <c r="D74" s="119"/>
      <c r="E74" s="119"/>
      <c r="F74" s="119"/>
      <c r="G74" s="119"/>
      <c r="H74" s="151"/>
      <c r="I74" s="151"/>
      <c r="J74" s="151"/>
      <c r="K74" s="151"/>
      <c r="L74" s="151"/>
    </row>
    <row r="76" ht="15.75" thickBot="1"/>
    <row r="77" spans="1:23" ht="16.5" thickBot="1">
      <c r="A77" s="127"/>
      <c r="B77" s="386" t="s">
        <v>146</v>
      </c>
      <c r="C77" s="387"/>
      <c r="D77" s="387"/>
      <c r="E77" s="388"/>
      <c r="F77" s="386" t="s">
        <v>27</v>
      </c>
      <c r="G77" s="387"/>
      <c r="H77" s="387"/>
      <c r="I77" s="387"/>
      <c r="J77" s="387"/>
      <c r="K77" s="388"/>
      <c r="M77" s="386" t="s">
        <v>87</v>
      </c>
      <c r="N77" s="387"/>
      <c r="O77" s="387"/>
      <c r="P77" s="387"/>
      <c r="Q77" s="387"/>
      <c r="R77" s="387"/>
      <c r="S77" s="387"/>
      <c r="T77" s="387"/>
      <c r="U77" s="387"/>
      <c r="V77" s="387"/>
      <c r="W77" s="388"/>
    </row>
    <row r="78" spans="1:23" s="82" customFormat="1" ht="15.75">
      <c r="A78" s="260"/>
      <c r="B78" s="128" t="s">
        <v>20</v>
      </c>
      <c r="C78" s="160" t="s">
        <v>20</v>
      </c>
      <c r="D78" s="255" t="s">
        <v>21</v>
      </c>
      <c r="E78" s="264" t="s">
        <v>21</v>
      </c>
      <c r="F78" s="219" t="s">
        <v>22</v>
      </c>
      <c r="G78" s="267" t="s">
        <v>22</v>
      </c>
      <c r="H78" s="222" t="s">
        <v>23</v>
      </c>
      <c r="I78" s="269" t="s">
        <v>23</v>
      </c>
      <c r="J78" s="161" t="s">
        <v>24</v>
      </c>
      <c r="K78" s="162" t="s">
        <v>24</v>
      </c>
      <c r="M78" s="128" t="s">
        <v>20</v>
      </c>
      <c r="N78" s="160" t="s">
        <v>20</v>
      </c>
      <c r="O78" s="217" t="s">
        <v>21</v>
      </c>
      <c r="P78" s="264" t="s">
        <v>21</v>
      </c>
      <c r="Q78" s="221" t="s">
        <v>22</v>
      </c>
      <c r="R78" s="267" t="s">
        <v>22</v>
      </c>
      <c r="S78" s="222" t="s">
        <v>23</v>
      </c>
      <c r="T78" s="269" t="s">
        <v>23</v>
      </c>
      <c r="U78" s="129" t="s">
        <v>24</v>
      </c>
      <c r="V78" s="162" t="s">
        <v>24</v>
      </c>
      <c r="W78" s="376" t="s">
        <v>25</v>
      </c>
    </row>
    <row r="79" spans="1:23" s="82" customFormat="1" ht="16.5" thickBot="1">
      <c r="A79" s="260"/>
      <c r="B79" s="154" t="s">
        <v>84</v>
      </c>
      <c r="C79" s="163" t="s">
        <v>85</v>
      </c>
      <c r="D79" s="256" t="s">
        <v>84</v>
      </c>
      <c r="E79" s="265" t="s">
        <v>85</v>
      </c>
      <c r="F79" s="220" t="s">
        <v>84</v>
      </c>
      <c r="G79" s="268" t="s">
        <v>85</v>
      </c>
      <c r="H79" s="223" t="s">
        <v>84</v>
      </c>
      <c r="I79" s="270" t="s">
        <v>85</v>
      </c>
      <c r="J79" s="164" t="s">
        <v>84</v>
      </c>
      <c r="K79" s="165" t="s">
        <v>85</v>
      </c>
      <c r="M79" s="154" t="s">
        <v>84</v>
      </c>
      <c r="N79" s="163" t="s">
        <v>86</v>
      </c>
      <c r="O79" s="218" t="s">
        <v>84</v>
      </c>
      <c r="P79" s="265" t="s">
        <v>86</v>
      </c>
      <c r="Q79" s="224" t="s">
        <v>84</v>
      </c>
      <c r="R79" s="268" t="s">
        <v>86</v>
      </c>
      <c r="S79" s="223" t="s">
        <v>84</v>
      </c>
      <c r="T79" s="270" t="s">
        <v>86</v>
      </c>
      <c r="U79" s="155" t="s">
        <v>84</v>
      </c>
      <c r="V79" s="165" t="s">
        <v>86</v>
      </c>
      <c r="W79" s="377"/>
    </row>
    <row r="80" spans="1:23" s="110" customFormat="1" ht="15.75">
      <c r="A80" s="261" t="s">
        <v>144</v>
      </c>
      <c r="B80" s="89"/>
      <c r="C80" s="92"/>
      <c r="D80" s="89"/>
      <c r="E80" s="92"/>
      <c r="F80" s="91"/>
      <c r="G80" s="92"/>
      <c r="H80" s="91"/>
      <c r="I80" s="92"/>
      <c r="J80" s="91"/>
      <c r="K80" s="92"/>
      <c r="M80" s="89">
        <f>0.000432+0.001436</f>
        <v>0.0018679999999999999</v>
      </c>
      <c r="N80" s="92"/>
      <c r="O80" s="225">
        <f>0.000391+0.001301</f>
        <v>0.0016920000000000001</v>
      </c>
      <c r="P80" s="92"/>
      <c r="Q80" s="89">
        <f>0.150075+0.499246</f>
        <v>0.649321</v>
      </c>
      <c r="R80" s="92"/>
      <c r="S80" s="91">
        <f>0.111317+0.370314</f>
        <v>0.481631</v>
      </c>
      <c r="T80" s="92"/>
      <c r="U80" s="89">
        <f>0.28173+0.937219</f>
        <v>1.218949</v>
      </c>
      <c r="V80" s="92"/>
      <c r="W80" s="130"/>
    </row>
    <row r="81" spans="1:23" s="110" customFormat="1" ht="16.5" thickBot="1">
      <c r="A81" s="261" t="s">
        <v>145</v>
      </c>
      <c r="B81" s="89"/>
      <c r="C81" s="92"/>
      <c r="D81" s="89"/>
      <c r="E81" s="92"/>
      <c r="F81" s="91"/>
      <c r="G81" s="92"/>
      <c r="H81" s="91"/>
      <c r="I81" s="92"/>
      <c r="J81" s="91"/>
      <c r="K81" s="92"/>
      <c r="M81" s="133"/>
      <c r="N81" s="131">
        <v>0.004384</v>
      </c>
      <c r="O81" s="135"/>
      <c r="P81" s="131">
        <v>0.002904</v>
      </c>
      <c r="Q81" s="133"/>
      <c r="R81" s="131">
        <v>0.591644</v>
      </c>
      <c r="S81" s="135"/>
      <c r="T81" s="131">
        <v>0.496186</v>
      </c>
      <c r="U81" s="133"/>
      <c r="V81" s="131">
        <v>1.315681</v>
      </c>
      <c r="W81" s="131"/>
    </row>
    <row r="82" spans="1:23" s="110" customFormat="1" ht="15.75">
      <c r="A82" s="272">
        <v>2004</v>
      </c>
      <c r="B82" s="245"/>
      <c r="C82" s="258"/>
      <c r="D82" s="257"/>
      <c r="E82" s="266"/>
      <c r="F82" s="241"/>
      <c r="G82" s="258"/>
      <c r="H82" s="241"/>
      <c r="I82" s="258"/>
      <c r="J82" s="241"/>
      <c r="K82" s="258"/>
      <c r="L82" s="111"/>
      <c r="M82" s="136"/>
      <c r="N82" s="90"/>
      <c r="O82" s="91"/>
      <c r="P82" s="92"/>
      <c r="Q82" s="89"/>
      <c r="R82" s="92"/>
      <c r="S82" s="91"/>
      <c r="T82" s="92"/>
      <c r="U82" s="89"/>
      <c r="V82" s="92"/>
      <c r="W82" s="92"/>
    </row>
    <row r="83" spans="1:23" ht="15">
      <c r="A83" s="262" t="s">
        <v>78</v>
      </c>
      <c r="B83" s="252">
        <v>-59710913</v>
      </c>
      <c r="C83" s="259"/>
      <c r="D83" s="252">
        <v>-24505510</v>
      </c>
      <c r="E83" s="259"/>
      <c r="F83" s="156">
        <v>-110735.94</v>
      </c>
      <c r="G83" s="259"/>
      <c r="H83" s="156">
        <v>-13951.2</v>
      </c>
      <c r="I83" s="259"/>
      <c r="J83" s="156">
        <v>0</v>
      </c>
      <c r="K83" s="259"/>
      <c r="L83" s="140"/>
      <c r="M83" s="138">
        <f>+B83*$M$7</f>
        <v>-111539.98548399999</v>
      </c>
      <c r="N83" s="141">
        <f>+C83*$N$81</f>
        <v>0</v>
      </c>
      <c r="O83" s="140">
        <f>+D83*$O$7</f>
        <v>-41463.322920000006</v>
      </c>
      <c r="P83" s="141">
        <f>+E83*$P$81</f>
        <v>0</v>
      </c>
      <c r="Q83" s="138">
        <f>+F83*$Q$7</f>
        <v>-71903.17129674001</v>
      </c>
      <c r="R83" s="141">
        <f>+G83*$R$81</f>
        <v>0</v>
      </c>
      <c r="S83" s="140">
        <f>+H83*$S$7</f>
        <v>-6719.3304072</v>
      </c>
      <c r="T83" s="141">
        <f>+I83*$T$81</f>
        <v>0</v>
      </c>
      <c r="U83" s="138">
        <f>+J83*$U$7</f>
        <v>0</v>
      </c>
      <c r="V83" s="141">
        <f>+K83*$V$81</f>
        <v>0</v>
      </c>
      <c r="W83" s="141">
        <f aca="true" t="shared" si="14" ref="W83:W96">SUM(M83:V83)</f>
        <v>-231625.81010794002</v>
      </c>
    </row>
    <row r="84" spans="1:23" ht="15">
      <c r="A84" s="262" t="s">
        <v>57</v>
      </c>
      <c r="B84" s="252">
        <v>40042505</v>
      </c>
      <c r="C84" s="259"/>
      <c r="D84" s="252">
        <v>17394148</v>
      </c>
      <c r="E84" s="259"/>
      <c r="F84" s="156">
        <v>120256.43</v>
      </c>
      <c r="G84" s="259"/>
      <c r="H84" s="156">
        <v>13951.2</v>
      </c>
      <c r="I84" s="259"/>
      <c r="J84" s="156">
        <v>1598.3</v>
      </c>
      <c r="K84" s="259"/>
      <c r="L84" s="140"/>
      <c r="M84" s="138">
        <f>+B84*$M$7</f>
        <v>74799.39933999999</v>
      </c>
      <c r="N84" s="141">
        <f aca="true" t="shared" si="15" ref="N84:N96">+C84*$N$81</f>
        <v>0</v>
      </c>
      <c r="O84" s="140">
        <f>+D84*$O$7</f>
        <v>29430.898416000004</v>
      </c>
      <c r="P84" s="141">
        <f aca="true" t="shared" si="16" ref="P84:P96">+E84*$P$81</f>
        <v>0</v>
      </c>
      <c r="Q84" s="138">
        <f>+F84*$Q$7</f>
        <v>78085.02538403</v>
      </c>
      <c r="R84" s="141">
        <f aca="true" t="shared" si="17" ref="R84:R96">+G84*$R$81</f>
        <v>0</v>
      </c>
      <c r="S84" s="140">
        <f>+H84*$S$7</f>
        <v>6719.3304072</v>
      </c>
      <c r="T84" s="141">
        <f aca="true" t="shared" si="18" ref="T84:T96">+I84*$T$81</f>
        <v>0</v>
      </c>
      <c r="U84" s="138">
        <f>+J84*$U$7</f>
        <v>1948.2461867</v>
      </c>
      <c r="V84" s="141">
        <f aca="true" t="shared" si="19" ref="V84:V96">+K84*$V$81</f>
        <v>0</v>
      </c>
      <c r="W84" s="141">
        <f t="shared" si="14"/>
        <v>190982.89973392998</v>
      </c>
    </row>
    <row r="85" spans="1:23" ht="15">
      <c r="A85" s="262" t="s">
        <v>58</v>
      </c>
      <c r="B85" s="252">
        <v>33130828</v>
      </c>
      <c r="C85" s="259"/>
      <c r="D85" s="252">
        <v>14058270</v>
      </c>
      <c r="E85" s="259"/>
      <c r="F85" s="156">
        <v>123708.7</v>
      </c>
      <c r="G85" s="259"/>
      <c r="H85" s="156">
        <v>14456.64</v>
      </c>
      <c r="I85" s="259"/>
      <c r="J85" s="156">
        <v>1598.3</v>
      </c>
      <c r="K85" s="259"/>
      <c r="L85" s="140"/>
      <c r="M85" s="138">
        <f>+B85*$M$7</f>
        <v>61888.386704</v>
      </c>
      <c r="N85" s="141">
        <f t="shared" si="15"/>
        <v>0</v>
      </c>
      <c r="O85" s="140">
        <f>+D85*$O$7</f>
        <v>23786.59284</v>
      </c>
      <c r="P85" s="141">
        <f t="shared" si="16"/>
        <v>0</v>
      </c>
      <c r="Q85" s="138">
        <f>+F85*$Q$7</f>
        <v>80326.6567927</v>
      </c>
      <c r="R85" s="141">
        <f t="shared" si="17"/>
        <v>0</v>
      </c>
      <c r="S85" s="140">
        <f>+H85*$S$7</f>
        <v>6962.765979839999</v>
      </c>
      <c r="T85" s="141">
        <f t="shared" si="18"/>
        <v>0</v>
      </c>
      <c r="U85" s="138">
        <f>+J85*$U$7</f>
        <v>1948.2461867</v>
      </c>
      <c r="V85" s="141">
        <f t="shared" si="19"/>
        <v>0</v>
      </c>
      <c r="W85" s="141">
        <f t="shared" si="14"/>
        <v>174912.64850324002</v>
      </c>
    </row>
    <row r="86" spans="1:24" ht="15">
      <c r="A86" s="262" t="s">
        <v>59</v>
      </c>
      <c r="B86" s="252">
        <v>42865930</v>
      </c>
      <c r="C86" s="259"/>
      <c r="D86" s="252">
        <v>18495893</v>
      </c>
      <c r="E86" s="259"/>
      <c r="F86" s="156">
        <v>120747.44</v>
      </c>
      <c r="G86" s="259"/>
      <c r="H86" s="156">
        <v>15153.12</v>
      </c>
      <c r="I86" s="259"/>
      <c r="J86" s="156">
        <v>1601.08</v>
      </c>
      <c r="K86" s="259"/>
      <c r="L86" s="140"/>
      <c r="M86" s="138">
        <f>+B86*$M$7</f>
        <v>80073.55724</v>
      </c>
      <c r="N86" s="141">
        <f t="shared" si="15"/>
        <v>0</v>
      </c>
      <c r="O86" s="140">
        <f>+D86*$O$7</f>
        <v>31295.050956000003</v>
      </c>
      <c r="P86" s="141">
        <f t="shared" si="16"/>
        <v>0</v>
      </c>
      <c r="Q86" s="138">
        <f>+F86*$Q$7</f>
        <v>78403.84848824001</v>
      </c>
      <c r="R86" s="141">
        <f t="shared" si="17"/>
        <v>0</v>
      </c>
      <c r="S86" s="140">
        <f>+H86*$S$7</f>
        <v>7298.21233872</v>
      </c>
      <c r="T86" s="141">
        <f t="shared" si="18"/>
        <v>0</v>
      </c>
      <c r="U86" s="138">
        <f>+J86*$U$7</f>
        <v>1951.63486492</v>
      </c>
      <c r="V86" s="141">
        <f t="shared" si="19"/>
        <v>0</v>
      </c>
      <c r="W86" s="141">
        <f t="shared" si="14"/>
        <v>199022.30388788003</v>
      </c>
      <c r="X86" s="105"/>
    </row>
    <row r="87" spans="1:24" ht="15">
      <c r="A87" s="262" t="s">
        <v>60</v>
      </c>
      <c r="B87" s="252">
        <v>29111857</v>
      </c>
      <c r="C87" s="259">
        <v>1252995</v>
      </c>
      <c r="D87" s="252">
        <v>13601148</v>
      </c>
      <c r="E87" s="259">
        <v>557921</v>
      </c>
      <c r="F87" s="156">
        <v>122289.73</v>
      </c>
      <c r="G87" s="259"/>
      <c r="H87" s="156">
        <v>15128.16</v>
      </c>
      <c r="I87" s="259"/>
      <c r="J87" s="156">
        <v>1611.08</v>
      </c>
      <c r="K87" s="259"/>
      <c r="L87" s="140"/>
      <c r="M87" s="138">
        <f>+B87*$M$7</f>
        <v>54380.948875999995</v>
      </c>
      <c r="N87" s="141">
        <f t="shared" si="15"/>
        <v>5493.13008</v>
      </c>
      <c r="O87" s="140">
        <f>+D87*$O$7</f>
        <v>23013.142416000002</v>
      </c>
      <c r="P87" s="141">
        <f t="shared" si="16"/>
        <v>1620.202584</v>
      </c>
      <c r="Q87" s="138">
        <f>+F87*$Q$7</f>
        <v>79405.28977333</v>
      </c>
      <c r="R87" s="141">
        <f t="shared" si="17"/>
        <v>0</v>
      </c>
      <c r="S87" s="140">
        <f>+H87*$S$7</f>
        <v>7286.19082896</v>
      </c>
      <c r="T87" s="141">
        <f t="shared" si="18"/>
        <v>0</v>
      </c>
      <c r="U87" s="138">
        <f>+J87*$U$7</f>
        <v>1963.82435492</v>
      </c>
      <c r="V87" s="141">
        <f t="shared" si="19"/>
        <v>0</v>
      </c>
      <c r="W87" s="141">
        <f t="shared" si="14"/>
        <v>173162.72891321</v>
      </c>
      <c r="X87" s="105"/>
    </row>
    <row r="88" spans="1:24" ht="15">
      <c r="A88" s="262" t="s">
        <v>61</v>
      </c>
      <c r="B88" s="252">
        <v>20000140</v>
      </c>
      <c r="C88" s="259">
        <v>18294401</v>
      </c>
      <c r="D88" s="252">
        <v>9203470</v>
      </c>
      <c r="E88" s="259">
        <v>8661641</v>
      </c>
      <c r="F88" s="156"/>
      <c r="G88" s="259">
        <v>124721.85</v>
      </c>
      <c r="H88" s="156"/>
      <c r="I88" s="259">
        <v>14682.24</v>
      </c>
      <c r="J88" s="156"/>
      <c r="K88" s="259">
        <v>1611.08</v>
      </c>
      <c r="L88" s="140"/>
      <c r="M88" s="138">
        <f aca="true" t="shared" si="20" ref="M88:M94">+B88*$M$7</f>
        <v>37360.26152</v>
      </c>
      <c r="N88" s="141">
        <f t="shared" si="15"/>
        <v>80202.653984</v>
      </c>
      <c r="O88" s="140">
        <f aca="true" t="shared" si="21" ref="O88:O94">+D88*$O$7</f>
        <v>15572.271240000002</v>
      </c>
      <c r="P88" s="141">
        <f t="shared" si="16"/>
        <v>25153.405464</v>
      </c>
      <c r="Q88" s="138">
        <f aca="true" t="shared" si="22" ref="Q88:Q94">+F88*$Q$7</f>
        <v>0</v>
      </c>
      <c r="R88" s="141">
        <f t="shared" si="17"/>
        <v>73790.93422139999</v>
      </c>
      <c r="S88" s="140">
        <f aca="true" t="shared" si="23" ref="S88:S94">+H88*$S$7</f>
        <v>0</v>
      </c>
      <c r="T88" s="141">
        <f t="shared" si="18"/>
        <v>7285.12193664</v>
      </c>
      <c r="U88" s="138">
        <f aca="true" t="shared" si="24" ref="U88:U94">+J88*$U$7</f>
        <v>0</v>
      </c>
      <c r="V88" s="141">
        <f t="shared" si="19"/>
        <v>2119.66734548</v>
      </c>
      <c r="W88" s="141">
        <f t="shared" si="14"/>
        <v>241484.31571152003</v>
      </c>
      <c r="X88" s="105"/>
    </row>
    <row r="89" spans="1:24" ht="15">
      <c r="A89" s="262" t="s">
        <v>62</v>
      </c>
      <c r="B89" s="252">
        <v>2860213</v>
      </c>
      <c r="C89" s="259">
        <v>20540026</v>
      </c>
      <c r="D89" s="252">
        <v>716392</v>
      </c>
      <c r="E89" s="259">
        <v>11651701</v>
      </c>
      <c r="F89" s="156"/>
      <c r="G89" s="259">
        <v>130423.2</v>
      </c>
      <c r="H89" s="156"/>
      <c r="I89" s="259">
        <v>18174.24</v>
      </c>
      <c r="J89" s="156"/>
      <c r="K89" s="259">
        <v>1628.126</v>
      </c>
      <c r="L89" s="140"/>
      <c r="M89" s="138">
        <f t="shared" si="20"/>
        <v>5342.8778839999995</v>
      </c>
      <c r="N89" s="141">
        <f t="shared" si="15"/>
        <v>90047.473984</v>
      </c>
      <c r="O89" s="140">
        <f t="shared" si="21"/>
        <v>1212.135264</v>
      </c>
      <c r="P89" s="141">
        <f t="shared" si="16"/>
        <v>33836.539703999995</v>
      </c>
      <c r="Q89" s="138">
        <f t="shared" si="22"/>
        <v>0</v>
      </c>
      <c r="R89" s="141">
        <f t="shared" si="17"/>
        <v>77164.1037408</v>
      </c>
      <c r="S89" s="140">
        <f t="shared" si="23"/>
        <v>0</v>
      </c>
      <c r="T89" s="141">
        <f t="shared" si="18"/>
        <v>9017.803448640001</v>
      </c>
      <c r="U89" s="138">
        <f t="shared" si="24"/>
        <v>0</v>
      </c>
      <c r="V89" s="141">
        <f t="shared" si="19"/>
        <v>2142.094443806</v>
      </c>
      <c r="W89" s="141">
        <f t="shared" si="14"/>
        <v>218763.028469246</v>
      </c>
      <c r="X89" s="105"/>
    </row>
    <row r="90" spans="1:24" ht="15">
      <c r="A90" s="262" t="s">
        <v>63</v>
      </c>
      <c r="B90" s="252">
        <v>-8681</v>
      </c>
      <c r="C90" s="259">
        <v>32097750</v>
      </c>
      <c r="D90" s="252">
        <v>-4</v>
      </c>
      <c r="E90" s="259">
        <v>16093247</v>
      </c>
      <c r="F90" s="156"/>
      <c r="G90" s="259">
        <v>132750.66</v>
      </c>
      <c r="H90" s="156"/>
      <c r="I90" s="259">
        <v>18106.56</v>
      </c>
      <c r="J90" s="156"/>
      <c r="K90" s="259">
        <v>1640.94</v>
      </c>
      <c r="L90" s="140"/>
      <c r="M90" s="138">
        <f t="shared" si="20"/>
        <v>-16.216108</v>
      </c>
      <c r="N90" s="141">
        <f t="shared" si="15"/>
        <v>140716.536</v>
      </c>
      <c r="O90" s="140">
        <f t="shared" si="21"/>
        <v>-0.006768000000000001</v>
      </c>
      <c r="P90" s="141">
        <f t="shared" si="16"/>
        <v>46734.789288</v>
      </c>
      <c r="Q90" s="138">
        <f t="shared" si="22"/>
        <v>0</v>
      </c>
      <c r="R90" s="141">
        <f t="shared" si="17"/>
        <v>78541.13148504</v>
      </c>
      <c r="S90" s="140">
        <f t="shared" si="23"/>
        <v>0</v>
      </c>
      <c r="T90" s="141">
        <f t="shared" si="18"/>
        <v>8984.221580160001</v>
      </c>
      <c r="U90" s="138">
        <f t="shared" si="24"/>
        <v>0</v>
      </c>
      <c r="V90" s="141">
        <f t="shared" si="19"/>
        <v>2158.95358014</v>
      </c>
      <c r="W90" s="141">
        <f t="shared" si="14"/>
        <v>277119.40905734006</v>
      </c>
      <c r="X90" s="105"/>
    </row>
    <row r="91" spans="1:24" ht="15">
      <c r="A91" s="262" t="s">
        <v>64</v>
      </c>
      <c r="B91" s="252"/>
      <c r="C91" s="259">
        <v>23615733</v>
      </c>
      <c r="D91" s="252"/>
      <c r="E91" s="259">
        <v>12765718</v>
      </c>
      <c r="F91" s="156"/>
      <c r="G91" s="259">
        <v>131519.1</v>
      </c>
      <c r="H91" s="156"/>
      <c r="I91" s="259">
        <v>18198.24</v>
      </c>
      <c r="J91" s="156"/>
      <c r="K91" s="259">
        <v>1640.01</v>
      </c>
      <c r="L91" s="140"/>
      <c r="M91" s="138">
        <f t="shared" si="20"/>
        <v>0</v>
      </c>
      <c r="N91" s="141">
        <f t="shared" si="15"/>
        <v>103531.37347199999</v>
      </c>
      <c r="O91" s="140">
        <f t="shared" si="21"/>
        <v>0</v>
      </c>
      <c r="P91" s="141">
        <f t="shared" si="16"/>
        <v>37071.645072</v>
      </c>
      <c r="Q91" s="138">
        <f t="shared" si="22"/>
        <v>0</v>
      </c>
      <c r="R91" s="141">
        <f t="shared" si="17"/>
        <v>77812.4864004</v>
      </c>
      <c r="S91" s="140">
        <f t="shared" si="23"/>
        <v>0</v>
      </c>
      <c r="T91" s="141">
        <f t="shared" si="18"/>
        <v>9029.711912640001</v>
      </c>
      <c r="U91" s="138">
        <f t="shared" si="24"/>
        <v>0</v>
      </c>
      <c r="V91" s="141">
        <f t="shared" si="19"/>
        <v>2157.72999681</v>
      </c>
      <c r="W91" s="141">
        <f t="shared" si="14"/>
        <v>229602.94685384998</v>
      </c>
      <c r="X91" s="105"/>
    </row>
    <row r="92" spans="1:24" ht="15">
      <c r="A92" s="262" t="s">
        <v>65</v>
      </c>
      <c r="B92" s="252"/>
      <c r="C92" s="259">
        <v>36268385</v>
      </c>
      <c r="D92" s="252">
        <v>-12620</v>
      </c>
      <c r="E92" s="259">
        <v>16933806</v>
      </c>
      <c r="F92" s="156"/>
      <c r="G92" s="259">
        <v>130077.7</v>
      </c>
      <c r="H92" s="156"/>
      <c r="I92" s="259">
        <v>18004.8</v>
      </c>
      <c r="J92" s="156"/>
      <c r="K92" s="259">
        <v>1640.2</v>
      </c>
      <c r="L92" s="140"/>
      <c r="M92" s="138">
        <f t="shared" si="20"/>
        <v>0</v>
      </c>
      <c r="N92" s="141">
        <f t="shared" si="15"/>
        <v>159000.59984</v>
      </c>
      <c r="O92" s="140">
        <f t="shared" si="21"/>
        <v>-21.353040000000004</v>
      </c>
      <c r="P92" s="141">
        <f t="shared" si="16"/>
        <v>49175.772624</v>
      </c>
      <c r="Q92" s="138">
        <f t="shared" si="22"/>
        <v>0</v>
      </c>
      <c r="R92" s="141">
        <f t="shared" si="17"/>
        <v>76959.6907388</v>
      </c>
      <c r="S92" s="140">
        <f t="shared" si="23"/>
        <v>0</v>
      </c>
      <c r="T92" s="141">
        <f t="shared" si="18"/>
        <v>8933.7296928</v>
      </c>
      <c r="U92" s="138">
        <f t="shared" si="24"/>
        <v>0</v>
      </c>
      <c r="V92" s="141">
        <f t="shared" si="19"/>
        <v>2157.9799762000002</v>
      </c>
      <c r="W92" s="141">
        <f t="shared" si="14"/>
        <v>296206.4198318</v>
      </c>
      <c r="X92" s="105"/>
    </row>
    <row r="93" spans="1:24" ht="15">
      <c r="A93" s="262" t="s">
        <v>66</v>
      </c>
      <c r="B93" s="252">
        <v>-2244</v>
      </c>
      <c r="C93" s="259">
        <v>23221360</v>
      </c>
      <c r="D93" s="252"/>
      <c r="E93" s="259">
        <v>12538588</v>
      </c>
      <c r="F93" s="156"/>
      <c r="G93" s="259">
        <v>134111.5</v>
      </c>
      <c r="H93" s="156"/>
      <c r="I93" s="259">
        <v>17553.89</v>
      </c>
      <c r="J93" s="156"/>
      <c r="K93" s="259">
        <v>1647.01</v>
      </c>
      <c r="L93" s="140"/>
      <c r="M93" s="138">
        <f t="shared" si="20"/>
        <v>-4.1917919999999995</v>
      </c>
      <c r="N93" s="141">
        <f t="shared" si="15"/>
        <v>101802.44224</v>
      </c>
      <c r="O93" s="140">
        <f t="shared" si="21"/>
        <v>0</v>
      </c>
      <c r="P93" s="141">
        <f t="shared" si="16"/>
        <v>36412.059552</v>
      </c>
      <c r="Q93" s="138">
        <f t="shared" si="22"/>
        <v>0</v>
      </c>
      <c r="R93" s="141">
        <f t="shared" si="17"/>
        <v>79346.264306</v>
      </c>
      <c r="S93" s="140">
        <f t="shared" si="23"/>
        <v>0</v>
      </c>
      <c r="T93" s="141">
        <f t="shared" si="18"/>
        <v>8709.99446354</v>
      </c>
      <c r="U93" s="138">
        <f t="shared" si="24"/>
        <v>0</v>
      </c>
      <c r="V93" s="141">
        <f t="shared" si="19"/>
        <v>2166.93976381</v>
      </c>
      <c r="W93" s="141">
        <f t="shared" si="14"/>
        <v>228433.50853335</v>
      </c>
      <c r="X93" s="105"/>
    </row>
    <row r="94" spans="1:24" ht="15">
      <c r="A94" s="262" t="s">
        <v>67</v>
      </c>
      <c r="B94" s="252"/>
      <c r="C94" s="259">
        <v>33624403</v>
      </c>
      <c r="D94" s="252"/>
      <c r="E94" s="259">
        <v>16144012</v>
      </c>
      <c r="F94" s="156"/>
      <c r="G94" s="259">
        <v>127727.6</v>
      </c>
      <c r="H94" s="156"/>
      <c r="I94" s="259">
        <v>16673.82</v>
      </c>
      <c r="J94" s="156"/>
      <c r="K94" s="259">
        <v>1650.18</v>
      </c>
      <c r="L94" s="140"/>
      <c r="M94" s="138">
        <f t="shared" si="20"/>
        <v>0</v>
      </c>
      <c r="N94" s="141">
        <f t="shared" si="15"/>
        <v>147409.382752</v>
      </c>
      <c r="O94" s="140">
        <f t="shared" si="21"/>
        <v>0</v>
      </c>
      <c r="P94" s="141">
        <f t="shared" si="16"/>
        <v>46882.210847999995</v>
      </c>
      <c r="Q94" s="138">
        <f t="shared" si="22"/>
        <v>0</v>
      </c>
      <c r="R94" s="141">
        <f t="shared" si="17"/>
        <v>75569.2681744</v>
      </c>
      <c r="S94" s="140">
        <f t="shared" si="23"/>
        <v>0</v>
      </c>
      <c r="T94" s="141">
        <f t="shared" si="18"/>
        <v>8273.31605052</v>
      </c>
      <c r="U94" s="138">
        <f t="shared" si="24"/>
        <v>0</v>
      </c>
      <c r="V94" s="141">
        <f t="shared" si="19"/>
        <v>2171.11047258</v>
      </c>
      <c r="W94" s="141">
        <f t="shared" si="14"/>
        <v>280305.2882975</v>
      </c>
      <c r="X94" s="105"/>
    </row>
    <row r="95" spans="1:24" ht="15">
      <c r="A95" s="262" t="s">
        <v>68</v>
      </c>
      <c r="B95" s="252"/>
      <c r="C95" s="259">
        <v>25011405</v>
      </c>
      <c r="D95" s="252"/>
      <c r="E95" s="259">
        <v>12458931</v>
      </c>
      <c r="F95" s="156"/>
      <c r="G95" s="259">
        <v>121741.75</v>
      </c>
      <c r="H95" s="156"/>
      <c r="I95" s="259">
        <v>15369.87</v>
      </c>
      <c r="J95" s="156"/>
      <c r="K95" s="259">
        <v>1659.72</v>
      </c>
      <c r="L95" s="140"/>
      <c r="M95" s="138">
        <f>+B95*$M$7</f>
        <v>0</v>
      </c>
      <c r="N95" s="141">
        <f t="shared" si="15"/>
        <v>109649.99952</v>
      </c>
      <c r="O95" s="140">
        <f>+D95*$O$7</f>
        <v>0</v>
      </c>
      <c r="P95" s="141">
        <f t="shared" si="16"/>
        <v>36180.735624</v>
      </c>
      <c r="Q95" s="138">
        <f>+F95*$Q$7</f>
        <v>0</v>
      </c>
      <c r="R95" s="141">
        <f t="shared" si="17"/>
        <v>72027.775937</v>
      </c>
      <c r="S95" s="140">
        <f>+H95*$S$7</f>
        <v>0</v>
      </c>
      <c r="T95" s="141">
        <f t="shared" si="18"/>
        <v>7626.314315820001</v>
      </c>
      <c r="U95" s="138">
        <f>+J95*$U$7</f>
        <v>0</v>
      </c>
      <c r="V95" s="141">
        <f t="shared" si="19"/>
        <v>2183.6620693200002</v>
      </c>
      <c r="W95" s="141">
        <f t="shared" si="14"/>
        <v>227668.48746614</v>
      </c>
      <c r="X95" s="105"/>
    </row>
    <row r="96" spans="1:24" ht="15">
      <c r="A96" s="271" t="s">
        <v>100</v>
      </c>
      <c r="B96" s="252"/>
      <c r="C96" s="259">
        <v>62124170</v>
      </c>
      <c r="D96" s="252"/>
      <c r="E96" s="259">
        <v>26008393</v>
      </c>
      <c r="F96" s="156"/>
      <c r="G96" s="259">
        <v>116838</v>
      </c>
      <c r="H96" s="156"/>
      <c r="I96" s="259">
        <v>14878</v>
      </c>
      <c r="J96" s="156"/>
      <c r="K96" s="259"/>
      <c r="L96" s="140"/>
      <c r="M96" s="138">
        <f>+B96*$M$7</f>
        <v>0</v>
      </c>
      <c r="N96" s="141">
        <f t="shared" si="15"/>
        <v>272352.36128</v>
      </c>
      <c r="O96" s="140">
        <f>+D96*$O$7</f>
        <v>0</v>
      </c>
      <c r="P96" s="141">
        <f t="shared" si="16"/>
        <v>75528.373272</v>
      </c>
      <c r="Q96" s="138">
        <f>+F96*$Q$7</f>
        <v>0</v>
      </c>
      <c r="R96" s="141">
        <f t="shared" si="17"/>
        <v>69126.501672</v>
      </c>
      <c r="S96" s="140">
        <f>+H96*$S$7</f>
        <v>0</v>
      </c>
      <c r="T96" s="141">
        <f t="shared" si="18"/>
        <v>7382.255308</v>
      </c>
      <c r="U96" s="138">
        <f>+J96*$U$7</f>
        <v>0</v>
      </c>
      <c r="V96" s="141">
        <f t="shared" si="19"/>
        <v>0</v>
      </c>
      <c r="W96" s="141">
        <f t="shared" si="14"/>
        <v>424389.491532</v>
      </c>
      <c r="X96" s="105"/>
    </row>
    <row r="97" spans="1:24" ht="15.75" thickBot="1">
      <c r="A97" s="263"/>
      <c r="B97" s="142">
        <f aca="true" t="shared" si="25" ref="B97:K97">SUM(B83:B96)</f>
        <v>108289635</v>
      </c>
      <c r="C97" s="144">
        <f t="shared" si="25"/>
        <v>276050628</v>
      </c>
      <c r="D97" s="142">
        <f t="shared" si="25"/>
        <v>48951187</v>
      </c>
      <c r="E97" s="144">
        <f t="shared" si="25"/>
        <v>133813958</v>
      </c>
      <c r="F97" s="115">
        <f t="shared" si="25"/>
        <v>376266.36</v>
      </c>
      <c r="G97" s="144">
        <f t="shared" si="25"/>
        <v>1149911.3599999999</v>
      </c>
      <c r="H97" s="115">
        <f t="shared" si="25"/>
        <v>44737.92</v>
      </c>
      <c r="I97" s="144">
        <f t="shared" si="25"/>
        <v>151641.66</v>
      </c>
      <c r="J97" s="115">
        <f t="shared" si="25"/>
        <v>6408.76</v>
      </c>
      <c r="K97" s="144">
        <f t="shared" si="25"/>
        <v>13117.266</v>
      </c>
      <c r="L97" s="140"/>
      <c r="M97" s="142">
        <f aca="true" t="shared" si="26" ref="M97:W97">SUM(M83:M96)</f>
        <v>202285.03818</v>
      </c>
      <c r="N97" s="144">
        <f t="shared" si="26"/>
        <v>1210205.953152</v>
      </c>
      <c r="O97" s="115">
        <f t="shared" si="26"/>
        <v>82825.408404</v>
      </c>
      <c r="P97" s="144">
        <f t="shared" si="26"/>
        <v>388595.734032</v>
      </c>
      <c r="Q97" s="142">
        <f t="shared" si="26"/>
        <v>244317.64914156</v>
      </c>
      <c r="R97" s="144">
        <f t="shared" si="26"/>
        <v>680338.1566758399</v>
      </c>
      <c r="S97" s="115">
        <f t="shared" si="26"/>
        <v>21547.16914752</v>
      </c>
      <c r="T97" s="144">
        <f t="shared" si="26"/>
        <v>75242.46870876002</v>
      </c>
      <c r="U97" s="142">
        <f t="shared" si="26"/>
        <v>7811.951593239999</v>
      </c>
      <c r="V97" s="144">
        <f t="shared" si="26"/>
        <v>17258.137648146</v>
      </c>
      <c r="W97" s="144">
        <f t="shared" si="26"/>
        <v>2930427.6666830666</v>
      </c>
      <c r="X97" s="105"/>
    </row>
    <row r="98" spans="1:24" s="116" customFormat="1" ht="12.75" thickBot="1">
      <c r="A98" s="211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>
        <f>+W97-Q99</f>
        <v>0</v>
      </c>
      <c r="X98" s="145"/>
    </row>
    <row r="99" spans="1:24" s="116" customFormat="1" ht="16.5" thickBot="1">
      <c r="A99" s="211"/>
      <c r="B99" s="226"/>
      <c r="C99" s="226"/>
      <c r="D99" s="226"/>
      <c r="E99" s="226"/>
      <c r="F99" s="226"/>
      <c r="G99" s="227"/>
      <c r="H99" s="226"/>
      <c r="I99" s="226"/>
      <c r="J99" s="226"/>
      <c r="K99" s="227"/>
      <c r="L99" s="145"/>
      <c r="M99" s="145"/>
      <c r="N99" s="145"/>
      <c r="O99" s="145"/>
      <c r="P99" s="145"/>
      <c r="Q99" s="208">
        <f>SUM(M97:V97)</f>
        <v>2930427.6666830657</v>
      </c>
      <c r="R99" s="147"/>
      <c r="S99" s="145"/>
      <c r="T99" s="145"/>
      <c r="U99" s="145"/>
      <c r="V99" s="145"/>
      <c r="W99" s="145"/>
      <c r="X99" s="145"/>
    </row>
    <row r="100" spans="1:24" s="116" customFormat="1" ht="15.75">
      <c r="A100" s="212"/>
      <c r="B100" s="228"/>
      <c r="C100" s="226"/>
      <c r="D100" s="228"/>
      <c r="E100" s="226"/>
      <c r="F100" s="228"/>
      <c r="G100" s="227"/>
      <c r="H100" s="228"/>
      <c r="I100" s="228"/>
      <c r="J100" s="228"/>
      <c r="K100" s="229"/>
      <c r="L100" s="145"/>
      <c r="M100" s="145"/>
      <c r="N100" s="145"/>
      <c r="O100" s="145"/>
      <c r="P100" s="145"/>
      <c r="Q100" s="148"/>
      <c r="R100" s="147"/>
      <c r="S100" s="145"/>
      <c r="T100" s="145"/>
      <c r="U100" s="145"/>
      <c r="V100" s="145"/>
      <c r="W100" s="145"/>
      <c r="X100" s="145"/>
    </row>
    <row r="101" spans="1:24" s="116" customFormat="1" ht="15.75">
      <c r="A101" s="212"/>
      <c r="B101" s="228"/>
      <c r="C101" s="226"/>
      <c r="D101" s="228"/>
      <c r="E101" s="226"/>
      <c r="F101" s="228"/>
      <c r="G101" s="227"/>
      <c r="H101" s="228"/>
      <c r="I101" s="228"/>
      <c r="J101" s="228"/>
      <c r="K101" s="229"/>
      <c r="L101" s="145"/>
      <c r="M101" s="145"/>
      <c r="N101" s="145"/>
      <c r="O101" s="145"/>
      <c r="P101" s="145"/>
      <c r="Q101" s="148"/>
      <c r="R101" s="147"/>
      <c r="S101" s="145"/>
      <c r="T101" s="145"/>
      <c r="U101" s="145"/>
      <c r="V101" s="145"/>
      <c r="W101" s="145"/>
      <c r="X101" s="145"/>
    </row>
    <row r="102" spans="1:24" s="116" customFormat="1" ht="15.75">
      <c r="A102" s="212"/>
      <c r="B102" s="228"/>
      <c r="C102" s="228"/>
      <c r="D102" s="228"/>
      <c r="E102" s="228"/>
      <c r="F102" s="228"/>
      <c r="G102" s="229"/>
      <c r="H102" s="228"/>
      <c r="I102" s="228"/>
      <c r="J102" s="228"/>
      <c r="K102" s="227"/>
      <c r="L102" s="145"/>
      <c r="M102" s="145"/>
      <c r="N102" s="145"/>
      <c r="O102" s="145"/>
      <c r="P102" s="145"/>
      <c r="Q102" s="148"/>
      <c r="R102" s="147"/>
      <c r="S102" s="145"/>
      <c r="T102" s="145"/>
      <c r="U102" s="145"/>
      <c r="V102" s="145"/>
      <c r="W102" s="145"/>
      <c r="X102" s="145"/>
    </row>
    <row r="103" spans="1:24" s="116" customFormat="1" ht="15.75">
      <c r="A103" s="212"/>
      <c r="B103" s="117"/>
      <c r="C103" s="140"/>
      <c r="D103" s="117"/>
      <c r="E103" s="140"/>
      <c r="F103" s="117"/>
      <c r="G103" s="117"/>
      <c r="H103" s="117"/>
      <c r="I103" s="117"/>
      <c r="J103" s="117"/>
      <c r="K103" s="227"/>
      <c r="L103" s="145"/>
      <c r="M103" s="145"/>
      <c r="N103" s="145"/>
      <c r="O103" s="145"/>
      <c r="P103" s="145"/>
      <c r="Q103" s="148"/>
      <c r="R103" s="147"/>
      <c r="S103" s="145"/>
      <c r="T103" s="145"/>
      <c r="U103" s="145"/>
      <c r="V103" s="145"/>
      <c r="W103" s="145"/>
      <c r="X103" s="145"/>
    </row>
    <row r="104" spans="1:24" s="116" customFormat="1" ht="15.75">
      <c r="A104" s="211"/>
      <c r="B104" s="226"/>
      <c r="C104" s="226"/>
      <c r="D104" s="226"/>
      <c r="E104" s="226"/>
      <c r="F104" s="226"/>
      <c r="G104" s="227"/>
      <c r="H104" s="226"/>
      <c r="I104" s="226"/>
      <c r="J104" s="226"/>
      <c r="K104" s="227"/>
      <c r="L104" s="145"/>
      <c r="M104" s="145"/>
      <c r="N104" s="145"/>
      <c r="O104" s="145"/>
      <c r="P104" s="145"/>
      <c r="Q104" s="148"/>
      <c r="R104" s="147"/>
      <c r="S104" s="145"/>
      <c r="T104" s="145"/>
      <c r="U104" s="145"/>
      <c r="V104" s="145"/>
      <c r="W104" s="145"/>
      <c r="X104" s="145"/>
    </row>
    <row r="105" spans="1:24" ht="15">
      <c r="A105" s="109"/>
      <c r="B105" s="109"/>
      <c r="C105" s="109"/>
      <c r="D105" s="109"/>
      <c r="E105" s="109"/>
      <c r="F105" s="101"/>
      <c r="G105" s="230"/>
      <c r="H105" s="109"/>
      <c r="I105" s="109"/>
      <c r="J105" s="109"/>
      <c r="K105" s="109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</row>
    <row r="114" ht="15.75" thickBot="1"/>
    <row r="115" spans="1:23" ht="16.5" thickBot="1">
      <c r="A115" s="238"/>
      <c r="B115" s="386" t="s">
        <v>146</v>
      </c>
      <c r="C115" s="387"/>
      <c r="D115" s="387"/>
      <c r="E115" s="388"/>
      <c r="F115" s="386" t="s">
        <v>27</v>
      </c>
      <c r="G115" s="387"/>
      <c r="H115" s="387"/>
      <c r="I115" s="387"/>
      <c r="J115" s="387"/>
      <c r="K115" s="388"/>
      <c r="M115" s="386" t="s">
        <v>87</v>
      </c>
      <c r="N115" s="387"/>
      <c r="O115" s="387"/>
      <c r="P115" s="387"/>
      <c r="Q115" s="387"/>
      <c r="R115" s="387"/>
      <c r="S115" s="387"/>
      <c r="T115" s="387"/>
      <c r="U115" s="387"/>
      <c r="V115" s="387"/>
      <c r="W115" s="388"/>
    </row>
    <row r="116" spans="1:23" s="82" customFormat="1" ht="15.75">
      <c r="A116" s="209"/>
      <c r="B116" s="128" t="s">
        <v>20</v>
      </c>
      <c r="C116" s="160" t="s">
        <v>20</v>
      </c>
      <c r="D116" s="217" t="s">
        <v>21</v>
      </c>
      <c r="E116" s="264" t="s">
        <v>21</v>
      </c>
      <c r="F116" s="219" t="s">
        <v>22</v>
      </c>
      <c r="G116" s="267" t="s">
        <v>22</v>
      </c>
      <c r="H116" s="222" t="s">
        <v>23</v>
      </c>
      <c r="I116" s="269" t="s">
        <v>23</v>
      </c>
      <c r="J116" s="161" t="s">
        <v>24</v>
      </c>
      <c r="K116" s="162" t="s">
        <v>24</v>
      </c>
      <c r="M116" s="128" t="s">
        <v>20</v>
      </c>
      <c r="N116" s="160" t="s">
        <v>20</v>
      </c>
      <c r="O116" s="217" t="s">
        <v>21</v>
      </c>
      <c r="P116" s="264" t="s">
        <v>21</v>
      </c>
      <c r="Q116" s="221" t="s">
        <v>22</v>
      </c>
      <c r="R116" s="267" t="s">
        <v>22</v>
      </c>
      <c r="S116" s="222" t="s">
        <v>23</v>
      </c>
      <c r="T116" s="269" t="s">
        <v>23</v>
      </c>
      <c r="U116" s="129" t="s">
        <v>24</v>
      </c>
      <c r="V116" s="162" t="s">
        <v>24</v>
      </c>
      <c r="W116" s="376" t="s">
        <v>25</v>
      </c>
    </row>
    <row r="117" spans="1:23" s="82" customFormat="1" ht="16.5" thickBot="1">
      <c r="A117" s="209"/>
      <c r="B117" s="154" t="s">
        <v>84</v>
      </c>
      <c r="C117" s="163" t="s">
        <v>85</v>
      </c>
      <c r="D117" s="218" t="s">
        <v>84</v>
      </c>
      <c r="E117" s="265" t="s">
        <v>85</v>
      </c>
      <c r="F117" s="220" t="s">
        <v>84</v>
      </c>
      <c r="G117" s="268" t="s">
        <v>85</v>
      </c>
      <c r="H117" s="223" t="s">
        <v>84</v>
      </c>
      <c r="I117" s="270" t="s">
        <v>85</v>
      </c>
      <c r="J117" s="164" t="s">
        <v>84</v>
      </c>
      <c r="K117" s="165" t="s">
        <v>85</v>
      </c>
      <c r="M117" s="154" t="s">
        <v>84</v>
      </c>
      <c r="N117" s="163" t="s">
        <v>86</v>
      </c>
      <c r="O117" s="218" t="s">
        <v>84</v>
      </c>
      <c r="P117" s="265" t="s">
        <v>86</v>
      </c>
      <c r="Q117" s="224" t="s">
        <v>84</v>
      </c>
      <c r="R117" s="268" t="s">
        <v>86</v>
      </c>
      <c r="S117" s="223" t="s">
        <v>84</v>
      </c>
      <c r="T117" s="270" t="s">
        <v>86</v>
      </c>
      <c r="U117" s="155" t="s">
        <v>84</v>
      </c>
      <c r="V117" s="165" t="s">
        <v>86</v>
      </c>
      <c r="W117" s="377"/>
    </row>
    <row r="118" spans="1:23" s="110" customFormat="1" ht="15.75">
      <c r="A118" s="261" t="s">
        <v>144</v>
      </c>
      <c r="B118" s="91"/>
      <c r="C118" s="92"/>
      <c r="D118" s="91"/>
      <c r="E118" s="92"/>
      <c r="F118" s="91"/>
      <c r="G118" s="92"/>
      <c r="H118" s="91"/>
      <c r="I118" s="92"/>
      <c r="J118" s="91"/>
      <c r="K118" s="92"/>
      <c r="M118" s="89">
        <v>0.004384</v>
      </c>
      <c r="N118" s="92"/>
      <c r="O118" s="91">
        <v>0.002904</v>
      </c>
      <c r="P118" s="92"/>
      <c r="Q118" s="89">
        <v>0.591644</v>
      </c>
      <c r="R118" s="92"/>
      <c r="S118" s="91">
        <v>0.496186</v>
      </c>
      <c r="T118" s="92"/>
      <c r="U118" s="89">
        <v>1.315681</v>
      </c>
      <c r="V118" s="92"/>
      <c r="W118" s="130"/>
    </row>
    <row r="119" spans="1:23" s="110" customFormat="1" ht="16.5" thickBot="1">
      <c r="A119" s="261" t="s">
        <v>145</v>
      </c>
      <c r="B119" s="91"/>
      <c r="C119" s="92"/>
      <c r="D119" s="91"/>
      <c r="E119" s="92"/>
      <c r="F119" s="91"/>
      <c r="G119" s="92"/>
      <c r="H119" s="91"/>
      <c r="I119" s="92"/>
      <c r="J119" s="91"/>
      <c r="K119" s="92"/>
      <c r="M119" s="133"/>
      <c r="N119" s="131">
        <v>0.0045</v>
      </c>
      <c r="O119" s="135"/>
      <c r="P119" s="131">
        <v>0.0031</v>
      </c>
      <c r="Q119" s="133"/>
      <c r="R119" s="131">
        <v>0.6632</v>
      </c>
      <c r="S119" s="135"/>
      <c r="T119" s="131">
        <v>0.5428</v>
      </c>
      <c r="U119" s="133"/>
      <c r="V119" s="131">
        <v>1.3214</v>
      </c>
      <c r="W119" s="131"/>
    </row>
    <row r="120" spans="1:23" s="110" customFormat="1" ht="15.75">
      <c r="A120" s="240">
        <v>2005</v>
      </c>
      <c r="B120" s="241"/>
      <c r="C120" s="258"/>
      <c r="D120" s="254"/>
      <c r="E120" s="266"/>
      <c r="F120" s="241"/>
      <c r="G120" s="258"/>
      <c r="H120" s="241"/>
      <c r="I120" s="258"/>
      <c r="J120" s="241"/>
      <c r="K120" s="258"/>
      <c r="L120" s="111"/>
      <c r="M120" s="136"/>
      <c r="N120" s="90"/>
      <c r="O120" s="91"/>
      <c r="P120" s="92"/>
      <c r="Q120" s="89"/>
      <c r="R120" s="92"/>
      <c r="S120" s="91"/>
      <c r="T120" s="92"/>
      <c r="U120" s="89"/>
      <c r="V120" s="92"/>
      <c r="W120" s="92"/>
    </row>
    <row r="121" spans="1:23" ht="15">
      <c r="A121" s="249" t="s">
        <v>103</v>
      </c>
      <c r="B121" s="140">
        <v>-62124170</v>
      </c>
      <c r="C121" s="141"/>
      <c r="D121" s="140">
        <v>-26008393</v>
      </c>
      <c r="E121" s="141"/>
      <c r="F121" s="140">
        <v>-116838</v>
      </c>
      <c r="G121" s="141"/>
      <c r="H121" s="140">
        <v>-14878</v>
      </c>
      <c r="I121" s="141"/>
      <c r="J121" s="156"/>
      <c r="K121" s="141"/>
      <c r="L121" s="140"/>
      <c r="M121" s="138">
        <f>+B121*$M$118</f>
        <v>-272352.36128</v>
      </c>
      <c r="N121" s="141">
        <f>+C121*$N$119</f>
        <v>0</v>
      </c>
      <c r="O121" s="140">
        <f>+D121*$O$118</f>
        <v>-75528.373272</v>
      </c>
      <c r="P121" s="141">
        <f>+E121*$P$119</f>
        <v>0</v>
      </c>
      <c r="Q121" s="138">
        <f>+F121*$Q$118</f>
        <v>-69126.501672</v>
      </c>
      <c r="R121" s="141">
        <f>+G121*$R$119</f>
        <v>0</v>
      </c>
      <c r="S121" s="140">
        <f>+H121*$S$118</f>
        <v>-7382.255308</v>
      </c>
      <c r="T121" s="141">
        <f>+I121*$T$119</f>
        <v>0</v>
      </c>
      <c r="U121" s="138">
        <f>+J121*$U$118</f>
        <v>0</v>
      </c>
      <c r="V121" s="141">
        <f>+K121*$V$119</f>
        <v>0</v>
      </c>
      <c r="W121" s="141">
        <f aca="true" t="shared" si="27" ref="W121:W134">SUM(M121:V121)</f>
        <v>-424389.491532</v>
      </c>
    </row>
    <row r="122" spans="1:23" ht="15">
      <c r="A122" s="249" t="s">
        <v>57</v>
      </c>
      <c r="B122" s="140">
        <v>42119021</v>
      </c>
      <c r="C122" s="141"/>
      <c r="D122" s="156">
        <v>18340885</v>
      </c>
      <c r="E122" s="141"/>
      <c r="F122" s="140">
        <v>122550.34</v>
      </c>
      <c r="G122" s="141"/>
      <c r="H122" s="140">
        <v>14878.03</v>
      </c>
      <c r="I122" s="141"/>
      <c r="J122" s="140">
        <v>1659.72</v>
      </c>
      <c r="K122" s="141"/>
      <c r="L122" s="140"/>
      <c r="M122" s="138">
        <f aca="true" t="shared" si="28" ref="M122:M134">+B122*$M$118</f>
        <v>184649.788064</v>
      </c>
      <c r="N122" s="141">
        <f aca="true" t="shared" si="29" ref="N122:N134">+C122*$N$119</f>
        <v>0</v>
      </c>
      <c r="O122" s="140">
        <f aca="true" t="shared" si="30" ref="O122:O134">+D122*$O$118</f>
        <v>53261.93004</v>
      </c>
      <c r="P122" s="141">
        <f aca="true" t="shared" si="31" ref="P122:P134">+E122*$P$119</f>
        <v>0</v>
      </c>
      <c r="Q122" s="138">
        <f aca="true" t="shared" si="32" ref="Q122:Q134">+F122*$Q$118</f>
        <v>72506.17335895999</v>
      </c>
      <c r="R122" s="141">
        <f aca="true" t="shared" si="33" ref="R122:R134">+G122*$R$119</f>
        <v>0</v>
      </c>
      <c r="S122" s="140">
        <f aca="true" t="shared" si="34" ref="S122:S134">+H122*$S$118</f>
        <v>7382.2701935800005</v>
      </c>
      <c r="T122" s="141">
        <f aca="true" t="shared" si="35" ref="T122:T134">+I122*$T$119</f>
        <v>0</v>
      </c>
      <c r="U122" s="138">
        <f aca="true" t="shared" si="36" ref="U122:U134">+J122*$U$118</f>
        <v>2183.6620693200002</v>
      </c>
      <c r="V122" s="141">
        <f aca="true" t="shared" si="37" ref="V122:V134">+K122*$V$119</f>
        <v>0</v>
      </c>
      <c r="W122" s="141">
        <f t="shared" si="27"/>
        <v>319983.82372586</v>
      </c>
    </row>
    <row r="123" spans="1:23" ht="15">
      <c r="A123" s="249" t="s">
        <v>58</v>
      </c>
      <c r="B123" s="140">
        <v>33113507</v>
      </c>
      <c r="C123" s="141"/>
      <c r="D123" s="140">
        <v>14892101</v>
      </c>
      <c r="E123" s="141"/>
      <c r="F123" s="140">
        <v>125856.94</v>
      </c>
      <c r="G123" s="141"/>
      <c r="H123" s="140">
        <v>15166.01</v>
      </c>
      <c r="I123" s="141"/>
      <c r="J123" s="140">
        <v>1660.7529999999997</v>
      </c>
      <c r="K123" s="141"/>
      <c r="L123" s="140"/>
      <c r="M123" s="138">
        <f t="shared" si="28"/>
        <v>145169.614688</v>
      </c>
      <c r="N123" s="141">
        <f t="shared" si="29"/>
        <v>0</v>
      </c>
      <c r="O123" s="140">
        <f t="shared" si="30"/>
        <v>43246.661304</v>
      </c>
      <c r="P123" s="141">
        <f t="shared" si="31"/>
        <v>0</v>
      </c>
      <c r="Q123" s="138">
        <f t="shared" si="32"/>
        <v>74462.50340936</v>
      </c>
      <c r="R123" s="141">
        <f t="shared" si="33"/>
        <v>0</v>
      </c>
      <c r="S123" s="140">
        <f t="shared" si="34"/>
        <v>7525.161837860001</v>
      </c>
      <c r="T123" s="141">
        <f t="shared" si="35"/>
        <v>0</v>
      </c>
      <c r="U123" s="138">
        <f t="shared" si="36"/>
        <v>2185.0211677929997</v>
      </c>
      <c r="V123" s="141">
        <f t="shared" si="37"/>
        <v>0</v>
      </c>
      <c r="W123" s="141">
        <f t="shared" si="27"/>
        <v>272588.96240701305</v>
      </c>
    </row>
    <row r="124" spans="1:24" ht="15">
      <c r="A124" s="249" t="s">
        <v>59</v>
      </c>
      <c r="B124" s="140">
        <v>43631134</v>
      </c>
      <c r="C124" s="141"/>
      <c r="D124" s="140">
        <v>18801373</v>
      </c>
      <c r="E124" s="141"/>
      <c r="F124" s="156">
        <v>121810.45</v>
      </c>
      <c r="G124" s="141"/>
      <c r="H124" s="140">
        <v>15203.07</v>
      </c>
      <c r="I124" s="141"/>
      <c r="J124" s="140">
        <v>1662.2329999999997</v>
      </c>
      <c r="K124" s="141"/>
      <c r="L124" s="140"/>
      <c r="M124" s="138">
        <f t="shared" si="28"/>
        <v>191278.89145599998</v>
      </c>
      <c r="N124" s="141">
        <f t="shared" si="29"/>
        <v>0</v>
      </c>
      <c r="O124" s="140">
        <f t="shared" si="30"/>
        <v>54599.187192</v>
      </c>
      <c r="P124" s="141">
        <f t="shared" si="31"/>
        <v>0</v>
      </c>
      <c r="Q124" s="138">
        <f t="shared" si="32"/>
        <v>72068.4218798</v>
      </c>
      <c r="R124" s="141">
        <f t="shared" si="33"/>
        <v>0</v>
      </c>
      <c r="S124" s="140">
        <f t="shared" si="34"/>
        <v>7543.55049102</v>
      </c>
      <c r="T124" s="141">
        <f t="shared" si="35"/>
        <v>0</v>
      </c>
      <c r="U124" s="138">
        <f t="shared" si="36"/>
        <v>2186.9683756729996</v>
      </c>
      <c r="V124" s="141">
        <f t="shared" si="37"/>
        <v>0</v>
      </c>
      <c r="W124" s="141">
        <f t="shared" si="27"/>
        <v>327677.01939449296</v>
      </c>
      <c r="X124" s="105"/>
    </row>
    <row r="125" spans="1:24" ht="15">
      <c r="A125" s="249" t="s">
        <v>60</v>
      </c>
      <c r="B125" s="140">
        <v>29271583</v>
      </c>
      <c r="C125" s="141">
        <v>1174883</v>
      </c>
      <c r="D125" s="140">
        <v>13822287</v>
      </c>
      <c r="E125" s="141">
        <v>694002</v>
      </c>
      <c r="F125" s="140">
        <v>81499.16</v>
      </c>
      <c r="G125" s="141">
        <v>41699.54</v>
      </c>
      <c r="H125" s="140">
        <v>15033.43</v>
      </c>
      <c r="I125" s="141">
        <v>0</v>
      </c>
      <c r="J125" s="156">
        <v>1666</v>
      </c>
      <c r="K125" s="259"/>
      <c r="L125" s="140"/>
      <c r="M125" s="138">
        <f t="shared" si="28"/>
        <v>128326.619872</v>
      </c>
      <c r="N125" s="141">
        <f t="shared" si="29"/>
        <v>5286.973499999999</v>
      </c>
      <c r="O125" s="140">
        <f t="shared" si="30"/>
        <v>40139.921448</v>
      </c>
      <c r="P125" s="141">
        <f t="shared" si="31"/>
        <v>2151.4062</v>
      </c>
      <c r="Q125" s="138">
        <f t="shared" si="32"/>
        <v>48218.48901904</v>
      </c>
      <c r="R125" s="141">
        <f t="shared" si="33"/>
        <v>27655.134928</v>
      </c>
      <c r="S125" s="140">
        <f t="shared" si="34"/>
        <v>7459.37749798</v>
      </c>
      <c r="T125" s="141">
        <f t="shared" si="35"/>
        <v>0</v>
      </c>
      <c r="U125" s="138">
        <f t="shared" si="36"/>
        <v>2191.924546</v>
      </c>
      <c r="V125" s="141">
        <f t="shared" si="37"/>
        <v>0</v>
      </c>
      <c r="W125" s="141">
        <f t="shared" si="27"/>
        <v>261429.84701102</v>
      </c>
      <c r="X125" s="105"/>
    </row>
    <row r="126" spans="1:24" ht="15">
      <c r="A126" s="249" t="s">
        <v>61</v>
      </c>
      <c r="B126" s="140">
        <v>20192402</v>
      </c>
      <c r="C126" s="141">
        <v>17594453</v>
      </c>
      <c r="D126" s="140">
        <v>9080106</v>
      </c>
      <c r="E126" s="141">
        <v>8334979</v>
      </c>
      <c r="F126" s="140">
        <v>81.6</v>
      </c>
      <c r="G126" s="141">
        <v>128071.1</v>
      </c>
      <c r="H126" s="140">
        <v>0</v>
      </c>
      <c r="I126" s="141">
        <v>15262.95</v>
      </c>
      <c r="J126" s="156"/>
      <c r="K126" s="259">
        <v>1680</v>
      </c>
      <c r="L126" s="140"/>
      <c r="M126" s="138">
        <f t="shared" si="28"/>
        <v>88523.490368</v>
      </c>
      <c r="N126" s="141">
        <f t="shared" si="29"/>
        <v>79175.0385</v>
      </c>
      <c r="O126" s="140">
        <f t="shared" si="30"/>
        <v>26368.627824</v>
      </c>
      <c r="P126" s="141">
        <f t="shared" si="31"/>
        <v>25838.4349</v>
      </c>
      <c r="Q126" s="138">
        <f t="shared" si="32"/>
        <v>48.278150399999994</v>
      </c>
      <c r="R126" s="141">
        <f t="shared" si="33"/>
        <v>84936.75352</v>
      </c>
      <c r="S126" s="140">
        <f t="shared" si="34"/>
        <v>0</v>
      </c>
      <c r="T126" s="141">
        <f t="shared" si="35"/>
        <v>8284.72926</v>
      </c>
      <c r="U126" s="138">
        <f t="shared" si="36"/>
        <v>0</v>
      </c>
      <c r="V126" s="141">
        <f t="shared" si="37"/>
        <v>2219.9519999999998</v>
      </c>
      <c r="W126" s="141">
        <f t="shared" si="27"/>
        <v>315395.30452239997</v>
      </c>
      <c r="X126" s="105"/>
    </row>
    <row r="127" spans="1:24" ht="15">
      <c r="A127" s="249" t="s">
        <v>62</v>
      </c>
      <c r="B127" s="140">
        <v>2634210</v>
      </c>
      <c r="C127" s="141">
        <v>20282586</v>
      </c>
      <c r="D127" s="140">
        <v>591515</v>
      </c>
      <c r="E127" s="141">
        <v>11758979</v>
      </c>
      <c r="F127" s="140"/>
      <c r="G127" s="141">
        <v>128779.12</v>
      </c>
      <c r="H127" s="140"/>
      <c r="I127" s="141">
        <v>16364.46</v>
      </c>
      <c r="J127" s="156"/>
      <c r="K127" s="259">
        <v>1681</v>
      </c>
      <c r="L127" s="140"/>
      <c r="M127" s="138">
        <f t="shared" si="28"/>
        <v>11548.37664</v>
      </c>
      <c r="N127" s="141">
        <f t="shared" si="29"/>
        <v>91271.63699999999</v>
      </c>
      <c r="O127" s="140">
        <f t="shared" si="30"/>
        <v>1717.75956</v>
      </c>
      <c r="P127" s="141">
        <f t="shared" si="31"/>
        <v>36452.8349</v>
      </c>
      <c r="Q127" s="138">
        <f t="shared" si="32"/>
        <v>0</v>
      </c>
      <c r="R127" s="141">
        <f t="shared" si="33"/>
        <v>85406.312384</v>
      </c>
      <c r="S127" s="140">
        <f t="shared" si="34"/>
        <v>0</v>
      </c>
      <c r="T127" s="141">
        <f t="shared" si="35"/>
        <v>8882.628888</v>
      </c>
      <c r="U127" s="138">
        <f t="shared" si="36"/>
        <v>0</v>
      </c>
      <c r="V127" s="141">
        <f t="shared" si="37"/>
        <v>2221.2734</v>
      </c>
      <c r="W127" s="141">
        <f t="shared" si="27"/>
        <v>237500.822772</v>
      </c>
      <c r="X127" s="105"/>
    </row>
    <row r="128" spans="1:24" ht="15">
      <c r="A128" s="249" t="s">
        <v>63</v>
      </c>
      <c r="B128" s="156">
        <v>-734</v>
      </c>
      <c r="C128" s="259">
        <v>38262655</v>
      </c>
      <c r="D128" s="156">
        <v>-1911</v>
      </c>
      <c r="E128" s="259">
        <v>17583102</v>
      </c>
      <c r="F128" s="156"/>
      <c r="G128" s="259">
        <v>140604.84</v>
      </c>
      <c r="H128" s="156"/>
      <c r="I128" s="259">
        <v>18769.92</v>
      </c>
      <c r="J128" s="156"/>
      <c r="K128" s="259">
        <v>1683.806</v>
      </c>
      <c r="L128" s="140"/>
      <c r="M128" s="138">
        <f t="shared" si="28"/>
        <v>-3.217856</v>
      </c>
      <c r="N128" s="141">
        <f t="shared" si="29"/>
        <v>172181.94749999998</v>
      </c>
      <c r="O128" s="140">
        <f t="shared" si="30"/>
        <v>-5.549544</v>
      </c>
      <c r="P128" s="141">
        <f t="shared" si="31"/>
        <v>54507.6162</v>
      </c>
      <c r="Q128" s="138">
        <f t="shared" si="32"/>
        <v>0</v>
      </c>
      <c r="R128" s="141">
        <f t="shared" si="33"/>
        <v>93249.129888</v>
      </c>
      <c r="S128" s="140">
        <f t="shared" si="34"/>
        <v>0</v>
      </c>
      <c r="T128" s="141">
        <f t="shared" si="35"/>
        <v>10188.312575999998</v>
      </c>
      <c r="U128" s="138">
        <f t="shared" si="36"/>
        <v>0</v>
      </c>
      <c r="V128" s="141">
        <f t="shared" si="37"/>
        <v>2224.9812484</v>
      </c>
      <c r="W128" s="141">
        <f t="shared" si="27"/>
        <v>332343.22001239995</v>
      </c>
      <c r="X128" s="105"/>
    </row>
    <row r="129" spans="1:24" ht="15">
      <c r="A129" s="249" t="s">
        <v>64</v>
      </c>
      <c r="B129" s="156">
        <v>-3599</v>
      </c>
      <c r="C129" s="259">
        <v>29178591</v>
      </c>
      <c r="D129" s="140">
        <v>-383</v>
      </c>
      <c r="E129" s="141">
        <v>14131326</v>
      </c>
      <c r="F129" s="140"/>
      <c r="G129" s="141">
        <v>137389.27</v>
      </c>
      <c r="H129" s="140"/>
      <c r="I129" s="141">
        <v>18527.1</v>
      </c>
      <c r="J129" s="156"/>
      <c r="K129" s="259">
        <v>1684.946</v>
      </c>
      <c r="L129" s="140"/>
      <c r="M129" s="138">
        <f t="shared" si="28"/>
        <v>-15.778016</v>
      </c>
      <c r="N129" s="141">
        <f t="shared" si="29"/>
        <v>131303.65949999998</v>
      </c>
      <c r="O129" s="140">
        <f t="shared" si="30"/>
        <v>-1.1122319999999999</v>
      </c>
      <c r="P129" s="141">
        <f t="shared" si="31"/>
        <v>43807.1106</v>
      </c>
      <c r="Q129" s="138">
        <f t="shared" si="32"/>
        <v>0</v>
      </c>
      <c r="R129" s="141">
        <f t="shared" si="33"/>
        <v>91116.563864</v>
      </c>
      <c r="S129" s="140">
        <f t="shared" si="34"/>
        <v>0</v>
      </c>
      <c r="T129" s="141">
        <f t="shared" si="35"/>
        <v>10056.509879999998</v>
      </c>
      <c r="U129" s="138">
        <f t="shared" si="36"/>
        <v>0</v>
      </c>
      <c r="V129" s="141">
        <f t="shared" si="37"/>
        <v>2226.4876443999997</v>
      </c>
      <c r="W129" s="141">
        <f t="shared" si="27"/>
        <v>278493.44124039996</v>
      </c>
      <c r="X129" s="105"/>
    </row>
    <row r="130" spans="1:24" ht="15">
      <c r="A130" s="249" t="s">
        <v>65</v>
      </c>
      <c r="B130" s="140"/>
      <c r="C130" s="141">
        <v>45574364</v>
      </c>
      <c r="D130" s="140"/>
      <c r="E130" s="141">
        <v>18665095</v>
      </c>
      <c r="F130" s="140">
        <v>0</v>
      </c>
      <c r="G130" s="141">
        <v>134853.46</v>
      </c>
      <c r="H130" s="140"/>
      <c r="I130" s="141">
        <v>18579.37</v>
      </c>
      <c r="J130" s="156"/>
      <c r="K130" s="259">
        <v>1684.436</v>
      </c>
      <c r="L130" s="140"/>
      <c r="M130" s="138">
        <f t="shared" si="28"/>
        <v>0</v>
      </c>
      <c r="N130" s="141">
        <f t="shared" si="29"/>
        <v>205084.63799999998</v>
      </c>
      <c r="O130" s="140">
        <f t="shared" si="30"/>
        <v>0</v>
      </c>
      <c r="P130" s="141">
        <f t="shared" si="31"/>
        <v>57861.794499999996</v>
      </c>
      <c r="Q130" s="138">
        <f t="shared" si="32"/>
        <v>0</v>
      </c>
      <c r="R130" s="141">
        <f t="shared" si="33"/>
        <v>89434.814672</v>
      </c>
      <c r="S130" s="140">
        <f t="shared" si="34"/>
        <v>0</v>
      </c>
      <c r="T130" s="141">
        <f t="shared" si="35"/>
        <v>10084.882035999999</v>
      </c>
      <c r="U130" s="138">
        <f t="shared" si="36"/>
        <v>0</v>
      </c>
      <c r="V130" s="141">
        <f t="shared" si="37"/>
        <v>2225.8137303999997</v>
      </c>
      <c r="W130" s="141">
        <f t="shared" si="27"/>
        <v>364691.9429384</v>
      </c>
      <c r="X130" s="105"/>
    </row>
    <row r="131" spans="1:24" ht="15">
      <c r="A131" s="249" t="s">
        <v>66</v>
      </c>
      <c r="B131" s="140"/>
      <c r="C131" s="141">
        <v>24938741</v>
      </c>
      <c r="D131" s="140"/>
      <c r="E131" s="141">
        <v>13335136</v>
      </c>
      <c r="F131" s="140"/>
      <c r="G131" s="141">
        <v>138210.83</v>
      </c>
      <c r="H131" s="140"/>
      <c r="I131" s="141">
        <v>17768.68</v>
      </c>
      <c r="J131" s="140"/>
      <c r="K131" s="259">
        <v>1695.104</v>
      </c>
      <c r="L131" s="140"/>
      <c r="M131" s="138">
        <f t="shared" si="28"/>
        <v>0</v>
      </c>
      <c r="N131" s="141">
        <f t="shared" si="29"/>
        <v>112224.3345</v>
      </c>
      <c r="O131" s="140">
        <f t="shared" si="30"/>
        <v>0</v>
      </c>
      <c r="P131" s="141">
        <f t="shared" si="31"/>
        <v>41338.9216</v>
      </c>
      <c r="Q131" s="138">
        <f t="shared" si="32"/>
        <v>0</v>
      </c>
      <c r="R131" s="141">
        <f t="shared" si="33"/>
        <v>91661.422456</v>
      </c>
      <c r="S131" s="140">
        <f t="shared" si="34"/>
        <v>0</v>
      </c>
      <c r="T131" s="141">
        <f t="shared" si="35"/>
        <v>9644.839504</v>
      </c>
      <c r="U131" s="138">
        <f t="shared" si="36"/>
        <v>0</v>
      </c>
      <c r="V131" s="141">
        <f t="shared" si="37"/>
        <v>2239.9104256</v>
      </c>
      <c r="W131" s="141">
        <f t="shared" si="27"/>
        <v>257109.42848560002</v>
      </c>
      <c r="X131" s="105"/>
    </row>
    <row r="132" spans="1:24" ht="15">
      <c r="A132" s="249" t="s">
        <v>67</v>
      </c>
      <c r="B132" s="140"/>
      <c r="C132" s="259">
        <v>34728411</v>
      </c>
      <c r="D132" s="140"/>
      <c r="E132" s="259">
        <v>16572394</v>
      </c>
      <c r="F132" s="140"/>
      <c r="G132" s="259">
        <v>134854.09</v>
      </c>
      <c r="H132" s="140"/>
      <c r="I132" s="259">
        <v>17844.33</v>
      </c>
      <c r="J132" s="140"/>
      <c r="K132" s="259">
        <v>1695.032</v>
      </c>
      <c r="L132" s="140"/>
      <c r="M132" s="138">
        <f t="shared" si="28"/>
        <v>0</v>
      </c>
      <c r="N132" s="141">
        <f t="shared" si="29"/>
        <v>156277.84949999998</v>
      </c>
      <c r="O132" s="140">
        <f t="shared" si="30"/>
        <v>0</v>
      </c>
      <c r="P132" s="141">
        <f t="shared" si="31"/>
        <v>51374.4214</v>
      </c>
      <c r="Q132" s="138">
        <f t="shared" si="32"/>
        <v>0</v>
      </c>
      <c r="R132" s="141">
        <f t="shared" si="33"/>
        <v>89435.232488</v>
      </c>
      <c r="S132" s="140">
        <f t="shared" si="34"/>
        <v>0</v>
      </c>
      <c r="T132" s="141">
        <f t="shared" si="35"/>
        <v>9685.902324</v>
      </c>
      <c r="U132" s="138">
        <f t="shared" si="36"/>
        <v>0</v>
      </c>
      <c r="V132" s="141">
        <f t="shared" si="37"/>
        <v>2239.8152848</v>
      </c>
      <c r="W132" s="141">
        <f t="shared" si="27"/>
        <v>309013.2209968</v>
      </c>
      <c r="X132" s="105"/>
    </row>
    <row r="133" spans="1:24" ht="15">
      <c r="A133" s="249" t="s">
        <v>68</v>
      </c>
      <c r="B133" s="140"/>
      <c r="C133" s="141">
        <v>25425229</v>
      </c>
      <c r="D133" s="140"/>
      <c r="E133" s="141">
        <v>12736769</v>
      </c>
      <c r="F133" s="140"/>
      <c r="G133" s="141">
        <v>127981.68</v>
      </c>
      <c r="H133" s="140"/>
      <c r="I133" s="141">
        <v>14608.22</v>
      </c>
      <c r="J133" s="140"/>
      <c r="K133" s="259">
        <v>1694.87</v>
      </c>
      <c r="L133" s="140"/>
      <c r="M133" s="138">
        <f t="shared" si="28"/>
        <v>0</v>
      </c>
      <c r="N133" s="141">
        <f t="shared" si="29"/>
        <v>114413.5305</v>
      </c>
      <c r="O133" s="140">
        <f t="shared" si="30"/>
        <v>0</v>
      </c>
      <c r="P133" s="141">
        <f t="shared" si="31"/>
        <v>39483.9839</v>
      </c>
      <c r="Q133" s="138">
        <f t="shared" si="32"/>
        <v>0</v>
      </c>
      <c r="R133" s="141">
        <f t="shared" si="33"/>
        <v>84877.450176</v>
      </c>
      <c r="S133" s="140">
        <f t="shared" si="34"/>
        <v>0</v>
      </c>
      <c r="T133" s="141">
        <f t="shared" si="35"/>
        <v>7929.341815999999</v>
      </c>
      <c r="U133" s="138">
        <f t="shared" si="36"/>
        <v>0</v>
      </c>
      <c r="V133" s="141">
        <f t="shared" si="37"/>
        <v>2239.601218</v>
      </c>
      <c r="W133" s="141">
        <f t="shared" si="27"/>
        <v>248943.90761</v>
      </c>
      <c r="X133" s="105"/>
    </row>
    <row r="134" spans="1:24" ht="15">
      <c r="A134" s="280" t="s">
        <v>105</v>
      </c>
      <c r="B134" s="140"/>
      <c r="C134" s="259">
        <v>62073407</v>
      </c>
      <c r="D134" s="156"/>
      <c r="E134" s="259">
        <v>24225031</v>
      </c>
      <c r="F134" s="156"/>
      <c r="G134" s="259">
        <v>112536</v>
      </c>
      <c r="H134" s="156"/>
      <c r="I134" s="259">
        <v>14640</v>
      </c>
      <c r="J134" s="140"/>
      <c r="K134" s="259">
        <v>1694.706</v>
      </c>
      <c r="L134" s="140"/>
      <c r="M134" s="138">
        <f t="shared" si="28"/>
        <v>0</v>
      </c>
      <c r="N134" s="141">
        <f t="shared" si="29"/>
        <v>279330.3315</v>
      </c>
      <c r="O134" s="140">
        <f t="shared" si="30"/>
        <v>0</v>
      </c>
      <c r="P134" s="141">
        <f t="shared" si="31"/>
        <v>75097.5961</v>
      </c>
      <c r="Q134" s="138">
        <f t="shared" si="32"/>
        <v>0</v>
      </c>
      <c r="R134" s="141">
        <f t="shared" si="33"/>
        <v>74633.8752</v>
      </c>
      <c r="S134" s="140">
        <f t="shared" si="34"/>
        <v>0</v>
      </c>
      <c r="T134" s="141">
        <f t="shared" si="35"/>
        <v>7946.592</v>
      </c>
      <c r="U134" s="138">
        <f t="shared" si="36"/>
        <v>0</v>
      </c>
      <c r="V134" s="141">
        <f t="shared" si="37"/>
        <v>2239.3845083999995</v>
      </c>
      <c r="W134" s="141">
        <f t="shared" si="27"/>
        <v>439247.77930839994</v>
      </c>
      <c r="X134" s="105"/>
    </row>
    <row r="135" spans="1:24" ht="15.75" thickBot="1">
      <c r="A135" s="250"/>
      <c r="B135" s="115">
        <f aca="true" t="shared" si="38" ref="B135:I135">SUM(B121:B134)</f>
        <v>108833354</v>
      </c>
      <c r="C135" s="144">
        <f t="shared" si="38"/>
        <v>299233320</v>
      </c>
      <c r="D135" s="115">
        <f t="shared" si="38"/>
        <v>49517580</v>
      </c>
      <c r="E135" s="144">
        <f t="shared" si="38"/>
        <v>138036813</v>
      </c>
      <c r="F135" s="115">
        <f t="shared" si="38"/>
        <v>334960.49</v>
      </c>
      <c r="G135" s="144">
        <f t="shared" si="38"/>
        <v>1224979.93</v>
      </c>
      <c r="H135" s="115">
        <f t="shared" si="38"/>
        <v>45402.54</v>
      </c>
      <c r="I135" s="144">
        <f t="shared" si="38"/>
        <v>152365.02999999997</v>
      </c>
      <c r="J135" s="115">
        <f>SUM(J121:J134)</f>
        <v>6648.706</v>
      </c>
      <c r="K135" s="144">
        <f>SUM(K121:K134)</f>
        <v>15193.9</v>
      </c>
      <c r="L135" s="140"/>
      <c r="M135" s="142">
        <f aca="true" t="shared" si="39" ref="M135:V135">SUM(M121:M134)</f>
        <v>477125.4239359999</v>
      </c>
      <c r="N135" s="144">
        <f t="shared" si="39"/>
        <v>1346549.94</v>
      </c>
      <c r="O135" s="115">
        <f t="shared" si="39"/>
        <v>143799.05232</v>
      </c>
      <c r="P135" s="144">
        <f t="shared" si="39"/>
        <v>427914.12029999995</v>
      </c>
      <c r="Q135" s="142">
        <f t="shared" si="39"/>
        <v>198177.36414555996</v>
      </c>
      <c r="R135" s="144">
        <f t="shared" si="39"/>
        <v>812406.689576</v>
      </c>
      <c r="S135" s="115">
        <f t="shared" si="39"/>
        <v>22528.10471244</v>
      </c>
      <c r="T135" s="144">
        <f t="shared" si="39"/>
        <v>82703.73828399999</v>
      </c>
      <c r="U135" s="142">
        <f t="shared" si="39"/>
        <v>8747.576158786</v>
      </c>
      <c r="V135" s="144">
        <f t="shared" si="39"/>
        <v>20077.219459999997</v>
      </c>
      <c r="W135" s="144">
        <f>SUM(W121:W134)</f>
        <v>3540029.228892786</v>
      </c>
      <c r="X135" s="105"/>
    </row>
    <row r="136" spans="1:24" s="116" customFormat="1" ht="13.5" customHeight="1">
      <c r="A136" s="211"/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226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>
        <f>+W135-Q138</f>
        <v>0</v>
      </c>
      <c r="X136" s="145"/>
    </row>
    <row r="137" spans="1:24" s="116" customFormat="1" ht="13.5" customHeight="1" thickBot="1">
      <c r="A137" s="211"/>
      <c r="B137" s="157"/>
      <c r="C137" s="158"/>
      <c r="D137" s="158"/>
      <c r="E137" s="157"/>
      <c r="F137" s="281"/>
      <c r="G137" s="281"/>
      <c r="H137" s="281"/>
      <c r="I137" s="281"/>
      <c r="J137" s="158"/>
      <c r="K137" s="158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</row>
    <row r="138" spans="1:24" s="116" customFormat="1" ht="16.5" thickBot="1">
      <c r="A138" s="273"/>
      <c r="B138" s="228"/>
      <c r="C138" s="274"/>
      <c r="D138" s="275"/>
      <c r="E138" s="276"/>
      <c r="F138" s="274"/>
      <c r="G138" s="277"/>
      <c r="H138" s="211"/>
      <c r="I138" s="274"/>
      <c r="J138" s="278"/>
      <c r="K138" s="229"/>
      <c r="L138" s="145"/>
      <c r="M138" s="145"/>
      <c r="N138" s="145"/>
      <c r="O138" s="145"/>
      <c r="P138" s="145"/>
      <c r="Q138" s="208">
        <f>SUM(M135:V135)</f>
        <v>3540029.2288927864</v>
      </c>
      <c r="R138" s="147"/>
      <c r="S138" s="145"/>
      <c r="T138" s="145"/>
      <c r="U138" s="145"/>
      <c r="V138" s="145"/>
      <c r="W138" s="145"/>
      <c r="X138" s="145"/>
    </row>
    <row r="139" spans="1:24" s="116" customFormat="1" ht="15.75">
      <c r="A139" s="273"/>
      <c r="B139" s="228"/>
      <c r="C139" s="276"/>
      <c r="D139" s="226"/>
      <c r="E139" s="228"/>
      <c r="F139" s="159"/>
      <c r="G139" s="228"/>
      <c r="H139" s="159"/>
      <c r="I139" s="159"/>
      <c r="J139" s="279"/>
      <c r="K139" s="227"/>
      <c r="L139" s="145"/>
      <c r="M139" s="145"/>
      <c r="N139" s="145"/>
      <c r="O139" s="145"/>
      <c r="P139" s="145"/>
      <c r="Q139" s="148"/>
      <c r="R139" s="147"/>
      <c r="S139" s="145"/>
      <c r="T139" s="145"/>
      <c r="U139" s="145"/>
      <c r="V139" s="145"/>
      <c r="W139" s="145"/>
      <c r="X139" s="145"/>
    </row>
    <row r="140" spans="1:24" s="116" customFormat="1" ht="15.75">
      <c r="A140" s="212"/>
      <c r="B140" s="228"/>
      <c r="C140" s="228"/>
      <c r="D140" s="228"/>
      <c r="E140" s="228"/>
      <c r="F140" s="228"/>
      <c r="G140" s="229"/>
      <c r="H140" s="228"/>
      <c r="I140" s="228"/>
      <c r="J140" s="279"/>
      <c r="K140" s="229"/>
      <c r="L140" s="145"/>
      <c r="M140" s="145"/>
      <c r="N140" s="145"/>
      <c r="O140" s="145"/>
      <c r="P140" s="145"/>
      <c r="Q140" s="148"/>
      <c r="R140" s="147"/>
      <c r="S140" s="145"/>
      <c r="T140" s="145"/>
      <c r="U140" s="145"/>
      <c r="V140" s="145"/>
      <c r="W140" s="145"/>
      <c r="X140" s="145"/>
    </row>
    <row r="141" spans="1:24" s="116" customFormat="1" ht="15.75">
      <c r="A141" s="211"/>
      <c r="B141" s="228"/>
      <c r="C141" s="226"/>
      <c r="D141" s="226"/>
      <c r="E141" s="228"/>
      <c r="F141" s="226"/>
      <c r="G141" s="228"/>
      <c r="H141" s="228"/>
      <c r="I141" s="228"/>
      <c r="J141" s="279"/>
      <c r="K141" s="228"/>
      <c r="L141" s="145"/>
      <c r="M141" s="145"/>
      <c r="N141" s="145"/>
      <c r="O141" s="145"/>
      <c r="P141" s="145"/>
      <c r="Q141" s="148"/>
      <c r="R141" s="147"/>
      <c r="S141" s="145"/>
      <c r="T141" s="145"/>
      <c r="U141" s="145"/>
      <c r="V141" s="145"/>
      <c r="W141" s="145"/>
      <c r="X141" s="145"/>
    </row>
    <row r="142" spans="13:24" ht="15"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</row>
    <row r="143" spans="13:24" ht="15"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</row>
    <row r="144" ht="15.75" thickBot="1"/>
    <row r="145" spans="1:23" ht="16.5" thickBot="1">
      <c r="A145" s="238"/>
      <c r="B145" s="386" t="s">
        <v>146</v>
      </c>
      <c r="C145" s="387"/>
      <c r="D145" s="374"/>
      <c r="E145" s="388"/>
      <c r="F145" s="380" t="s">
        <v>27</v>
      </c>
      <c r="G145" s="387"/>
      <c r="H145" s="387"/>
      <c r="I145" s="387"/>
      <c r="J145" s="387"/>
      <c r="K145" s="388"/>
      <c r="M145" s="124"/>
      <c r="N145" s="125"/>
      <c r="O145" s="125"/>
      <c r="P145" s="125"/>
      <c r="Q145" s="123" t="s">
        <v>87</v>
      </c>
      <c r="R145" s="123"/>
      <c r="S145" s="125"/>
      <c r="T145" s="125"/>
      <c r="U145" s="125"/>
      <c r="V145" s="126"/>
      <c r="W145" s="127"/>
    </row>
    <row r="146" spans="1:23" s="82" customFormat="1" ht="15.75">
      <c r="A146" s="209"/>
      <c r="B146" s="160" t="s">
        <v>20</v>
      </c>
      <c r="C146" s="380"/>
      <c r="D146" s="264" t="s">
        <v>21</v>
      </c>
      <c r="E146" s="374"/>
      <c r="F146" s="267" t="s">
        <v>22</v>
      </c>
      <c r="G146" s="378"/>
      <c r="H146" s="269" t="s">
        <v>23</v>
      </c>
      <c r="I146" s="380"/>
      <c r="J146" s="162" t="s">
        <v>24</v>
      </c>
      <c r="K146" s="378"/>
      <c r="M146" s="160" t="s">
        <v>20</v>
      </c>
      <c r="N146" s="374"/>
      <c r="O146" s="264" t="s">
        <v>21</v>
      </c>
      <c r="P146" s="374"/>
      <c r="Q146" s="267" t="s">
        <v>22</v>
      </c>
      <c r="R146" s="374"/>
      <c r="S146" s="269" t="s">
        <v>23</v>
      </c>
      <c r="T146" s="374"/>
      <c r="U146" s="162" t="s">
        <v>24</v>
      </c>
      <c r="V146" s="374"/>
      <c r="W146" s="376" t="s">
        <v>25</v>
      </c>
    </row>
    <row r="147" spans="1:23" s="82" customFormat="1" ht="16.5" thickBot="1">
      <c r="A147" s="209"/>
      <c r="B147" s="163" t="s">
        <v>108</v>
      </c>
      <c r="C147" s="375"/>
      <c r="D147" s="265" t="str">
        <f>+B147</f>
        <v>Pre-May 1</v>
      </c>
      <c r="E147" s="375"/>
      <c r="F147" s="268" t="str">
        <f>+B147</f>
        <v>Pre-May 1</v>
      </c>
      <c r="G147" s="375"/>
      <c r="H147" s="270" t="str">
        <f>+B147</f>
        <v>Pre-May 1</v>
      </c>
      <c r="I147" s="375"/>
      <c r="J147" s="165" t="str">
        <f>+B147</f>
        <v>Pre-May 1</v>
      </c>
      <c r="K147" s="379"/>
      <c r="M147" s="163" t="s">
        <v>108</v>
      </c>
      <c r="N147" s="375"/>
      <c r="O147" s="265" t="str">
        <f>+M147</f>
        <v>Pre-May 1</v>
      </c>
      <c r="P147" s="375"/>
      <c r="Q147" s="268" t="str">
        <f>+M147</f>
        <v>Pre-May 1</v>
      </c>
      <c r="R147" s="375"/>
      <c r="S147" s="270" t="str">
        <f>+M147</f>
        <v>Pre-May 1</v>
      </c>
      <c r="T147" s="375"/>
      <c r="U147" s="165" t="str">
        <f>+M147</f>
        <v>Pre-May 1</v>
      </c>
      <c r="V147" s="375"/>
      <c r="W147" s="377"/>
    </row>
    <row r="148" spans="1:23" s="110" customFormat="1" ht="15.75">
      <c r="A148" s="239" t="s">
        <v>147</v>
      </c>
      <c r="B148" s="92"/>
      <c r="C148" s="91"/>
      <c r="D148" s="92"/>
      <c r="E148" s="91"/>
      <c r="F148" s="92"/>
      <c r="G148" s="91"/>
      <c r="H148" s="92"/>
      <c r="I148" s="91"/>
      <c r="J148" s="92"/>
      <c r="K148" s="132"/>
      <c r="M148" s="92">
        <v>0.0045</v>
      </c>
      <c r="N148" s="132"/>
      <c r="O148" s="92">
        <v>0.0031</v>
      </c>
      <c r="P148" s="91"/>
      <c r="Q148" s="92">
        <v>0.6632</v>
      </c>
      <c r="R148" s="91"/>
      <c r="S148" s="92">
        <v>0.5428</v>
      </c>
      <c r="T148" s="91"/>
      <c r="U148" s="92">
        <v>1.3214</v>
      </c>
      <c r="V148" s="132"/>
      <c r="W148" s="130"/>
    </row>
    <row r="149" spans="1:23" s="110" customFormat="1" ht="16.5" thickBot="1">
      <c r="A149" s="239"/>
      <c r="B149" s="92"/>
      <c r="C149" s="91"/>
      <c r="D149" s="92"/>
      <c r="E149" s="91"/>
      <c r="F149" s="92"/>
      <c r="G149" s="91"/>
      <c r="H149" s="92"/>
      <c r="I149" s="91"/>
      <c r="J149" s="92"/>
      <c r="K149" s="132"/>
      <c r="M149" s="131"/>
      <c r="N149" s="134"/>
      <c r="O149" s="131"/>
      <c r="P149" s="135"/>
      <c r="Q149" s="131"/>
      <c r="R149" s="135"/>
      <c r="S149" s="131"/>
      <c r="T149" s="135"/>
      <c r="U149" s="131"/>
      <c r="V149" s="134"/>
      <c r="W149" s="131"/>
    </row>
    <row r="150" spans="1:23" s="110" customFormat="1" ht="15.75">
      <c r="A150" s="240">
        <v>2006</v>
      </c>
      <c r="B150" s="258"/>
      <c r="C150" s="241"/>
      <c r="D150" s="266"/>
      <c r="E150" s="254"/>
      <c r="F150" s="258"/>
      <c r="G150" s="241"/>
      <c r="H150" s="258"/>
      <c r="I150" s="241"/>
      <c r="J150" s="258"/>
      <c r="K150" s="242"/>
      <c r="L150" s="111"/>
      <c r="M150" s="90"/>
      <c r="N150" s="137"/>
      <c r="O150" s="92"/>
      <c r="P150" s="91"/>
      <c r="Q150" s="92"/>
      <c r="R150" s="91"/>
      <c r="S150" s="92"/>
      <c r="T150" s="91"/>
      <c r="U150" s="92"/>
      <c r="V150" s="132"/>
      <c r="W150" s="92"/>
    </row>
    <row r="151" spans="1:23" ht="15">
      <c r="A151" s="249" t="s">
        <v>106</v>
      </c>
      <c r="B151" s="141">
        <v>-62073407</v>
      </c>
      <c r="C151" s="140"/>
      <c r="D151" s="141">
        <v>-24225031</v>
      </c>
      <c r="E151" s="140"/>
      <c r="F151" s="259">
        <v>-112536</v>
      </c>
      <c r="G151" s="140"/>
      <c r="H151" s="141">
        <v>-14640</v>
      </c>
      <c r="I151" s="140"/>
      <c r="J151" s="141">
        <v>-1694.706</v>
      </c>
      <c r="K151" s="139"/>
      <c r="L151" s="140"/>
      <c r="M151" s="141">
        <f>+B151*$M$148</f>
        <v>-279330.3315</v>
      </c>
      <c r="N151" s="139">
        <f>+C151*$N$149</f>
        <v>0</v>
      </c>
      <c r="O151" s="141">
        <f>+D151*$O$148</f>
        <v>-75097.5961</v>
      </c>
      <c r="P151" s="140">
        <f>+E151*$P$149</f>
        <v>0</v>
      </c>
      <c r="Q151" s="141">
        <f>+F151*$Q$148</f>
        <v>-74633.8752</v>
      </c>
      <c r="R151" s="140">
        <f>+G151*$R$149</f>
        <v>0</v>
      </c>
      <c r="S151" s="141">
        <f>+H151*$S$148</f>
        <v>-7946.592</v>
      </c>
      <c r="T151" s="140">
        <f>+I151*$T$149</f>
        <v>0</v>
      </c>
      <c r="U151" s="141">
        <f>+J151*$U$148</f>
        <v>-2239.3845083999995</v>
      </c>
      <c r="V151" s="139">
        <f>+K151*$V$149</f>
        <v>0</v>
      </c>
      <c r="W151" s="141">
        <f aca="true" t="shared" si="40" ref="W151:W164">SUM(M151:V151)</f>
        <v>-439247.77930839994</v>
      </c>
    </row>
    <row r="152" spans="1:23" ht="15">
      <c r="A152" s="249" t="s">
        <v>57</v>
      </c>
      <c r="B152" s="141">
        <v>37900066</v>
      </c>
      <c r="C152" s="140"/>
      <c r="D152" s="259">
        <v>18134327</v>
      </c>
      <c r="E152" s="140"/>
      <c r="F152" s="141">
        <v>125876.07</v>
      </c>
      <c r="G152" s="140"/>
      <c r="H152" s="141">
        <v>14640.34</v>
      </c>
      <c r="I152" s="140"/>
      <c r="J152" s="141">
        <v>1694.706</v>
      </c>
      <c r="K152" s="139"/>
      <c r="L152" s="140"/>
      <c r="M152" s="141">
        <f aca="true" t="shared" si="41" ref="M152:M164">+B152*$M$148</f>
        <v>170550.297</v>
      </c>
      <c r="N152" s="139">
        <f aca="true" t="shared" si="42" ref="N152:N164">+C152*$N$149</f>
        <v>0</v>
      </c>
      <c r="O152" s="141">
        <f aca="true" t="shared" si="43" ref="O152:O164">+D152*$O$148</f>
        <v>56216.4137</v>
      </c>
      <c r="P152" s="140">
        <f aca="true" t="shared" si="44" ref="P152:P164">+E152*$P$149</f>
        <v>0</v>
      </c>
      <c r="Q152" s="141">
        <f aca="true" t="shared" si="45" ref="Q152:Q164">+F152*$Q$148</f>
        <v>83481.00962400001</v>
      </c>
      <c r="R152" s="140">
        <f aca="true" t="shared" si="46" ref="R152:R164">+G152*$R$149</f>
        <v>0</v>
      </c>
      <c r="S152" s="141">
        <f aca="true" t="shared" si="47" ref="S152:S164">+H152*$S$148</f>
        <v>7946.776551999999</v>
      </c>
      <c r="T152" s="140">
        <f aca="true" t="shared" si="48" ref="T152:T164">+I152*$T$149</f>
        <v>0</v>
      </c>
      <c r="U152" s="141">
        <f aca="true" t="shared" si="49" ref="U152:U164">+J152*$U$148</f>
        <v>2239.3845083999995</v>
      </c>
      <c r="V152" s="139">
        <f aca="true" t="shared" si="50" ref="V152:V164">+K152*$V$149</f>
        <v>0</v>
      </c>
      <c r="W152" s="141">
        <f t="shared" si="40"/>
        <v>320433.8813844</v>
      </c>
    </row>
    <row r="153" spans="1:23" ht="15">
      <c r="A153" s="249" t="s">
        <v>58</v>
      </c>
      <c r="B153" s="141">
        <v>37666930</v>
      </c>
      <c r="C153" s="140"/>
      <c r="D153" s="141">
        <v>14825233</v>
      </c>
      <c r="E153" s="140"/>
      <c r="F153" s="141">
        <v>123660.96</v>
      </c>
      <c r="G153" s="140"/>
      <c r="H153" s="141">
        <v>14912.15</v>
      </c>
      <c r="I153" s="140"/>
      <c r="J153" s="141">
        <v>1698.719</v>
      </c>
      <c r="K153" s="139"/>
      <c r="L153" s="140"/>
      <c r="M153" s="141">
        <f t="shared" si="41"/>
        <v>169501.185</v>
      </c>
      <c r="N153" s="139">
        <f t="shared" si="42"/>
        <v>0</v>
      </c>
      <c r="O153" s="141">
        <f t="shared" si="43"/>
        <v>45958.2223</v>
      </c>
      <c r="P153" s="140">
        <f t="shared" si="44"/>
        <v>0</v>
      </c>
      <c r="Q153" s="141">
        <f t="shared" si="45"/>
        <v>82011.948672</v>
      </c>
      <c r="R153" s="140">
        <f t="shared" si="46"/>
        <v>0</v>
      </c>
      <c r="S153" s="141">
        <f t="shared" si="47"/>
        <v>8094.315019999999</v>
      </c>
      <c r="T153" s="140">
        <f t="shared" si="48"/>
        <v>0</v>
      </c>
      <c r="U153" s="141">
        <f t="shared" si="49"/>
        <v>2244.6872866</v>
      </c>
      <c r="V153" s="139">
        <f t="shared" si="50"/>
        <v>0</v>
      </c>
      <c r="W153" s="141">
        <f t="shared" si="40"/>
        <v>307810.3582786</v>
      </c>
    </row>
    <row r="154" spans="1:24" ht="15">
      <c r="A154" s="249" t="s">
        <v>59</v>
      </c>
      <c r="B154" s="141">
        <v>47801471</v>
      </c>
      <c r="C154" s="140"/>
      <c r="D154" s="141">
        <v>18397712</v>
      </c>
      <c r="E154" s="140"/>
      <c r="F154" s="259">
        <v>123835.89</v>
      </c>
      <c r="G154" s="140"/>
      <c r="H154" s="141">
        <v>14527.43</v>
      </c>
      <c r="I154" s="140"/>
      <c r="J154" s="141">
        <v>1698.399</v>
      </c>
      <c r="K154" s="139"/>
      <c r="L154" s="140"/>
      <c r="M154" s="141">
        <f t="shared" si="41"/>
        <v>215106.61949999997</v>
      </c>
      <c r="N154" s="139">
        <f t="shared" si="42"/>
        <v>0</v>
      </c>
      <c r="O154" s="141">
        <f t="shared" si="43"/>
        <v>57032.9072</v>
      </c>
      <c r="P154" s="140">
        <f t="shared" si="44"/>
        <v>0</v>
      </c>
      <c r="Q154" s="141">
        <f t="shared" si="45"/>
        <v>82127.962248</v>
      </c>
      <c r="R154" s="140">
        <f t="shared" si="46"/>
        <v>0</v>
      </c>
      <c r="S154" s="141">
        <f t="shared" si="47"/>
        <v>7885.489003999999</v>
      </c>
      <c r="T154" s="140">
        <f t="shared" si="48"/>
        <v>0</v>
      </c>
      <c r="U154" s="141">
        <f t="shared" si="49"/>
        <v>2244.2644385999997</v>
      </c>
      <c r="V154" s="139">
        <f t="shared" si="50"/>
        <v>0</v>
      </c>
      <c r="W154" s="141">
        <f t="shared" si="40"/>
        <v>364397.2423906</v>
      </c>
      <c r="X154" s="105"/>
    </row>
    <row r="155" spans="1:24" ht="15">
      <c r="A155" s="249" t="s">
        <v>60</v>
      </c>
      <c r="B155" s="141">
        <v>24262072</v>
      </c>
      <c r="C155" s="140"/>
      <c r="D155" s="141">
        <v>13360977</v>
      </c>
      <c r="E155" s="140"/>
      <c r="F155" s="141">
        <v>125699.03</v>
      </c>
      <c r="G155" s="140"/>
      <c r="H155" s="141">
        <v>15657.94</v>
      </c>
      <c r="I155" s="140"/>
      <c r="J155" s="259">
        <v>1701.828</v>
      </c>
      <c r="K155" s="253"/>
      <c r="L155" s="140"/>
      <c r="M155" s="141">
        <f t="shared" si="41"/>
        <v>109179.324</v>
      </c>
      <c r="N155" s="139">
        <f t="shared" si="42"/>
        <v>0</v>
      </c>
      <c r="O155" s="141">
        <f t="shared" si="43"/>
        <v>41419.028699999995</v>
      </c>
      <c r="P155" s="140">
        <f t="shared" si="44"/>
        <v>0</v>
      </c>
      <c r="Q155" s="141">
        <f t="shared" si="45"/>
        <v>83363.59669600001</v>
      </c>
      <c r="R155" s="140">
        <f t="shared" si="46"/>
        <v>0</v>
      </c>
      <c r="S155" s="141">
        <f t="shared" si="47"/>
        <v>8499.129831999999</v>
      </c>
      <c r="T155" s="140">
        <f t="shared" si="48"/>
        <v>0</v>
      </c>
      <c r="U155" s="141">
        <f t="shared" si="49"/>
        <v>2248.7955192</v>
      </c>
      <c r="V155" s="139">
        <f t="shared" si="50"/>
        <v>0</v>
      </c>
      <c r="W155" s="141">
        <f t="shared" si="40"/>
        <v>244709.87474720003</v>
      </c>
      <c r="X155" s="105"/>
    </row>
    <row r="156" spans="1:24" ht="15">
      <c r="A156" s="249" t="s">
        <v>61</v>
      </c>
      <c r="B156" s="141">
        <v>33229988</v>
      </c>
      <c r="C156" s="140"/>
      <c r="D156" s="141">
        <v>16268334</v>
      </c>
      <c r="E156" s="140"/>
      <c r="F156" s="141">
        <v>115567.82</v>
      </c>
      <c r="G156" s="140"/>
      <c r="H156" s="141">
        <v>15379.75</v>
      </c>
      <c r="I156" s="140"/>
      <c r="J156" s="259">
        <v>1701.804</v>
      </c>
      <c r="K156" s="253"/>
      <c r="L156" s="140"/>
      <c r="M156" s="141">
        <f t="shared" si="41"/>
        <v>149534.946</v>
      </c>
      <c r="N156" s="139">
        <f t="shared" si="42"/>
        <v>0</v>
      </c>
      <c r="O156" s="141">
        <f t="shared" si="43"/>
        <v>50431.835399999996</v>
      </c>
      <c r="P156" s="140">
        <f t="shared" si="44"/>
        <v>0</v>
      </c>
      <c r="Q156" s="141">
        <f t="shared" si="45"/>
        <v>76644.57822400001</v>
      </c>
      <c r="R156" s="140">
        <f t="shared" si="46"/>
        <v>0</v>
      </c>
      <c r="S156" s="141">
        <f t="shared" si="47"/>
        <v>8348.128299999998</v>
      </c>
      <c r="T156" s="140">
        <f t="shared" si="48"/>
        <v>0</v>
      </c>
      <c r="U156" s="141">
        <f t="shared" si="49"/>
        <v>2248.7638056</v>
      </c>
      <c r="V156" s="139">
        <f t="shared" si="50"/>
        <v>0</v>
      </c>
      <c r="W156" s="141">
        <f t="shared" si="40"/>
        <v>287208.25172959996</v>
      </c>
      <c r="X156" s="105"/>
    </row>
    <row r="157" spans="1:24" ht="15">
      <c r="A157" s="249" t="s">
        <v>62</v>
      </c>
      <c r="B157" s="141">
        <v>11063687</v>
      </c>
      <c r="C157" s="140"/>
      <c r="D157" s="141">
        <v>6550993</v>
      </c>
      <c r="E157" s="140"/>
      <c r="F157" s="141">
        <v>0</v>
      </c>
      <c r="G157" s="140"/>
      <c r="H157" s="141"/>
      <c r="I157" s="140"/>
      <c r="J157" s="259"/>
      <c r="K157" s="253"/>
      <c r="L157" s="140"/>
      <c r="M157" s="141">
        <f t="shared" si="41"/>
        <v>49786.591499999995</v>
      </c>
      <c r="N157" s="139">
        <f t="shared" si="42"/>
        <v>0</v>
      </c>
      <c r="O157" s="141">
        <f t="shared" si="43"/>
        <v>20308.0783</v>
      </c>
      <c r="P157" s="140">
        <f t="shared" si="44"/>
        <v>0</v>
      </c>
      <c r="Q157" s="141">
        <f t="shared" si="45"/>
        <v>0</v>
      </c>
      <c r="R157" s="140">
        <f t="shared" si="46"/>
        <v>0</v>
      </c>
      <c r="S157" s="141">
        <f t="shared" si="47"/>
        <v>0</v>
      </c>
      <c r="T157" s="140">
        <f t="shared" si="48"/>
        <v>0</v>
      </c>
      <c r="U157" s="141">
        <f t="shared" si="49"/>
        <v>0</v>
      </c>
      <c r="V157" s="139">
        <f t="shared" si="50"/>
        <v>0</v>
      </c>
      <c r="W157" s="141">
        <f t="shared" si="40"/>
        <v>70094.6698</v>
      </c>
      <c r="X157" s="105"/>
    </row>
    <row r="158" spans="1:24" ht="15">
      <c r="A158" s="249" t="s">
        <v>63</v>
      </c>
      <c r="B158" s="259">
        <v>2501593</v>
      </c>
      <c r="C158" s="156"/>
      <c r="D158" s="259">
        <v>1008145</v>
      </c>
      <c r="E158" s="156"/>
      <c r="F158" s="259"/>
      <c r="G158" s="156"/>
      <c r="H158" s="259"/>
      <c r="I158" s="156"/>
      <c r="J158" s="259"/>
      <c r="K158" s="253"/>
      <c r="L158" s="140"/>
      <c r="M158" s="141">
        <f t="shared" si="41"/>
        <v>11257.1685</v>
      </c>
      <c r="N158" s="139">
        <f t="shared" si="42"/>
        <v>0</v>
      </c>
      <c r="O158" s="141">
        <f t="shared" si="43"/>
        <v>3125.2495</v>
      </c>
      <c r="P158" s="140">
        <f t="shared" si="44"/>
        <v>0</v>
      </c>
      <c r="Q158" s="141">
        <f t="shared" si="45"/>
        <v>0</v>
      </c>
      <c r="R158" s="140">
        <f t="shared" si="46"/>
        <v>0</v>
      </c>
      <c r="S158" s="141">
        <f t="shared" si="47"/>
        <v>0</v>
      </c>
      <c r="T158" s="140">
        <f t="shared" si="48"/>
        <v>0</v>
      </c>
      <c r="U158" s="141">
        <f t="shared" si="49"/>
        <v>0</v>
      </c>
      <c r="V158" s="139">
        <f t="shared" si="50"/>
        <v>0</v>
      </c>
      <c r="W158" s="141">
        <f t="shared" si="40"/>
        <v>14382.418</v>
      </c>
      <c r="X158" s="105"/>
    </row>
    <row r="159" spans="1:24" ht="15">
      <c r="A159" s="249" t="s">
        <v>64</v>
      </c>
      <c r="B159" s="259">
        <v>-81</v>
      </c>
      <c r="C159" s="156"/>
      <c r="D159" s="141">
        <v>-1676</v>
      </c>
      <c r="E159" s="140"/>
      <c r="F159" s="141"/>
      <c r="G159" s="140"/>
      <c r="H159" s="141"/>
      <c r="I159" s="140"/>
      <c r="J159" s="259"/>
      <c r="K159" s="253"/>
      <c r="L159" s="140"/>
      <c r="M159" s="141">
        <f t="shared" si="41"/>
        <v>-0.3645</v>
      </c>
      <c r="N159" s="139">
        <f t="shared" si="42"/>
        <v>0</v>
      </c>
      <c r="O159" s="141">
        <f t="shared" si="43"/>
        <v>-5.1956</v>
      </c>
      <c r="P159" s="140">
        <f t="shared" si="44"/>
        <v>0</v>
      </c>
      <c r="Q159" s="141">
        <f t="shared" si="45"/>
        <v>0</v>
      </c>
      <c r="R159" s="140">
        <f t="shared" si="46"/>
        <v>0</v>
      </c>
      <c r="S159" s="141">
        <f t="shared" si="47"/>
        <v>0</v>
      </c>
      <c r="T159" s="140">
        <f t="shared" si="48"/>
        <v>0</v>
      </c>
      <c r="U159" s="141">
        <f t="shared" si="49"/>
        <v>0</v>
      </c>
      <c r="V159" s="139">
        <f t="shared" si="50"/>
        <v>0</v>
      </c>
      <c r="W159" s="141">
        <f t="shared" si="40"/>
        <v>-5.560099999999999</v>
      </c>
      <c r="X159" s="105"/>
    </row>
    <row r="160" spans="1:24" ht="15">
      <c r="A160" s="249" t="s">
        <v>65</v>
      </c>
      <c r="B160" s="141">
        <v>-2442</v>
      </c>
      <c r="C160" s="140"/>
      <c r="D160" s="141"/>
      <c r="E160" s="140"/>
      <c r="F160" s="141"/>
      <c r="G160" s="140"/>
      <c r="H160" s="141"/>
      <c r="I160" s="140"/>
      <c r="J160" s="259"/>
      <c r="K160" s="253"/>
      <c r="L160" s="140"/>
      <c r="M160" s="141">
        <f t="shared" si="41"/>
        <v>-10.988999999999999</v>
      </c>
      <c r="N160" s="139">
        <f t="shared" si="42"/>
        <v>0</v>
      </c>
      <c r="O160" s="141">
        <f t="shared" si="43"/>
        <v>0</v>
      </c>
      <c r="P160" s="140">
        <f t="shared" si="44"/>
        <v>0</v>
      </c>
      <c r="Q160" s="141">
        <f t="shared" si="45"/>
        <v>0</v>
      </c>
      <c r="R160" s="140">
        <f t="shared" si="46"/>
        <v>0</v>
      </c>
      <c r="S160" s="141">
        <f t="shared" si="47"/>
        <v>0</v>
      </c>
      <c r="T160" s="140">
        <f t="shared" si="48"/>
        <v>0</v>
      </c>
      <c r="U160" s="141">
        <f t="shared" si="49"/>
        <v>0</v>
      </c>
      <c r="V160" s="139">
        <f t="shared" si="50"/>
        <v>0</v>
      </c>
      <c r="W160" s="141">
        <f t="shared" si="40"/>
        <v>-10.988999999999999</v>
      </c>
      <c r="X160" s="105"/>
    </row>
    <row r="161" spans="1:24" ht="15">
      <c r="A161" s="249" t="s">
        <v>66</v>
      </c>
      <c r="B161" s="141"/>
      <c r="C161" s="140"/>
      <c r="D161" s="141"/>
      <c r="E161" s="140"/>
      <c r="F161" s="141"/>
      <c r="G161" s="140"/>
      <c r="H161" s="141"/>
      <c r="I161" s="140"/>
      <c r="J161" s="141"/>
      <c r="K161" s="253"/>
      <c r="L161" s="140"/>
      <c r="M161" s="141">
        <f t="shared" si="41"/>
        <v>0</v>
      </c>
      <c r="N161" s="139">
        <f t="shared" si="42"/>
        <v>0</v>
      </c>
      <c r="O161" s="141">
        <f t="shared" si="43"/>
        <v>0</v>
      </c>
      <c r="P161" s="140">
        <f t="shared" si="44"/>
        <v>0</v>
      </c>
      <c r="Q161" s="141">
        <f t="shared" si="45"/>
        <v>0</v>
      </c>
      <c r="R161" s="140">
        <f t="shared" si="46"/>
        <v>0</v>
      </c>
      <c r="S161" s="141">
        <f t="shared" si="47"/>
        <v>0</v>
      </c>
      <c r="T161" s="140">
        <f t="shared" si="48"/>
        <v>0</v>
      </c>
      <c r="U161" s="141">
        <f t="shared" si="49"/>
        <v>0</v>
      </c>
      <c r="V161" s="139">
        <f t="shared" si="50"/>
        <v>0</v>
      </c>
      <c r="W161" s="141">
        <f t="shared" si="40"/>
        <v>0</v>
      </c>
      <c r="X161" s="105"/>
    </row>
    <row r="162" spans="1:24" ht="15">
      <c r="A162" s="249" t="s">
        <v>67</v>
      </c>
      <c r="B162" s="141"/>
      <c r="C162" s="156"/>
      <c r="D162" s="141"/>
      <c r="E162" s="156"/>
      <c r="F162" s="141"/>
      <c r="G162" s="156"/>
      <c r="H162" s="141"/>
      <c r="I162" s="156"/>
      <c r="J162" s="141"/>
      <c r="K162" s="253"/>
      <c r="L162" s="140"/>
      <c r="M162" s="141">
        <f t="shared" si="41"/>
        <v>0</v>
      </c>
      <c r="N162" s="139">
        <f t="shared" si="42"/>
        <v>0</v>
      </c>
      <c r="O162" s="141">
        <f t="shared" si="43"/>
        <v>0</v>
      </c>
      <c r="P162" s="140">
        <f t="shared" si="44"/>
        <v>0</v>
      </c>
      <c r="Q162" s="141">
        <f t="shared" si="45"/>
        <v>0</v>
      </c>
      <c r="R162" s="140">
        <f t="shared" si="46"/>
        <v>0</v>
      </c>
      <c r="S162" s="141">
        <f t="shared" si="47"/>
        <v>0</v>
      </c>
      <c r="T162" s="140">
        <f t="shared" si="48"/>
        <v>0</v>
      </c>
      <c r="U162" s="141">
        <f t="shared" si="49"/>
        <v>0</v>
      </c>
      <c r="V162" s="139">
        <f t="shared" si="50"/>
        <v>0</v>
      </c>
      <c r="W162" s="141">
        <f t="shared" si="40"/>
        <v>0</v>
      </c>
      <c r="X162" s="105"/>
    </row>
    <row r="163" spans="1:24" ht="15">
      <c r="A163" s="249" t="s">
        <v>68</v>
      </c>
      <c r="B163" s="141"/>
      <c r="C163" s="140"/>
      <c r="D163" s="141"/>
      <c r="E163" s="140"/>
      <c r="F163" s="141"/>
      <c r="G163" s="140"/>
      <c r="H163" s="141"/>
      <c r="I163" s="140"/>
      <c r="J163" s="141"/>
      <c r="K163" s="253"/>
      <c r="L163" s="140"/>
      <c r="M163" s="141">
        <f t="shared" si="41"/>
        <v>0</v>
      </c>
      <c r="N163" s="139">
        <f t="shared" si="42"/>
        <v>0</v>
      </c>
      <c r="O163" s="141">
        <f t="shared" si="43"/>
        <v>0</v>
      </c>
      <c r="P163" s="140">
        <f t="shared" si="44"/>
        <v>0</v>
      </c>
      <c r="Q163" s="141">
        <f t="shared" si="45"/>
        <v>0</v>
      </c>
      <c r="R163" s="140">
        <f t="shared" si="46"/>
        <v>0</v>
      </c>
      <c r="S163" s="141">
        <f t="shared" si="47"/>
        <v>0</v>
      </c>
      <c r="T163" s="140">
        <f t="shared" si="48"/>
        <v>0</v>
      </c>
      <c r="U163" s="141">
        <f t="shared" si="49"/>
        <v>0</v>
      </c>
      <c r="V163" s="139">
        <f t="shared" si="50"/>
        <v>0</v>
      </c>
      <c r="W163" s="141">
        <f t="shared" si="40"/>
        <v>0</v>
      </c>
      <c r="X163" s="105"/>
    </row>
    <row r="164" spans="1:24" ht="15">
      <c r="A164" s="280" t="s">
        <v>107</v>
      </c>
      <c r="B164" s="141"/>
      <c r="C164" s="156"/>
      <c r="D164" s="259"/>
      <c r="E164" s="156"/>
      <c r="F164" s="259"/>
      <c r="G164" s="156"/>
      <c r="H164" s="259"/>
      <c r="I164" s="156"/>
      <c r="J164" s="141"/>
      <c r="K164" s="253"/>
      <c r="L164" s="140"/>
      <c r="M164" s="141">
        <f t="shared" si="41"/>
        <v>0</v>
      </c>
      <c r="N164" s="139">
        <f t="shared" si="42"/>
        <v>0</v>
      </c>
      <c r="O164" s="141">
        <f t="shared" si="43"/>
        <v>0</v>
      </c>
      <c r="P164" s="140">
        <f t="shared" si="44"/>
        <v>0</v>
      </c>
      <c r="Q164" s="141">
        <f t="shared" si="45"/>
        <v>0</v>
      </c>
      <c r="R164" s="140">
        <f t="shared" si="46"/>
        <v>0</v>
      </c>
      <c r="S164" s="141">
        <f t="shared" si="47"/>
        <v>0</v>
      </c>
      <c r="T164" s="140">
        <f t="shared" si="48"/>
        <v>0</v>
      </c>
      <c r="U164" s="141">
        <f t="shared" si="49"/>
        <v>0</v>
      </c>
      <c r="V164" s="139">
        <f t="shared" si="50"/>
        <v>0</v>
      </c>
      <c r="W164" s="141">
        <f t="shared" si="40"/>
        <v>0</v>
      </c>
      <c r="X164" s="105"/>
    </row>
    <row r="165" spans="1:24" ht="15.75" thickBot="1">
      <c r="A165" s="250"/>
      <c r="B165" s="144">
        <f aca="true" t="shared" si="51" ref="B165:K165">SUM(B151:B164)</f>
        <v>132349877</v>
      </c>
      <c r="C165" s="115">
        <f t="shared" si="51"/>
        <v>0</v>
      </c>
      <c r="D165" s="144">
        <f t="shared" si="51"/>
        <v>64319014</v>
      </c>
      <c r="E165" s="115">
        <f t="shared" si="51"/>
        <v>0</v>
      </c>
      <c r="F165" s="144">
        <f t="shared" si="51"/>
        <v>502103.7700000001</v>
      </c>
      <c r="G165" s="115">
        <f t="shared" si="51"/>
        <v>0</v>
      </c>
      <c r="H165" s="144">
        <f t="shared" si="51"/>
        <v>60477.61</v>
      </c>
      <c r="I165" s="115">
        <f t="shared" si="51"/>
        <v>0</v>
      </c>
      <c r="J165" s="144">
        <f t="shared" si="51"/>
        <v>6800.75</v>
      </c>
      <c r="K165" s="143">
        <f t="shared" si="51"/>
        <v>0</v>
      </c>
      <c r="L165" s="140"/>
      <c r="M165" s="144">
        <f aca="true" t="shared" si="52" ref="M165:V165">SUM(M151:M164)</f>
        <v>595574.4465000001</v>
      </c>
      <c r="N165" s="143">
        <f t="shared" si="52"/>
        <v>0</v>
      </c>
      <c r="O165" s="144">
        <f t="shared" si="52"/>
        <v>199388.9434</v>
      </c>
      <c r="P165" s="115">
        <f t="shared" si="52"/>
        <v>0</v>
      </c>
      <c r="Q165" s="144">
        <f t="shared" si="52"/>
        <v>332995.220264</v>
      </c>
      <c r="R165" s="115">
        <f t="shared" si="52"/>
        <v>0</v>
      </c>
      <c r="S165" s="144">
        <f t="shared" si="52"/>
        <v>32827.24670799999</v>
      </c>
      <c r="T165" s="115">
        <f t="shared" si="52"/>
        <v>0</v>
      </c>
      <c r="U165" s="144">
        <f t="shared" si="52"/>
        <v>8986.51105</v>
      </c>
      <c r="V165" s="143">
        <f t="shared" si="52"/>
        <v>0</v>
      </c>
      <c r="W165" s="144">
        <f>SUM(W151:W164)</f>
        <v>1169772.3679220001</v>
      </c>
      <c r="X165" s="105"/>
    </row>
    <row r="166" spans="2:24" s="116" customFormat="1" ht="12.75" thickBot="1">
      <c r="B166" s="282"/>
      <c r="C166" s="282"/>
      <c r="D166" s="282"/>
      <c r="E166" s="282"/>
      <c r="F166" s="282"/>
      <c r="G166" s="282"/>
      <c r="H166" s="282"/>
      <c r="I166" s="282"/>
      <c r="J166" s="282"/>
      <c r="K166" s="282"/>
      <c r="L166" s="226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>
        <f>+W165-Q167</f>
        <v>0</v>
      </c>
      <c r="X166" s="145"/>
    </row>
    <row r="167" spans="2:24" s="116" customFormat="1" ht="16.5" thickBot="1">
      <c r="B167" s="145"/>
      <c r="C167" s="145"/>
      <c r="D167" s="145"/>
      <c r="E167" s="145"/>
      <c r="F167" s="145"/>
      <c r="G167" s="146"/>
      <c r="H167" s="145"/>
      <c r="I167" s="145"/>
      <c r="J167" s="145"/>
      <c r="K167" s="146"/>
      <c r="L167" s="145"/>
      <c r="M167" s="145"/>
      <c r="N167" s="145"/>
      <c r="O167" s="145"/>
      <c r="P167" s="145"/>
      <c r="Q167" s="208">
        <f>SUM(M165:V165)</f>
        <v>1169772.3679220004</v>
      </c>
      <c r="R167" s="147"/>
      <c r="S167" s="145"/>
      <c r="T167" s="145"/>
      <c r="U167" s="145"/>
      <c r="V167" s="145"/>
      <c r="W167" s="145"/>
      <c r="X167" s="145"/>
    </row>
    <row r="168" spans="1:24" ht="15">
      <c r="A168" s="109"/>
      <c r="B168" s="109"/>
      <c r="C168" s="109"/>
      <c r="D168" s="109"/>
      <c r="E168" s="109"/>
      <c r="F168" s="101"/>
      <c r="G168" s="230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</row>
    <row r="169" spans="1:24" ht="18" customHeight="1">
      <c r="A169" s="109"/>
      <c r="B169" s="109"/>
      <c r="C169" s="109"/>
      <c r="D169" s="207"/>
      <c r="E169" s="109"/>
      <c r="F169" s="109"/>
      <c r="G169" s="109"/>
      <c r="H169" s="149"/>
      <c r="I169" s="149"/>
      <c r="J169" s="149"/>
      <c r="K169" s="149"/>
      <c r="L169" s="150"/>
      <c r="M169" s="105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05"/>
    </row>
    <row r="170" spans="1:23" ht="14.25" customHeight="1">
      <c r="A170" s="118"/>
      <c r="B170" s="118"/>
      <c r="C170" s="118"/>
      <c r="D170" s="215"/>
      <c r="E170" s="215"/>
      <c r="F170" s="231"/>
      <c r="G170" s="119"/>
      <c r="H170" s="151"/>
      <c r="I170" s="151"/>
      <c r="J170" s="152"/>
      <c r="K170" s="152"/>
      <c r="L170" s="151"/>
      <c r="O170" s="122"/>
      <c r="P170" s="122"/>
      <c r="Q170" s="122"/>
      <c r="R170" s="122"/>
      <c r="S170" s="122"/>
      <c r="T170" s="122"/>
      <c r="U170" s="122"/>
      <c r="V170" s="122"/>
      <c r="W170" s="122"/>
    </row>
    <row r="171" spans="1:23" ht="15" customHeight="1">
      <c r="A171" s="118"/>
      <c r="B171" s="118"/>
      <c r="C171" s="118"/>
      <c r="D171" s="215"/>
      <c r="E171" s="215"/>
      <c r="F171" s="231"/>
      <c r="G171" s="119"/>
      <c r="H171" s="151"/>
      <c r="I171" s="151"/>
      <c r="J171" s="152"/>
      <c r="K171" s="152"/>
      <c r="L171" s="151"/>
      <c r="O171" s="122"/>
      <c r="P171" s="122"/>
      <c r="Q171" s="122"/>
      <c r="R171" s="122"/>
      <c r="S171" s="122"/>
      <c r="T171" s="122"/>
      <c r="U171" s="122"/>
      <c r="V171" s="122"/>
      <c r="W171" s="122"/>
    </row>
    <row r="172" spans="1:23" ht="15">
      <c r="A172" s="118"/>
      <c r="B172" s="120"/>
      <c r="C172" s="120"/>
      <c r="D172" s="215"/>
      <c r="E172" s="215"/>
      <c r="F172" s="231"/>
      <c r="G172" s="119"/>
      <c r="H172" s="151"/>
      <c r="I172" s="151"/>
      <c r="J172" s="152"/>
      <c r="K172" s="152"/>
      <c r="L172" s="151"/>
      <c r="O172" s="122"/>
      <c r="P172" s="122"/>
      <c r="Q172" s="122"/>
      <c r="R172" s="122"/>
      <c r="S172" s="122"/>
      <c r="T172" s="122"/>
      <c r="U172" s="122"/>
      <c r="V172" s="122"/>
      <c r="W172" s="122"/>
    </row>
    <row r="173" spans="1:23" ht="12" customHeight="1">
      <c r="A173" s="118"/>
      <c r="B173" s="118"/>
      <c r="C173" s="118"/>
      <c r="D173" s="215"/>
      <c r="E173" s="215"/>
      <c r="F173" s="231"/>
      <c r="G173" s="119"/>
      <c r="H173" s="151"/>
      <c r="I173" s="151"/>
      <c r="J173" s="152"/>
      <c r="K173" s="152"/>
      <c r="L173" s="151"/>
      <c r="O173" s="122"/>
      <c r="P173" s="122"/>
      <c r="Q173" s="122"/>
      <c r="R173" s="122"/>
      <c r="S173" s="122"/>
      <c r="T173" s="122"/>
      <c r="U173" s="122"/>
      <c r="V173" s="122"/>
      <c r="W173" s="122"/>
    </row>
    <row r="174" spans="1:12" ht="12" customHeight="1">
      <c r="A174" s="118"/>
      <c r="B174" s="118"/>
      <c r="C174" s="118"/>
      <c r="D174" s="215"/>
      <c r="E174" s="215"/>
      <c r="F174" s="231"/>
      <c r="G174" s="119"/>
      <c r="H174" s="151"/>
      <c r="I174" s="151"/>
      <c r="J174" s="152"/>
      <c r="K174" s="152"/>
      <c r="L174" s="151"/>
    </row>
    <row r="175" spans="1:12" ht="12" customHeight="1">
      <c r="A175" s="118"/>
      <c r="B175" s="118"/>
      <c r="C175" s="118"/>
      <c r="D175" s="215"/>
      <c r="E175" s="215"/>
      <c r="F175" s="232"/>
      <c r="G175" s="119"/>
      <c r="H175" s="151"/>
      <c r="I175" s="151"/>
      <c r="J175" s="152"/>
      <c r="K175" s="152"/>
      <c r="L175" s="151"/>
    </row>
    <row r="176" spans="1:12" ht="12" customHeight="1">
      <c r="A176" s="118"/>
      <c r="B176" s="118"/>
      <c r="C176" s="118"/>
      <c r="D176" s="215"/>
      <c r="E176" s="215"/>
      <c r="F176" s="156"/>
      <c r="G176" s="119"/>
      <c r="H176" s="151"/>
      <c r="I176" s="151"/>
      <c r="J176" s="152"/>
      <c r="K176" s="152"/>
      <c r="L176" s="151"/>
    </row>
    <row r="177" spans="1:12" ht="12" customHeight="1">
      <c r="A177" s="216"/>
      <c r="B177" s="118"/>
      <c r="C177" s="118"/>
      <c r="D177" s="215"/>
      <c r="E177" s="215"/>
      <c r="F177" s="156"/>
      <c r="G177" s="119"/>
      <c r="H177" s="151"/>
      <c r="I177" s="151"/>
      <c r="J177" s="152"/>
      <c r="K177" s="152"/>
      <c r="L177" s="151"/>
    </row>
    <row r="178" spans="1:12" ht="12" customHeight="1">
      <c r="A178" s="118"/>
      <c r="B178" s="118"/>
      <c r="C178" s="118"/>
      <c r="D178" s="215"/>
      <c r="E178" s="215"/>
      <c r="F178" s="156"/>
      <c r="G178" s="119"/>
      <c r="H178" s="151"/>
      <c r="I178" s="151"/>
      <c r="J178" s="152"/>
      <c r="K178" s="152"/>
      <c r="L178" s="151"/>
    </row>
    <row r="179" spans="1:12" ht="11.25" customHeight="1">
      <c r="A179" s="118"/>
      <c r="B179" s="118"/>
      <c r="C179" s="118"/>
      <c r="D179" s="215"/>
      <c r="E179" s="215"/>
      <c r="F179" s="232"/>
      <c r="G179" s="119"/>
      <c r="H179" s="151"/>
      <c r="I179" s="151"/>
      <c r="J179" s="152"/>
      <c r="K179" s="152"/>
      <c r="L179" s="151"/>
    </row>
    <row r="180" spans="1:12" ht="12" customHeight="1">
      <c r="A180" s="118"/>
      <c r="B180" s="118"/>
      <c r="C180" s="118"/>
      <c r="D180" s="215"/>
      <c r="E180" s="215"/>
      <c r="F180" s="232"/>
      <c r="G180" s="119"/>
      <c r="H180" s="151"/>
      <c r="I180" s="151"/>
      <c r="J180" s="152"/>
      <c r="K180" s="152"/>
      <c r="L180" s="151"/>
    </row>
    <row r="181" spans="1:12" ht="12" customHeight="1">
      <c r="A181" s="118"/>
      <c r="B181" s="121"/>
      <c r="C181" s="121"/>
      <c r="D181" s="215"/>
      <c r="E181" s="215"/>
      <c r="F181" s="232"/>
      <c r="G181" s="119"/>
      <c r="H181" s="151"/>
      <c r="I181" s="151"/>
      <c r="J181" s="152"/>
      <c r="K181" s="152"/>
      <c r="L181" s="151"/>
    </row>
    <row r="182" spans="1:12" ht="9.75" customHeight="1">
      <c r="A182" s="118"/>
      <c r="B182" s="118"/>
      <c r="C182" s="118"/>
      <c r="D182" s="119"/>
      <c r="E182" s="215"/>
      <c r="F182" s="232"/>
      <c r="G182" s="119"/>
      <c r="H182" s="151"/>
      <c r="I182" s="151"/>
      <c r="J182" s="152"/>
      <c r="K182" s="152"/>
      <c r="L182" s="151"/>
    </row>
    <row r="183" spans="1:12" ht="15">
      <c r="A183" s="118"/>
      <c r="B183" s="118"/>
      <c r="C183" s="118"/>
      <c r="D183" s="119"/>
      <c r="E183" s="119"/>
      <c r="F183" s="231"/>
      <c r="G183" s="119"/>
      <c r="H183" s="151"/>
      <c r="I183" s="151"/>
      <c r="J183" s="151"/>
      <c r="K183" s="151"/>
      <c r="L183" s="151"/>
    </row>
    <row r="184" spans="1:7" ht="15">
      <c r="A184" s="109"/>
      <c r="B184" s="109"/>
      <c r="C184" s="109"/>
      <c r="D184" s="109"/>
      <c r="E184" s="109"/>
      <c r="F184" s="109"/>
      <c r="G184" s="109"/>
    </row>
    <row r="185" spans="1:7" ht="15">
      <c r="A185" s="109"/>
      <c r="B185" s="109"/>
      <c r="C185" s="109"/>
      <c r="D185" s="109"/>
      <c r="E185" s="109"/>
      <c r="F185" s="109"/>
      <c r="G185" s="109"/>
    </row>
    <row r="186" spans="1:7" ht="15">
      <c r="A186" s="109"/>
      <c r="B186" s="109"/>
      <c r="C186" s="109"/>
      <c r="D186" s="109"/>
      <c r="E186" s="109"/>
      <c r="F186" s="109"/>
      <c r="G186" s="109"/>
    </row>
    <row r="187" spans="1:7" ht="15">
      <c r="A187" s="109"/>
      <c r="B187" s="109"/>
      <c r="C187" s="109"/>
      <c r="D187" s="109"/>
      <c r="E187" s="109"/>
      <c r="F187" s="109"/>
      <c r="G187" s="109"/>
    </row>
    <row r="188" spans="1:7" ht="15">
      <c r="A188" s="109"/>
      <c r="B188" s="109"/>
      <c r="C188" s="109"/>
      <c r="D188" s="109"/>
      <c r="E188" s="109"/>
      <c r="F188" s="109"/>
      <c r="G188" s="109"/>
    </row>
    <row r="189" spans="1:7" ht="15">
      <c r="A189" s="109"/>
      <c r="B189" s="109"/>
      <c r="C189" s="109"/>
      <c r="D189" s="109"/>
      <c r="E189" s="109"/>
      <c r="F189" s="109"/>
      <c r="G189" s="109"/>
    </row>
    <row r="190" spans="1:7" ht="15">
      <c r="A190" s="109"/>
      <c r="B190" s="109"/>
      <c r="C190" s="109"/>
      <c r="D190" s="109"/>
      <c r="E190" s="109"/>
      <c r="F190" s="109"/>
      <c r="G190" s="109"/>
    </row>
    <row r="191" spans="1:7" ht="15">
      <c r="A191" s="109"/>
      <c r="B191" s="109"/>
      <c r="C191" s="109"/>
      <c r="D191" s="109"/>
      <c r="E191" s="109"/>
      <c r="F191" s="109"/>
      <c r="G191" s="109"/>
    </row>
    <row r="192" spans="1:7" ht="15">
      <c r="A192" s="109"/>
      <c r="B192" s="109"/>
      <c r="C192" s="109"/>
      <c r="D192" s="109"/>
      <c r="E192" s="109"/>
      <c r="F192" s="109"/>
      <c r="G192" s="109"/>
    </row>
    <row r="193" spans="1:7" ht="15">
      <c r="A193" s="109"/>
      <c r="B193" s="109"/>
      <c r="C193" s="109"/>
      <c r="D193" s="109"/>
      <c r="E193" s="109"/>
      <c r="F193" s="109"/>
      <c r="G193" s="109"/>
    </row>
    <row r="194" spans="1:7" ht="15">
      <c r="A194" s="109"/>
      <c r="B194" s="109"/>
      <c r="C194" s="109"/>
      <c r="D194" s="109"/>
      <c r="E194" s="109"/>
      <c r="F194" s="109"/>
      <c r="G194" s="109"/>
    </row>
    <row r="195" spans="1:7" ht="15">
      <c r="A195" s="109"/>
      <c r="B195" s="109"/>
      <c r="C195" s="109"/>
      <c r="D195" s="109"/>
      <c r="E195" s="109"/>
      <c r="F195" s="109"/>
      <c r="G195" s="109"/>
    </row>
    <row r="196" spans="1:7" ht="15">
      <c r="A196" s="109"/>
      <c r="B196" s="109"/>
      <c r="C196" s="109"/>
      <c r="D196" s="109"/>
      <c r="E196" s="109"/>
      <c r="F196" s="109"/>
      <c r="G196" s="109"/>
    </row>
    <row r="197" spans="1:7" ht="15">
      <c r="A197" s="109"/>
      <c r="B197" s="109"/>
      <c r="C197" s="109"/>
      <c r="D197" s="109"/>
      <c r="E197" s="109"/>
      <c r="F197" s="109"/>
      <c r="G197" s="109"/>
    </row>
    <row r="198" spans="1:7" ht="15">
      <c r="A198" s="109"/>
      <c r="B198" s="109"/>
      <c r="C198" s="109"/>
      <c r="D198" s="109"/>
      <c r="E198" s="109"/>
      <c r="F198" s="109"/>
      <c r="G198" s="109"/>
    </row>
    <row r="199" spans="1:7" ht="15">
      <c r="A199" s="109"/>
      <c r="B199" s="109"/>
      <c r="C199" s="109"/>
      <c r="D199" s="109"/>
      <c r="E199" s="109"/>
      <c r="F199" s="109"/>
      <c r="G199" s="109"/>
    </row>
    <row r="200" spans="1:7" ht="15">
      <c r="A200" s="109"/>
      <c r="B200" s="109"/>
      <c r="C200" s="109"/>
      <c r="D200" s="109"/>
      <c r="E200" s="109"/>
      <c r="F200" s="109"/>
      <c r="G200" s="109"/>
    </row>
    <row r="201" spans="1:7" ht="15">
      <c r="A201" s="109"/>
      <c r="B201" s="109"/>
      <c r="C201" s="109"/>
      <c r="D201" s="109"/>
      <c r="E201" s="109"/>
      <c r="F201" s="109"/>
      <c r="G201" s="109"/>
    </row>
    <row r="202" spans="1:7" ht="15">
      <c r="A202" s="109"/>
      <c r="B202" s="109"/>
      <c r="C202" s="109"/>
      <c r="D202" s="109"/>
      <c r="E202" s="109"/>
      <c r="F202" s="109"/>
      <c r="G202" s="109"/>
    </row>
    <row r="203" spans="1:7" ht="15">
      <c r="A203" s="109"/>
      <c r="B203" s="109"/>
      <c r="C203" s="109"/>
      <c r="D203" s="109"/>
      <c r="E203" s="109"/>
      <c r="F203" s="109"/>
      <c r="G203" s="109"/>
    </row>
  </sheetData>
  <sheetProtection/>
  <mergeCells count="54">
    <mergeCell ref="F77:K77"/>
    <mergeCell ref="B115:E115"/>
    <mergeCell ref="F115:K115"/>
    <mergeCell ref="B136:C136"/>
    <mergeCell ref="D136:E136"/>
    <mergeCell ref="F136:G136"/>
    <mergeCell ref="H136:I136"/>
    <mergeCell ref="J136:K136"/>
    <mergeCell ref="U6:V6"/>
    <mergeCell ref="A1:W1"/>
    <mergeCell ref="A3:W3"/>
    <mergeCell ref="B5:E5"/>
    <mergeCell ref="F5:K5"/>
    <mergeCell ref="J6:K6"/>
    <mergeCell ref="M6:N6"/>
    <mergeCell ref="O6:P6"/>
    <mergeCell ref="Q6:R6"/>
    <mergeCell ref="B6:C6"/>
    <mergeCell ref="Q34:R34"/>
    <mergeCell ref="B34:C34"/>
    <mergeCell ref="D34:E34"/>
    <mergeCell ref="F34:G34"/>
    <mergeCell ref="H34:I34"/>
    <mergeCell ref="S6:T6"/>
    <mergeCell ref="D6:E6"/>
    <mergeCell ref="F6:G6"/>
    <mergeCell ref="H6:I6"/>
    <mergeCell ref="M115:W115"/>
    <mergeCell ref="W116:W117"/>
    <mergeCell ref="S34:T34"/>
    <mergeCell ref="U34:V34"/>
    <mergeCell ref="M5:W5"/>
    <mergeCell ref="W78:W79"/>
    <mergeCell ref="M33:W33"/>
    <mergeCell ref="M77:W77"/>
    <mergeCell ref="M34:N34"/>
    <mergeCell ref="O34:P34"/>
    <mergeCell ref="C146:C147"/>
    <mergeCell ref="E146:E147"/>
    <mergeCell ref="G146:G147"/>
    <mergeCell ref="I146:I147"/>
    <mergeCell ref="B33:E33"/>
    <mergeCell ref="F33:K33"/>
    <mergeCell ref="J34:K34"/>
    <mergeCell ref="B145:E145"/>
    <mergeCell ref="F145:K145"/>
    <mergeCell ref="B77:E77"/>
    <mergeCell ref="T146:T147"/>
    <mergeCell ref="V146:V147"/>
    <mergeCell ref="W146:W147"/>
    <mergeCell ref="K146:K147"/>
    <mergeCell ref="N146:N147"/>
    <mergeCell ref="P146:P147"/>
    <mergeCell ref="R146:R147"/>
  </mergeCells>
  <printOptions/>
  <pageMargins left="0.21" right="0.21" top="0.65" bottom="1" header="0.5" footer="0.5"/>
  <pageSetup fitToHeight="0" fitToWidth="1" horizontalDpi="355" verticalDpi="355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PageLayoutView="0" workbookViewId="0" topLeftCell="A1">
      <pane xSplit="1" ySplit="7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4" sqref="G44"/>
    </sheetView>
  </sheetViews>
  <sheetFormatPr defaultColWidth="9.140625" defaultRowHeight="12.75"/>
  <cols>
    <col min="1" max="1" width="10.28125" style="83" bestFit="1" customWidth="1"/>
    <col min="2" max="2" width="11.00390625" style="83" bestFit="1" customWidth="1"/>
    <col min="3" max="3" width="9.7109375" style="83" bestFit="1" customWidth="1"/>
    <col min="4" max="4" width="8.421875" style="83" bestFit="1" customWidth="1"/>
    <col min="5" max="5" width="9.8515625" style="83" bestFit="1" customWidth="1"/>
    <col min="6" max="6" width="11.00390625" style="83" bestFit="1" customWidth="1"/>
    <col min="7" max="7" width="2.57421875" style="83" customWidth="1"/>
    <col min="8" max="8" width="12.8515625" style="83" bestFit="1" customWidth="1"/>
    <col min="9" max="9" width="11.00390625" style="83" bestFit="1" customWidth="1"/>
    <col min="10" max="10" width="12.28125" style="83" bestFit="1" customWidth="1"/>
    <col min="11" max="11" width="15.57421875" style="83" bestFit="1" customWidth="1"/>
    <col min="12" max="12" width="11.00390625" style="83" bestFit="1" customWidth="1"/>
    <col min="13" max="13" width="12.8515625" style="83" bestFit="1" customWidth="1"/>
    <col min="14" max="16384" width="9.140625" style="83" customWidth="1"/>
  </cols>
  <sheetData>
    <row r="1" spans="1:13" ht="18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ht="18.75" thickBo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8.75" thickBot="1">
      <c r="A3" s="402" t="s">
        <v>148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4"/>
    </row>
    <row r="4" ht="15.75" thickBot="1"/>
    <row r="5" spans="1:13" ht="16.5" thickBot="1">
      <c r="A5" s="238"/>
      <c r="B5" s="386" t="s">
        <v>128</v>
      </c>
      <c r="C5" s="387"/>
      <c r="D5" s="387"/>
      <c r="E5" s="387"/>
      <c r="F5" s="388"/>
      <c r="H5" s="386" t="s">
        <v>129</v>
      </c>
      <c r="I5" s="387"/>
      <c r="J5" s="387"/>
      <c r="K5" s="387"/>
      <c r="L5" s="387"/>
      <c r="M5" s="388"/>
    </row>
    <row r="6" spans="1:13" s="82" customFormat="1" ht="16.5" thickBot="1">
      <c r="A6" s="178">
        <v>2002</v>
      </c>
      <c r="B6" s="426" t="s">
        <v>125</v>
      </c>
      <c r="C6" s="424" t="s">
        <v>21</v>
      </c>
      <c r="D6" s="422" t="s">
        <v>22</v>
      </c>
      <c r="E6" s="420" t="s">
        <v>126</v>
      </c>
      <c r="F6" s="418" t="s">
        <v>127</v>
      </c>
      <c r="H6" s="128" t="s">
        <v>125</v>
      </c>
      <c r="I6" s="264" t="s">
        <v>21</v>
      </c>
      <c r="J6" s="219" t="s">
        <v>22</v>
      </c>
      <c r="K6" s="269" t="s">
        <v>126</v>
      </c>
      <c r="L6" s="161" t="s">
        <v>127</v>
      </c>
      <c r="M6" s="376" t="s">
        <v>25</v>
      </c>
    </row>
    <row r="7" spans="1:13" ht="16.5" thickBot="1">
      <c r="A7" s="97"/>
      <c r="B7" s="427"/>
      <c r="C7" s="425"/>
      <c r="D7" s="423"/>
      <c r="E7" s="421"/>
      <c r="F7" s="419"/>
      <c r="H7" s="296">
        <f>0.7742+2.5754</f>
        <v>3.3496</v>
      </c>
      <c r="I7" s="302">
        <f>1.5966+5.3114</f>
        <v>6.9079999999999995</v>
      </c>
      <c r="J7" s="297">
        <f>9.7363+32.3894</f>
        <v>42.1257</v>
      </c>
      <c r="K7" s="304">
        <f>368.8736+1227.1141</f>
        <v>1595.9877000000001</v>
      </c>
      <c r="L7" s="298">
        <f>0.0166+0.0553</f>
        <v>0.0719</v>
      </c>
      <c r="M7" s="377"/>
    </row>
    <row r="8" spans="1:13" ht="15">
      <c r="A8" s="97"/>
      <c r="B8" s="97"/>
      <c r="C8" s="88"/>
      <c r="D8" s="109"/>
      <c r="E8" s="88"/>
      <c r="F8" s="234"/>
      <c r="H8" s="292"/>
      <c r="I8" s="303"/>
      <c r="J8" s="293"/>
      <c r="K8" s="303"/>
      <c r="L8" s="293"/>
      <c r="M8" s="88"/>
    </row>
    <row r="9" spans="1:14" ht="15.75">
      <c r="A9" s="286" t="s">
        <v>74</v>
      </c>
      <c r="B9" s="294"/>
      <c r="C9" s="98"/>
      <c r="D9" s="99"/>
      <c r="E9" s="98"/>
      <c r="F9" s="287"/>
      <c r="H9" s="294">
        <f>+B9*H$7</f>
        <v>0</v>
      </c>
      <c r="I9" s="98">
        <f aca="true" t="shared" si="0" ref="I9:L22">+C9*I$7</f>
        <v>0</v>
      </c>
      <c r="J9" s="99">
        <f t="shared" si="0"/>
        <v>0</v>
      </c>
      <c r="K9" s="98">
        <f t="shared" si="0"/>
        <v>0</v>
      </c>
      <c r="L9" s="99">
        <f t="shared" si="0"/>
        <v>0</v>
      </c>
      <c r="M9" s="300">
        <f>SUM(H9:L9)</f>
        <v>0</v>
      </c>
      <c r="N9" s="283"/>
    </row>
    <row r="10" spans="1:14" ht="15.75">
      <c r="A10" s="286" t="s">
        <v>57</v>
      </c>
      <c r="B10" s="294"/>
      <c r="C10" s="98"/>
      <c r="D10" s="99"/>
      <c r="E10" s="98"/>
      <c r="F10" s="287"/>
      <c r="H10" s="294">
        <f aca="true" t="shared" si="1" ref="H10:H22">+B10*H$7</f>
        <v>0</v>
      </c>
      <c r="I10" s="98">
        <f t="shared" si="0"/>
        <v>0</v>
      </c>
      <c r="J10" s="99">
        <f t="shared" si="0"/>
        <v>0</v>
      </c>
      <c r="K10" s="98">
        <f t="shared" si="0"/>
        <v>0</v>
      </c>
      <c r="L10" s="99">
        <f t="shared" si="0"/>
        <v>0</v>
      </c>
      <c r="M10" s="300">
        <f aca="true" t="shared" si="2" ref="M10:M22">SUM(H10:L10)</f>
        <v>0</v>
      </c>
      <c r="N10" s="283"/>
    </row>
    <row r="11" spans="1:14" ht="15.75">
      <c r="A11" s="286" t="s">
        <v>58</v>
      </c>
      <c r="B11" s="294"/>
      <c r="C11" s="98"/>
      <c r="D11" s="99"/>
      <c r="E11" s="98"/>
      <c r="F11" s="287"/>
      <c r="H11" s="294">
        <f t="shared" si="1"/>
        <v>0</v>
      </c>
      <c r="I11" s="98">
        <f t="shared" si="0"/>
        <v>0</v>
      </c>
      <c r="J11" s="99">
        <f t="shared" si="0"/>
        <v>0</v>
      </c>
      <c r="K11" s="98">
        <f t="shared" si="0"/>
        <v>0</v>
      </c>
      <c r="L11" s="99">
        <f t="shared" si="0"/>
        <v>0</v>
      </c>
      <c r="M11" s="300">
        <f t="shared" si="2"/>
        <v>0</v>
      </c>
      <c r="N11" s="283"/>
    </row>
    <row r="12" spans="1:14" ht="15.75">
      <c r="A12" s="286" t="s">
        <v>59</v>
      </c>
      <c r="B12" s="294">
        <v>4597.89899449036</v>
      </c>
      <c r="C12" s="98">
        <v>964.1912324355973</v>
      </c>
      <c r="D12" s="99">
        <v>0</v>
      </c>
      <c r="E12" s="98">
        <v>0</v>
      </c>
      <c r="F12" s="287">
        <v>12395.217647058822</v>
      </c>
      <c r="H12" s="294">
        <f t="shared" si="1"/>
        <v>15401.12247194491</v>
      </c>
      <c r="I12" s="98">
        <f t="shared" si="0"/>
        <v>6660.633033665105</v>
      </c>
      <c r="J12" s="99">
        <f t="shared" si="0"/>
        <v>0</v>
      </c>
      <c r="K12" s="98">
        <f t="shared" si="0"/>
        <v>0</v>
      </c>
      <c r="L12" s="99">
        <f t="shared" si="0"/>
        <v>891.2161488235294</v>
      </c>
      <c r="M12" s="300">
        <f t="shared" si="2"/>
        <v>22952.971654433542</v>
      </c>
      <c r="N12" s="283"/>
    </row>
    <row r="13" spans="1:20" ht="15.75">
      <c r="A13" s="286" t="s">
        <v>60</v>
      </c>
      <c r="B13" s="294">
        <v>13793.69698347108</v>
      </c>
      <c r="C13" s="98">
        <v>2892.573697306792</v>
      </c>
      <c r="D13" s="167">
        <v>608.2799423076923</v>
      </c>
      <c r="E13" s="98">
        <v>2</v>
      </c>
      <c r="F13" s="288">
        <v>12395.217647058822</v>
      </c>
      <c r="H13" s="294">
        <f t="shared" si="1"/>
        <v>46203.36741583473</v>
      </c>
      <c r="I13" s="98">
        <f t="shared" si="0"/>
        <v>19981.899100995317</v>
      </c>
      <c r="J13" s="99">
        <f t="shared" si="0"/>
        <v>25624.218365671153</v>
      </c>
      <c r="K13" s="98">
        <f t="shared" si="0"/>
        <v>3191.9754000000003</v>
      </c>
      <c r="L13" s="99">
        <f t="shared" si="0"/>
        <v>891.2161488235294</v>
      </c>
      <c r="M13" s="300">
        <f t="shared" si="2"/>
        <v>95892.67643132473</v>
      </c>
      <c r="N13" s="283"/>
      <c r="O13" s="109"/>
      <c r="P13" s="109"/>
      <c r="Q13" s="109"/>
      <c r="R13" s="109"/>
      <c r="S13" s="109"/>
      <c r="T13" s="109"/>
    </row>
    <row r="14" spans="1:20" ht="15.75">
      <c r="A14" s="286" t="s">
        <v>61</v>
      </c>
      <c r="B14" s="294">
        <v>38793.22240486932</v>
      </c>
      <c r="C14" s="98">
        <v>5480.100468384076</v>
      </c>
      <c r="D14" s="99">
        <v>608.2799423076923</v>
      </c>
      <c r="E14" s="98">
        <v>2</v>
      </c>
      <c r="F14" s="287">
        <v>12395.217647058822</v>
      </c>
      <c r="H14" s="294">
        <f t="shared" si="1"/>
        <v>129941.77776735027</v>
      </c>
      <c r="I14" s="98">
        <f t="shared" si="0"/>
        <v>37856.53403559719</v>
      </c>
      <c r="J14" s="99">
        <f t="shared" si="0"/>
        <v>25624.218365671153</v>
      </c>
      <c r="K14" s="98">
        <f t="shared" si="0"/>
        <v>3191.9754000000003</v>
      </c>
      <c r="L14" s="99">
        <f t="shared" si="0"/>
        <v>891.2161488235294</v>
      </c>
      <c r="M14" s="300">
        <f t="shared" si="2"/>
        <v>197505.72171744212</v>
      </c>
      <c r="N14" s="283"/>
      <c r="O14" s="153"/>
      <c r="P14" s="153"/>
      <c r="Q14" s="153"/>
      <c r="R14" s="109"/>
      <c r="S14" s="109"/>
      <c r="T14" s="109"/>
    </row>
    <row r="15" spans="1:20" ht="15.75">
      <c r="A15" s="286" t="s">
        <v>62</v>
      </c>
      <c r="B15" s="294">
        <v>38793.22240486932</v>
      </c>
      <c r="C15" s="98">
        <v>5480.100468384076</v>
      </c>
      <c r="D15" s="99">
        <v>608.2799423076923</v>
      </c>
      <c r="E15" s="98">
        <v>2</v>
      </c>
      <c r="F15" s="287">
        <v>12395.217647058822</v>
      </c>
      <c r="H15" s="294">
        <f t="shared" si="1"/>
        <v>129941.77776735027</v>
      </c>
      <c r="I15" s="98">
        <f t="shared" si="0"/>
        <v>37856.53403559719</v>
      </c>
      <c r="J15" s="99">
        <f t="shared" si="0"/>
        <v>25624.218365671153</v>
      </c>
      <c r="K15" s="98">
        <f t="shared" si="0"/>
        <v>3191.9754000000003</v>
      </c>
      <c r="L15" s="99">
        <f t="shared" si="0"/>
        <v>891.2161488235294</v>
      </c>
      <c r="M15" s="300">
        <f t="shared" si="2"/>
        <v>197505.72171744212</v>
      </c>
      <c r="N15" s="283"/>
      <c r="O15" s="153"/>
      <c r="P15" s="153"/>
      <c r="Q15" s="153"/>
      <c r="R15" s="109"/>
      <c r="S15" s="109"/>
      <c r="T15" s="109"/>
    </row>
    <row r="16" spans="1:20" ht="15.75">
      <c r="A16" s="286" t="s">
        <v>63</v>
      </c>
      <c r="B16" s="294">
        <v>38793.22240486932</v>
      </c>
      <c r="C16" s="98">
        <v>5480.100468384076</v>
      </c>
      <c r="D16" s="99">
        <v>608.2799423076923</v>
      </c>
      <c r="E16" s="98">
        <v>2</v>
      </c>
      <c r="F16" s="287">
        <v>12395.217647058822</v>
      </c>
      <c r="H16" s="294">
        <f t="shared" si="1"/>
        <v>129941.77776735027</v>
      </c>
      <c r="I16" s="98">
        <f t="shared" si="0"/>
        <v>37856.53403559719</v>
      </c>
      <c r="J16" s="99">
        <f t="shared" si="0"/>
        <v>25624.218365671153</v>
      </c>
      <c r="K16" s="98">
        <f t="shared" si="0"/>
        <v>3191.9754000000003</v>
      </c>
      <c r="L16" s="99">
        <f t="shared" si="0"/>
        <v>891.2161488235294</v>
      </c>
      <c r="M16" s="300">
        <f t="shared" si="2"/>
        <v>197505.72171744212</v>
      </c>
      <c r="N16" s="283"/>
      <c r="O16" s="153"/>
      <c r="P16" s="153"/>
      <c r="Q16" s="153"/>
      <c r="R16" s="109"/>
      <c r="S16" s="109"/>
      <c r="T16" s="109"/>
    </row>
    <row r="17" spans="1:20" ht="15.75">
      <c r="A17" s="286" t="s">
        <v>64</v>
      </c>
      <c r="B17" s="294">
        <v>38793.22240486932</v>
      </c>
      <c r="C17" s="98">
        <v>5480.100468384076</v>
      </c>
      <c r="D17" s="99">
        <v>608.2799423076923</v>
      </c>
      <c r="E17" s="98">
        <v>2</v>
      </c>
      <c r="F17" s="287">
        <v>12395.217647058822</v>
      </c>
      <c r="H17" s="294">
        <f t="shared" si="1"/>
        <v>129941.77776735027</v>
      </c>
      <c r="I17" s="98">
        <f t="shared" si="0"/>
        <v>37856.53403559719</v>
      </c>
      <c r="J17" s="99">
        <f t="shared" si="0"/>
        <v>25624.218365671153</v>
      </c>
      <c r="K17" s="98">
        <f t="shared" si="0"/>
        <v>3191.9754000000003</v>
      </c>
      <c r="L17" s="99">
        <f t="shared" si="0"/>
        <v>891.2161488235294</v>
      </c>
      <c r="M17" s="300">
        <f t="shared" si="2"/>
        <v>197505.72171744212</v>
      </c>
      <c r="N17" s="283"/>
      <c r="O17" s="153"/>
      <c r="P17" s="153"/>
      <c r="Q17" s="153"/>
      <c r="R17" s="109"/>
      <c r="S17" s="109"/>
      <c r="T17" s="109"/>
    </row>
    <row r="18" spans="1:20" ht="15.75">
      <c r="A18" s="286" t="s">
        <v>65</v>
      </c>
      <c r="B18" s="294">
        <v>38793.22240486932</v>
      </c>
      <c r="C18" s="98">
        <v>5480.100468384076</v>
      </c>
      <c r="D18" s="99">
        <v>608.2799423076923</v>
      </c>
      <c r="E18" s="98">
        <v>2</v>
      </c>
      <c r="F18" s="287">
        <v>12417.852941176468</v>
      </c>
      <c r="H18" s="294">
        <f t="shared" si="1"/>
        <v>129941.77776735027</v>
      </c>
      <c r="I18" s="98">
        <f t="shared" si="0"/>
        <v>37856.53403559719</v>
      </c>
      <c r="J18" s="99">
        <f t="shared" si="0"/>
        <v>25624.218365671153</v>
      </c>
      <c r="K18" s="98">
        <f t="shared" si="0"/>
        <v>3191.9754000000003</v>
      </c>
      <c r="L18" s="99">
        <f t="shared" si="0"/>
        <v>892.8436264705881</v>
      </c>
      <c r="M18" s="300">
        <f t="shared" si="2"/>
        <v>197507.3491950892</v>
      </c>
      <c r="N18" s="283"/>
      <c r="O18" s="153"/>
      <c r="P18" s="153"/>
      <c r="Q18" s="153"/>
      <c r="R18" s="109"/>
      <c r="S18" s="109"/>
      <c r="T18" s="109"/>
    </row>
    <row r="19" spans="1:20" ht="15.75">
      <c r="A19" s="286" t="s">
        <v>66</v>
      </c>
      <c r="B19" s="294">
        <v>31800.54411400993</v>
      </c>
      <c r="C19" s="98">
        <v>4863.598946135832</v>
      </c>
      <c r="D19" s="99">
        <v>623.1665865384615</v>
      </c>
      <c r="E19" s="98">
        <v>2</v>
      </c>
      <c r="F19" s="287">
        <v>12450.5</v>
      </c>
      <c r="H19" s="294">
        <f t="shared" si="1"/>
        <v>106519.10256428766</v>
      </c>
      <c r="I19" s="98">
        <f t="shared" si="0"/>
        <v>33597.741519906325</v>
      </c>
      <c r="J19" s="99">
        <f t="shared" si="0"/>
        <v>26251.32867454327</v>
      </c>
      <c r="K19" s="98">
        <f t="shared" si="0"/>
        <v>3191.9754000000003</v>
      </c>
      <c r="L19" s="99">
        <f t="shared" si="0"/>
        <v>895.19095</v>
      </c>
      <c r="M19" s="300">
        <f t="shared" si="2"/>
        <v>170455.33910873724</v>
      </c>
      <c r="N19" s="283"/>
      <c r="O19" s="153"/>
      <c r="P19" s="153"/>
      <c r="Q19" s="153"/>
      <c r="R19" s="109"/>
      <c r="S19" s="109"/>
      <c r="T19" s="109"/>
    </row>
    <row r="20" spans="1:20" ht="15.75">
      <c r="A20" s="286" t="s">
        <v>67</v>
      </c>
      <c r="B20" s="294">
        <v>43968.429038358554</v>
      </c>
      <c r="C20" s="98">
        <v>5871.300351288057</v>
      </c>
      <c r="D20" s="99">
        <v>624.2332692307692</v>
      </c>
      <c r="E20" s="98">
        <v>2</v>
      </c>
      <c r="F20" s="287">
        <v>12531.573529411762</v>
      </c>
      <c r="H20" s="294">
        <f t="shared" si="1"/>
        <v>147276.6499068858</v>
      </c>
      <c r="I20" s="98">
        <f t="shared" si="0"/>
        <v>40558.942826697894</v>
      </c>
      <c r="J20" s="99">
        <f t="shared" si="0"/>
        <v>26296.263429634615</v>
      </c>
      <c r="K20" s="98">
        <f t="shared" si="0"/>
        <v>3191.9754000000003</v>
      </c>
      <c r="L20" s="99">
        <f t="shared" si="0"/>
        <v>901.0201367647057</v>
      </c>
      <c r="M20" s="300">
        <f t="shared" si="2"/>
        <v>218224.85169998303</v>
      </c>
      <c r="N20" s="283"/>
      <c r="O20" s="153"/>
      <c r="P20" s="153"/>
      <c r="Q20" s="153"/>
      <c r="R20" s="109"/>
      <c r="S20" s="109"/>
      <c r="T20" s="109"/>
    </row>
    <row r="21" spans="1:20" ht="15.75">
      <c r="A21" s="286" t="s">
        <v>68</v>
      </c>
      <c r="B21" s="294">
        <v>32616.89982200196</v>
      </c>
      <c r="C21" s="98">
        <v>4873.933255269321</v>
      </c>
      <c r="D21" s="99">
        <v>592.1999519230769</v>
      </c>
      <c r="E21" s="98">
        <v>2</v>
      </c>
      <c r="F21" s="287">
        <v>12632.044117647047</v>
      </c>
      <c r="H21" s="294">
        <f t="shared" si="1"/>
        <v>109253.56764377777</v>
      </c>
      <c r="I21" s="98">
        <f t="shared" si="0"/>
        <v>33669.13092740047</v>
      </c>
      <c r="J21" s="99">
        <f t="shared" si="0"/>
        <v>24946.83751472596</v>
      </c>
      <c r="K21" s="98">
        <f t="shared" si="0"/>
        <v>3191.9754000000003</v>
      </c>
      <c r="L21" s="99">
        <f t="shared" si="0"/>
        <v>908.2439720588227</v>
      </c>
      <c r="M21" s="300">
        <f t="shared" si="2"/>
        <v>171969.755457963</v>
      </c>
      <c r="N21" s="283"/>
      <c r="O21" s="153"/>
      <c r="P21" s="153"/>
      <c r="Q21" s="153"/>
      <c r="R21" s="109"/>
      <c r="S21" s="109"/>
      <c r="T21" s="109"/>
    </row>
    <row r="22" spans="1:20" ht="15.75">
      <c r="A22" s="286" t="s">
        <v>74</v>
      </c>
      <c r="B22" s="299">
        <v>63987.69154891531</v>
      </c>
      <c r="C22" s="300">
        <v>8218.259953161594</v>
      </c>
      <c r="D22" s="289">
        <v>515.5207211538461</v>
      </c>
      <c r="E22" s="300">
        <v>2</v>
      </c>
      <c r="F22" s="290">
        <v>0</v>
      </c>
      <c r="H22" s="294">
        <f t="shared" si="1"/>
        <v>214333.17161224672</v>
      </c>
      <c r="I22" s="98">
        <f t="shared" si="0"/>
        <v>56771.739756440285</v>
      </c>
      <c r="J22" s="99">
        <f t="shared" si="0"/>
        <v>21716.671243110577</v>
      </c>
      <c r="K22" s="98">
        <f t="shared" si="0"/>
        <v>3191.9754000000003</v>
      </c>
      <c r="L22" s="99">
        <f t="shared" si="0"/>
        <v>0</v>
      </c>
      <c r="M22" s="300">
        <f t="shared" si="2"/>
        <v>296013.55801179755</v>
      </c>
      <c r="N22" s="283"/>
      <c r="O22" s="153"/>
      <c r="P22" s="153"/>
      <c r="Q22" s="153"/>
      <c r="R22" s="109"/>
      <c r="S22" s="109"/>
      <c r="T22" s="109"/>
    </row>
    <row r="23" spans="1:20" ht="16.5" thickBot="1">
      <c r="A23" s="102"/>
      <c r="B23" s="295">
        <f>SUM(B10:B22)</f>
        <v>384731.2725255938</v>
      </c>
      <c r="C23" s="301">
        <f>SUM(C10:C22)</f>
        <v>55084.35977751758</v>
      </c>
      <c r="D23" s="284">
        <f>SUM(D10:D22)</f>
        <v>6004.800182692307</v>
      </c>
      <c r="E23" s="301">
        <f>SUM(E10:E22)</f>
        <v>20</v>
      </c>
      <c r="F23" s="291">
        <f>SUM(F10:F22)</f>
        <v>124403.27647058821</v>
      </c>
      <c r="H23" s="295">
        <f aca="true" t="shared" si="3" ref="H23:M23">SUM(H9:H22)</f>
        <v>1288695.8704517288</v>
      </c>
      <c r="I23" s="301">
        <f t="shared" si="3"/>
        <v>380522.75734309136</v>
      </c>
      <c r="J23" s="284">
        <f t="shared" si="3"/>
        <v>252956.41105604134</v>
      </c>
      <c r="K23" s="301">
        <f t="shared" si="3"/>
        <v>31919.753999999997</v>
      </c>
      <c r="L23" s="284">
        <f t="shared" si="3"/>
        <v>8944.595578235294</v>
      </c>
      <c r="M23" s="305">
        <f t="shared" si="3"/>
        <v>1963039.3884290967</v>
      </c>
      <c r="N23" s="283"/>
      <c r="O23" s="109"/>
      <c r="P23" s="109"/>
      <c r="Q23" s="109"/>
      <c r="R23" s="109"/>
      <c r="S23" s="109"/>
      <c r="T23" s="109"/>
    </row>
    <row r="24" spans="8:20" ht="15">
      <c r="H24" s="283"/>
      <c r="I24" s="283"/>
      <c r="J24" s="283"/>
      <c r="K24" s="283"/>
      <c r="L24" s="283"/>
      <c r="M24" s="283">
        <f>SUM(H23:L23)-M23</f>
        <v>0</v>
      </c>
      <c r="N24" s="283"/>
      <c r="O24" s="109"/>
      <c r="P24" s="109"/>
      <c r="Q24" s="109"/>
      <c r="R24" s="109"/>
      <c r="S24" s="109"/>
      <c r="T24" s="109"/>
    </row>
    <row r="25" spans="8:14" ht="15.75" thickBot="1">
      <c r="H25" s="283"/>
      <c r="I25" s="283"/>
      <c r="J25" s="283"/>
      <c r="K25" s="283"/>
      <c r="L25" s="283"/>
      <c r="M25" s="283"/>
      <c r="N25" s="283"/>
    </row>
    <row r="26" spans="1:13" ht="16.5" thickBot="1">
      <c r="A26" s="238"/>
      <c r="B26" s="386" t="s">
        <v>128</v>
      </c>
      <c r="C26" s="387"/>
      <c r="D26" s="387"/>
      <c r="E26" s="387"/>
      <c r="F26" s="388"/>
      <c r="G26" s="88"/>
      <c r="H26" s="386" t="s">
        <v>129</v>
      </c>
      <c r="I26" s="387"/>
      <c r="J26" s="387"/>
      <c r="K26" s="387"/>
      <c r="L26" s="387"/>
      <c r="M26" s="388"/>
    </row>
    <row r="27" spans="1:13" ht="16.5" thickBot="1">
      <c r="A27" s="178">
        <v>2003</v>
      </c>
      <c r="B27" s="407" t="s">
        <v>125</v>
      </c>
      <c r="C27" s="409" t="s">
        <v>21</v>
      </c>
      <c r="D27" s="411" t="s">
        <v>22</v>
      </c>
      <c r="E27" s="413" t="s">
        <v>126</v>
      </c>
      <c r="F27" s="415" t="s">
        <v>127</v>
      </c>
      <c r="G27" s="149"/>
      <c r="H27" s="128" t="s">
        <v>125</v>
      </c>
      <c r="I27" s="264" t="s">
        <v>21</v>
      </c>
      <c r="J27" s="219" t="s">
        <v>22</v>
      </c>
      <c r="K27" s="269" t="s">
        <v>126</v>
      </c>
      <c r="L27" s="161" t="s">
        <v>127</v>
      </c>
      <c r="M27" s="376" t="s">
        <v>25</v>
      </c>
    </row>
    <row r="28" spans="1:13" ht="16.5" thickBot="1">
      <c r="A28" s="97"/>
      <c r="B28" s="408"/>
      <c r="C28" s="410"/>
      <c r="D28" s="412"/>
      <c r="E28" s="414"/>
      <c r="F28" s="416"/>
      <c r="G28" s="109"/>
      <c r="H28" s="296">
        <f>0.7742+2.5754</f>
        <v>3.3496</v>
      </c>
      <c r="I28" s="302">
        <f>1.5966+5.3114</f>
        <v>6.9079999999999995</v>
      </c>
      <c r="J28" s="297">
        <f>9.7363+32.3894</f>
        <v>42.1257</v>
      </c>
      <c r="K28" s="304">
        <f>368.8736+1227.1141</f>
        <v>1595.9877000000001</v>
      </c>
      <c r="L28" s="298">
        <f>0.0166+0.0553</f>
        <v>0.0719</v>
      </c>
      <c r="M28" s="377"/>
    </row>
    <row r="29" spans="1:13" ht="15">
      <c r="A29" s="97"/>
      <c r="B29" s="88"/>
      <c r="C29" s="109"/>
      <c r="D29" s="88"/>
      <c r="E29" s="109"/>
      <c r="F29" s="88"/>
      <c r="G29" s="109"/>
      <c r="H29" s="292"/>
      <c r="I29" s="303"/>
      <c r="J29" s="293"/>
      <c r="K29" s="303"/>
      <c r="L29" s="293"/>
      <c r="M29" s="88"/>
    </row>
    <row r="30" spans="1:13" ht="15.75">
      <c r="A30" s="286" t="s">
        <v>74</v>
      </c>
      <c r="B30" s="307">
        <v>-63987.69154891531</v>
      </c>
      <c r="C30" s="167">
        <v>-8218.259953161594</v>
      </c>
      <c r="D30" s="307">
        <v>-515.5207211538461</v>
      </c>
      <c r="E30" s="167">
        <v>-2</v>
      </c>
      <c r="F30" s="307"/>
      <c r="G30" s="109"/>
      <c r="H30" s="294">
        <f>+B30*H$7</f>
        <v>-214333.17161224672</v>
      </c>
      <c r="I30" s="98">
        <f aca="true" t="shared" si="4" ref="I30:I43">+C30*I$7</f>
        <v>-56771.739756440285</v>
      </c>
      <c r="J30" s="99">
        <f aca="true" t="shared" si="5" ref="J30:J43">+D30*J$7</f>
        <v>-21716.671243110577</v>
      </c>
      <c r="K30" s="98">
        <f aca="true" t="shared" si="6" ref="K30:K43">+E30*K$7</f>
        <v>-3191.9754000000003</v>
      </c>
      <c r="L30" s="99">
        <f aca="true" t="shared" si="7" ref="L30:L43">+F30*L$7</f>
        <v>0</v>
      </c>
      <c r="M30" s="300">
        <f>SUM(H30:L30)</f>
        <v>-296013.55801179755</v>
      </c>
    </row>
    <row r="31" spans="1:13" ht="15.75">
      <c r="A31" s="286" t="s">
        <v>57</v>
      </c>
      <c r="B31" s="307">
        <v>44623.59830095571</v>
      </c>
      <c r="C31" s="167">
        <v>5893.333723653396</v>
      </c>
      <c r="D31" s="307">
        <v>654.5</v>
      </c>
      <c r="E31" s="167">
        <v>2</v>
      </c>
      <c r="F31" s="307">
        <v>12588.43382352941</v>
      </c>
      <c r="G31" s="109"/>
      <c r="H31" s="294">
        <f aca="true" t="shared" si="8" ref="H31:H43">+B31*H$7</f>
        <v>149471.20486888126</v>
      </c>
      <c r="I31" s="98">
        <f t="shared" si="4"/>
        <v>40711.14936299766</v>
      </c>
      <c r="J31" s="99">
        <f t="shared" si="5"/>
        <v>27571.270650000002</v>
      </c>
      <c r="K31" s="98">
        <f t="shared" si="6"/>
        <v>3191.9754000000003</v>
      </c>
      <c r="L31" s="99">
        <f t="shared" si="7"/>
        <v>905.1083919117647</v>
      </c>
      <c r="M31" s="300">
        <f aca="true" t="shared" si="9" ref="M31:M43">SUM(H31:L31)</f>
        <v>221850.70867379068</v>
      </c>
    </row>
    <row r="32" spans="1:13" ht="15.75">
      <c r="A32" s="286" t="s">
        <v>58</v>
      </c>
      <c r="B32" s="307">
        <v>32558.204977092875</v>
      </c>
      <c r="C32" s="167">
        <v>4870.534836065574</v>
      </c>
      <c r="D32" s="307">
        <v>627.9000480769231</v>
      </c>
      <c r="E32" s="167">
        <v>2</v>
      </c>
      <c r="F32" s="307">
        <v>12588.43382352941</v>
      </c>
      <c r="G32" s="109"/>
      <c r="H32" s="294">
        <f t="shared" si="8"/>
        <v>109056.9633912703</v>
      </c>
      <c r="I32" s="98">
        <f t="shared" si="4"/>
        <v>33645.654647540985</v>
      </c>
      <c r="J32" s="99">
        <f t="shared" si="5"/>
        <v>26450.72905527404</v>
      </c>
      <c r="K32" s="98">
        <f t="shared" si="6"/>
        <v>3191.9754000000003</v>
      </c>
      <c r="L32" s="99">
        <f t="shared" si="7"/>
        <v>905.1083919117647</v>
      </c>
      <c r="M32" s="300">
        <f t="shared" si="9"/>
        <v>173250.43088599708</v>
      </c>
    </row>
    <row r="33" spans="1:13" ht="15.75">
      <c r="A33" s="286" t="s">
        <v>59</v>
      </c>
      <c r="B33" s="307">
        <v>44731.51075309159</v>
      </c>
      <c r="C33" s="167">
        <v>5901.935597189696</v>
      </c>
      <c r="D33" s="307">
        <v>628.299951923077</v>
      </c>
      <c r="E33" s="167">
        <v>2</v>
      </c>
      <c r="F33" s="307">
        <v>12588.43382352941</v>
      </c>
      <c r="G33" s="109"/>
      <c r="H33" s="294">
        <f t="shared" si="8"/>
        <v>149832.6684185556</v>
      </c>
      <c r="I33" s="98">
        <f t="shared" si="4"/>
        <v>40770.571105386414</v>
      </c>
      <c r="J33" s="99">
        <f t="shared" si="5"/>
        <v>26467.575284725965</v>
      </c>
      <c r="K33" s="98">
        <f t="shared" si="6"/>
        <v>3191.9754000000003</v>
      </c>
      <c r="L33" s="99">
        <f t="shared" si="7"/>
        <v>905.1083919117647</v>
      </c>
      <c r="M33" s="300">
        <f t="shared" si="9"/>
        <v>221167.89860057973</v>
      </c>
    </row>
    <row r="34" spans="1:13" ht="15.75">
      <c r="A34" s="286" t="s">
        <v>60</v>
      </c>
      <c r="B34" s="307">
        <v>32686.834853388966</v>
      </c>
      <c r="C34" s="167">
        <v>4869.100409836066</v>
      </c>
      <c r="D34" s="307">
        <v>632.0333173076923</v>
      </c>
      <c r="E34" s="167">
        <v>2</v>
      </c>
      <c r="F34" s="307">
        <v>12588.43382352941</v>
      </c>
      <c r="G34" s="109"/>
      <c r="H34" s="294">
        <f t="shared" si="8"/>
        <v>109487.82202491169</v>
      </c>
      <c r="I34" s="98">
        <f t="shared" si="4"/>
        <v>33635.74563114755</v>
      </c>
      <c r="J34" s="99">
        <f t="shared" si="5"/>
        <v>26624.845914908656</v>
      </c>
      <c r="K34" s="98">
        <f t="shared" si="6"/>
        <v>3191.9754000000003</v>
      </c>
      <c r="L34" s="99">
        <f t="shared" si="7"/>
        <v>905.1083919117647</v>
      </c>
      <c r="M34" s="300">
        <f t="shared" si="9"/>
        <v>173845.49736287963</v>
      </c>
    </row>
    <row r="35" spans="1:13" ht="15.75">
      <c r="A35" s="286" t="s">
        <v>61</v>
      </c>
      <c r="B35" s="307">
        <v>45728.60757399778</v>
      </c>
      <c r="C35" s="167">
        <v>5915.798887587823</v>
      </c>
      <c r="D35" s="307">
        <v>633.7</v>
      </c>
      <c r="E35" s="167">
        <v>2</v>
      </c>
      <c r="F35" s="307">
        <v>12643.529411764706</v>
      </c>
      <c r="G35" s="109"/>
      <c r="H35" s="294">
        <f t="shared" si="8"/>
        <v>153172.54392986296</v>
      </c>
      <c r="I35" s="98">
        <f t="shared" si="4"/>
        <v>40866.33871545667</v>
      </c>
      <c r="J35" s="99">
        <f t="shared" si="5"/>
        <v>26695.056090000002</v>
      </c>
      <c r="K35" s="98">
        <f t="shared" si="6"/>
        <v>3191.9754000000003</v>
      </c>
      <c r="L35" s="99">
        <f t="shared" si="7"/>
        <v>909.0697647058824</v>
      </c>
      <c r="M35" s="300">
        <f t="shared" si="9"/>
        <v>224834.9839000255</v>
      </c>
    </row>
    <row r="36" spans="1:13" ht="15.75">
      <c r="A36" s="286" t="s">
        <v>62</v>
      </c>
      <c r="B36" s="307">
        <v>32280.78543005051</v>
      </c>
      <c r="C36" s="167">
        <v>4874.198770491804</v>
      </c>
      <c r="D36" s="307">
        <v>634.1</v>
      </c>
      <c r="E36" s="167">
        <v>2</v>
      </c>
      <c r="F36" s="307">
        <v>12643.529411764706</v>
      </c>
      <c r="G36" s="109"/>
      <c r="H36" s="294">
        <f t="shared" si="8"/>
        <v>108127.7188764972</v>
      </c>
      <c r="I36" s="98">
        <f t="shared" si="4"/>
        <v>33670.96510655738</v>
      </c>
      <c r="J36" s="99">
        <f t="shared" si="5"/>
        <v>26711.90637</v>
      </c>
      <c r="K36" s="98">
        <f t="shared" si="6"/>
        <v>3191.9754000000003</v>
      </c>
      <c r="L36" s="99">
        <f t="shared" si="7"/>
        <v>909.0697647058824</v>
      </c>
      <c r="M36" s="300">
        <f t="shared" si="9"/>
        <v>172611.63551776044</v>
      </c>
    </row>
    <row r="37" spans="1:13" ht="15.75">
      <c r="A37" s="286" t="s">
        <v>63</v>
      </c>
      <c r="B37" s="307">
        <v>45452.744331997885</v>
      </c>
      <c r="C37" s="167">
        <v>5924.598946135831</v>
      </c>
      <c r="D37" s="307">
        <v>634.0333173076923</v>
      </c>
      <c r="E37" s="167">
        <v>2</v>
      </c>
      <c r="F37" s="307">
        <v>12639.85294117647</v>
      </c>
      <c r="G37" s="109"/>
      <c r="H37" s="294">
        <f t="shared" si="8"/>
        <v>152248.51241446013</v>
      </c>
      <c r="I37" s="98">
        <f t="shared" si="4"/>
        <v>40927.12951990632</v>
      </c>
      <c r="J37" s="99">
        <f t="shared" si="5"/>
        <v>26709.097314908653</v>
      </c>
      <c r="K37" s="98">
        <f t="shared" si="6"/>
        <v>3191.9754000000003</v>
      </c>
      <c r="L37" s="99">
        <f t="shared" si="7"/>
        <v>908.8054264705883</v>
      </c>
      <c r="M37" s="300">
        <f t="shared" si="9"/>
        <v>223985.52007574568</v>
      </c>
    </row>
    <row r="38" spans="1:13" ht="15.75">
      <c r="A38" s="286" t="s">
        <v>64</v>
      </c>
      <c r="B38" s="307">
        <v>32895.68075042709</v>
      </c>
      <c r="C38" s="167">
        <v>4863.299180327869</v>
      </c>
      <c r="D38" s="307">
        <v>626.7666826923077</v>
      </c>
      <c r="E38" s="167">
        <v>2</v>
      </c>
      <c r="F38" s="307">
        <v>12639.85294117647</v>
      </c>
      <c r="G38" s="109"/>
      <c r="H38" s="294">
        <f t="shared" si="8"/>
        <v>110187.37224163058</v>
      </c>
      <c r="I38" s="98">
        <f t="shared" si="4"/>
        <v>33595.67073770492</v>
      </c>
      <c r="J38" s="99">
        <f t="shared" si="5"/>
        <v>26402.985245091346</v>
      </c>
      <c r="K38" s="98">
        <f t="shared" si="6"/>
        <v>3191.9754000000003</v>
      </c>
      <c r="L38" s="99">
        <f t="shared" si="7"/>
        <v>908.8054264705883</v>
      </c>
      <c r="M38" s="300">
        <f t="shared" si="9"/>
        <v>174286.80905089743</v>
      </c>
    </row>
    <row r="39" spans="1:13" ht="15.75">
      <c r="A39" s="286" t="s">
        <v>65</v>
      </c>
      <c r="B39" s="307">
        <v>46411.83905827422</v>
      </c>
      <c r="C39" s="167">
        <v>5943.0998243559725</v>
      </c>
      <c r="D39" s="307">
        <v>647.3666826923077</v>
      </c>
      <c r="E39" s="167">
        <v>2</v>
      </c>
      <c r="F39" s="307">
        <v>12666.235294117647</v>
      </c>
      <c r="G39" s="109"/>
      <c r="H39" s="294">
        <f t="shared" si="8"/>
        <v>155461.09610959532</v>
      </c>
      <c r="I39" s="98">
        <f t="shared" si="4"/>
        <v>41054.93358665105</v>
      </c>
      <c r="J39" s="99">
        <f t="shared" si="5"/>
        <v>27270.774665091347</v>
      </c>
      <c r="K39" s="98">
        <f t="shared" si="6"/>
        <v>3191.9754000000003</v>
      </c>
      <c r="L39" s="99">
        <f t="shared" si="7"/>
        <v>910.7023176470589</v>
      </c>
      <c r="M39" s="300">
        <f t="shared" si="9"/>
        <v>227889.4820789848</v>
      </c>
    </row>
    <row r="40" spans="1:13" ht="15.75">
      <c r="A40" s="286" t="s">
        <v>66</v>
      </c>
      <c r="B40" s="307">
        <v>32082.955804020454</v>
      </c>
      <c r="C40" s="167">
        <v>4909.52781030445</v>
      </c>
      <c r="D40" s="307">
        <v>639.1666826923077</v>
      </c>
      <c r="E40" s="167">
        <v>2</v>
      </c>
      <c r="F40" s="307">
        <v>12672.5</v>
      </c>
      <c r="G40" s="109"/>
      <c r="H40" s="294">
        <f t="shared" si="8"/>
        <v>107465.06876114692</v>
      </c>
      <c r="I40" s="98">
        <f t="shared" si="4"/>
        <v>33915.01811358314</v>
      </c>
      <c r="J40" s="99">
        <f t="shared" si="5"/>
        <v>26925.34392509135</v>
      </c>
      <c r="K40" s="98">
        <f t="shared" si="6"/>
        <v>3191.9754000000003</v>
      </c>
      <c r="L40" s="99">
        <f t="shared" si="7"/>
        <v>911.1527500000001</v>
      </c>
      <c r="M40" s="300">
        <f t="shared" si="9"/>
        <v>172408.55894982142</v>
      </c>
    </row>
    <row r="41" spans="1:13" ht="15.75">
      <c r="A41" s="286" t="s">
        <v>67</v>
      </c>
      <c r="B41" s="307">
        <v>46044.24387843447</v>
      </c>
      <c r="C41" s="167">
        <v>5951.0307377049185</v>
      </c>
      <c r="D41" s="307">
        <v>637.0333173076923</v>
      </c>
      <c r="E41" s="167">
        <v>2</v>
      </c>
      <c r="F41" s="307">
        <v>12672.5</v>
      </c>
      <c r="G41" s="109"/>
      <c r="H41" s="294">
        <f t="shared" si="8"/>
        <v>154229.7992952041</v>
      </c>
      <c r="I41" s="98">
        <f t="shared" si="4"/>
        <v>41109.72033606558</v>
      </c>
      <c r="J41" s="99">
        <f t="shared" si="5"/>
        <v>26835.474414908655</v>
      </c>
      <c r="K41" s="98">
        <f t="shared" si="6"/>
        <v>3191.9754000000003</v>
      </c>
      <c r="L41" s="99">
        <f t="shared" si="7"/>
        <v>911.1527500000001</v>
      </c>
      <c r="M41" s="300">
        <f t="shared" si="9"/>
        <v>226278.12219617833</v>
      </c>
    </row>
    <row r="42" spans="1:13" ht="15.75">
      <c r="A42" s="286" t="s">
        <v>68</v>
      </c>
      <c r="B42" s="307">
        <v>32811.71923455313</v>
      </c>
      <c r="C42" s="167">
        <v>4914.234484777518</v>
      </c>
      <c r="D42" s="307">
        <v>618.6333173076923</v>
      </c>
      <c r="E42" s="167">
        <v>2</v>
      </c>
      <c r="F42" s="307">
        <v>12672.5</v>
      </c>
      <c r="G42" s="109"/>
      <c r="H42" s="294">
        <f t="shared" si="8"/>
        <v>109906.13474805916</v>
      </c>
      <c r="I42" s="98">
        <f t="shared" si="4"/>
        <v>33947.5318208431</v>
      </c>
      <c r="J42" s="99">
        <f t="shared" si="5"/>
        <v>26060.361534908654</v>
      </c>
      <c r="K42" s="98">
        <f t="shared" si="6"/>
        <v>3191.9754000000003</v>
      </c>
      <c r="L42" s="99">
        <f t="shared" si="7"/>
        <v>911.1527500000001</v>
      </c>
      <c r="M42" s="300">
        <f t="shared" si="9"/>
        <v>174017.1562538109</v>
      </c>
    </row>
    <row r="43" spans="1:13" ht="15.75">
      <c r="A43" s="286" t="s">
        <v>74</v>
      </c>
      <c r="B43" s="308">
        <v>66381.2257858292</v>
      </c>
      <c r="C43" s="306">
        <v>8261.154859484777</v>
      </c>
      <c r="D43" s="308">
        <v>561.1095192307693</v>
      </c>
      <c r="E43" s="306">
        <v>2</v>
      </c>
      <c r="F43" s="308"/>
      <c r="G43" s="109"/>
      <c r="H43" s="294">
        <f t="shared" si="8"/>
        <v>222350.5538922135</v>
      </c>
      <c r="I43" s="98">
        <f t="shared" si="4"/>
        <v>57068.05776932084</v>
      </c>
      <c r="J43" s="99">
        <f t="shared" si="5"/>
        <v>23637.131274259616</v>
      </c>
      <c r="K43" s="98">
        <f t="shared" si="6"/>
        <v>3191.9754000000003</v>
      </c>
      <c r="L43" s="99">
        <f t="shared" si="7"/>
        <v>0</v>
      </c>
      <c r="M43" s="300">
        <f t="shared" si="9"/>
        <v>306247.71833579394</v>
      </c>
    </row>
    <row r="44" spans="1:13" ht="16.5" thickBot="1">
      <c r="A44" s="102"/>
      <c r="B44" s="301">
        <f>SUM(B30:B43)</f>
        <v>470702.2591831985</v>
      </c>
      <c r="C44" s="284">
        <f>SUM(C30:C43)</f>
        <v>64873.5881147541</v>
      </c>
      <c r="D44" s="301">
        <f>SUM(D30:D43)</f>
        <v>7659.1221153846145</v>
      </c>
      <c r="E44" s="284">
        <f>SUM(E30:E43)</f>
        <v>24</v>
      </c>
      <c r="F44" s="301">
        <f>SUM(F30:F43)</f>
        <v>151604.23529411765</v>
      </c>
      <c r="G44" s="88"/>
      <c r="H44" s="295">
        <f aca="true" t="shared" si="10" ref="H44:M44">SUM(H30:H43)</f>
        <v>1576664.2873600419</v>
      </c>
      <c r="I44" s="301">
        <f t="shared" si="10"/>
        <v>448146.74669672135</v>
      </c>
      <c r="J44" s="284">
        <f t="shared" si="10"/>
        <v>322645.8804960577</v>
      </c>
      <c r="K44" s="301">
        <f t="shared" si="10"/>
        <v>38303.7048</v>
      </c>
      <c r="L44" s="284">
        <f t="shared" si="10"/>
        <v>10900.344517647056</v>
      </c>
      <c r="M44" s="305">
        <f t="shared" si="10"/>
        <v>2396660.963870468</v>
      </c>
    </row>
    <row r="45" spans="8:13" ht="15">
      <c r="H45" s="283"/>
      <c r="I45" s="283"/>
      <c r="J45" s="283"/>
      <c r="K45" s="283"/>
      <c r="L45" s="283"/>
      <c r="M45" s="283">
        <f>SUM(H44:L44)-M44</f>
        <v>0</v>
      </c>
    </row>
    <row r="46" ht="15.75" thickBot="1"/>
    <row r="47" spans="1:13" ht="16.5" thickBot="1">
      <c r="A47" s="238"/>
      <c r="B47" s="386" t="s">
        <v>128</v>
      </c>
      <c r="C47" s="387"/>
      <c r="D47" s="387"/>
      <c r="E47" s="387"/>
      <c r="F47" s="388"/>
      <c r="G47" s="88"/>
      <c r="H47" s="386" t="s">
        <v>129</v>
      </c>
      <c r="I47" s="387"/>
      <c r="J47" s="387"/>
      <c r="K47" s="387"/>
      <c r="L47" s="387"/>
      <c r="M47" s="388"/>
    </row>
    <row r="48" spans="1:13" ht="16.5" thickBot="1">
      <c r="A48" s="178">
        <v>2004</v>
      </c>
      <c r="B48" s="407" t="s">
        <v>125</v>
      </c>
      <c r="C48" s="409" t="s">
        <v>21</v>
      </c>
      <c r="D48" s="411" t="s">
        <v>22</v>
      </c>
      <c r="E48" s="413" t="s">
        <v>126</v>
      </c>
      <c r="F48" s="415" t="s">
        <v>127</v>
      </c>
      <c r="G48" s="149"/>
      <c r="H48" s="128" t="s">
        <v>125</v>
      </c>
      <c r="I48" s="264" t="s">
        <v>21</v>
      </c>
      <c r="J48" s="219" t="s">
        <v>22</v>
      </c>
      <c r="K48" s="269" t="s">
        <v>126</v>
      </c>
      <c r="L48" s="161" t="s">
        <v>127</v>
      </c>
      <c r="M48" s="376" t="s">
        <v>25</v>
      </c>
    </row>
    <row r="49" spans="1:13" ht="16.5" thickBot="1">
      <c r="A49" s="97"/>
      <c r="B49" s="408"/>
      <c r="C49" s="410"/>
      <c r="D49" s="412"/>
      <c r="E49" s="414"/>
      <c r="F49" s="416"/>
      <c r="G49" s="109"/>
      <c r="H49" s="296">
        <f>0.7742+2.5754</f>
        <v>3.3496</v>
      </c>
      <c r="I49" s="302">
        <f>1.5966+5.3114</f>
        <v>6.9079999999999995</v>
      </c>
      <c r="J49" s="297">
        <f>9.7363+32.3894</f>
        <v>42.1257</v>
      </c>
      <c r="K49" s="304">
        <f>368.8736+1227.1141</f>
        <v>1595.9877000000001</v>
      </c>
      <c r="L49" s="298">
        <f>0.0166+0.0553</f>
        <v>0.0719</v>
      </c>
      <c r="M49" s="377"/>
    </row>
    <row r="50" spans="1:13" ht="15">
      <c r="A50" s="97"/>
      <c r="B50" s="88"/>
      <c r="C50" s="109"/>
      <c r="D50" s="88"/>
      <c r="E50" s="109"/>
      <c r="F50" s="88"/>
      <c r="G50" s="109"/>
      <c r="H50" s="292"/>
      <c r="I50" s="303"/>
      <c r="J50" s="293"/>
      <c r="K50" s="303"/>
      <c r="L50" s="293"/>
      <c r="M50" s="88"/>
    </row>
    <row r="51" spans="1:13" ht="15.75">
      <c r="A51" s="286" t="s">
        <v>74</v>
      </c>
      <c r="B51" s="307">
        <v>-66381.2257858292</v>
      </c>
      <c r="C51" s="167">
        <v>-8261.154859484777</v>
      </c>
      <c r="D51" s="307">
        <v>-561.1095192307693</v>
      </c>
      <c r="E51" s="167">
        <v>-2</v>
      </c>
      <c r="F51" s="307">
        <v>0</v>
      </c>
      <c r="G51" s="109"/>
      <c r="H51" s="294">
        <f>+B51*H$7</f>
        <v>-222350.5538922135</v>
      </c>
      <c r="I51" s="98">
        <f aca="true" t="shared" si="11" ref="I51:I64">+C51*I$7</f>
        <v>-57068.05776932084</v>
      </c>
      <c r="J51" s="99">
        <f aca="true" t="shared" si="12" ref="J51:J64">+D51*J$7</f>
        <v>-23637.131274259616</v>
      </c>
      <c r="K51" s="98">
        <f aca="true" t="shared" si="13" ref="K51:K64">+E51*K$7</f>
        <v>-3191.9754000000003</v>
      </c>
      <c r="L51" s="99">
        <f aca="true" t="shared" si="14" ref="L51:L64">+F51*L$7</f>
        <v>0</v>
      </c>
      <c r="M51" s="300">
        <f>SUM(H51:L51)</f>
        <v>-306247.71833579394</v>
      </c>
    </row>
    <row r="52" spans="1:13" ht="15.75">
      <c r="A52" s="286" t="s">
        <v>57</v>
      </c>
      <c r="B52" s="307">
        <v>46785.31340710317</v>
      </c>
      <c r="C52" s="167">
        <v>6000.397833723654</v>
      </c>
      <c r="D52" s="307">
        <v>637.8333653846154</v>
      </c>
      <c r="E52" s="167">
        <v>2</v>
      </c>
      <c r="F52" s="307">
        <v>12678.382352941175</v>
      </c>
      <c r="G52" s="109"/>
      <c r="H52" s="294">
        <f aca="true" t="shared" si="15" ref="H52:H64">+B52*H$7</f>
        <v>156712.08578843277</v>
      </c>
      <c r="I52" s="98">
        <f t="shared" si="11"/>
        <v>41450.748235363</v>
      </c>
      <c r="J52" s="99">
        <f t="shared" si="12"/>
        <v>26869.17700018269</v>
      </c>
      <c r="K52" s="98">
        <f t="shared" si="13"/>
        <v>3191.9754000000003</v>
      </c>
      <c r="L52" s="99">
        <f t="shared" si="14"/>
        <v>911.5756911764705</v>
      </c>
      <c r="M52" s="300">
        <f aca="true" t="shared" si="16" ref="M52:M64">SUM(H52:L52)</f>
        <v>229135.5621151549</v>
      </c>
    </row>
    <row r="53" spans="1:13" ht="15.75">
      <c r="A53" s="286" t="s">
        <v>58</v>
      </c>
      <c r="B53" s="307">
        <v>32818.01539213079</v>
      </c>
      <c r="C53" s="167">
        <v>4943.865632318502</v>
      </c>
      <c r="D53" s="307">
        <v>638.5332692307693</v>
      </c>
      <c r="E53" s="167">
        <v>2</v>
      </c>
      <c r="F53" s="307">
        <v>12675.441176470586</v>
      </c>
      <c r="G53" s="109"/>
      <c r="H53" s="294">
        <f t="shared" si="15"/>
        <v>109927.22435748129</v>
      </c>
      <c r="I53" s="98">
        <f t="shared" si="11"/>
        <v>34152.22378805621</v>
      </c>
      <c r="J53" s="99">
        <f t="shared" si="12"/>
        <v>26898.660939634618</v>
      </c>
      <c r="K53" s="98">
        <f t="shared" si="13"/>
        <v>3191.9754000000003</v>
      </c>
      <c r="L53" s="99">
        <f t="shared" si="14"/>
        <v>911.3642205882352</v>
      </c>
      <c r="M53" s="300">
        <f t="shared" si="16"/>
        <v>175081.44870576035</v>
      </c>
    </row>
    <row r="54" spans="1:13" ht="15.75">
      <c r="A54" s="286" t="s">
        <v>59</v>
      </c>
      <c r="B54" s="307">
        <v>47013.3599014686</v>
      </c>
      <c r="C54" s="167">
        <v>5988.667447306792</v>
      </c>
      <c r="D54" s="307">
        <v>638.8333173076923</v>
      </c>
      <c r="E54" s="167">
        <v>2</v>
      </c>
      <c r="F54" s="307">
        <v>12699.705882352939</v>
      </c>
      <c r="G54" s="109"/>
      <c r="H54" s="294">
        <f t="shared" si="15"/>
        <v>157475.95032595922</v>
      </c>
      <c r="I54" s="98">
        <f t="shared" si="11"/>
        <v>41369.71472599532</v>
      </c>
      <c r="J54" s="99">
        <f t="shared" si="12"/>
        <v>26911.300674908653</v>
      </c>
      <c r="K54" s="98">
        <f t="shared" si="13"/>
        <v>3191.9754000000003</v>
      </c>
      <c r="L54" s="99">
        <f t="shared" si="14"/>
        <v>913.1088529411763</v>
      </c>
      <c r="M54" s="300">
        <f t="shared" si="16"/>
        <v>229862.04997980435</v>
      </c>
    </row>
    <row r="55" spans="1:13" ht="15.75">
      <c r="A55" s="286" t="s">
        <v>60</v>
      </c>
      <c r="B55" s="307"/>
      <c r="C55" s="167"/>
      <c r="D55" s="307"/>
      <c r="E55" s="167"/>
      <c r="F55" s="307"/>
      <c r="G55" s="109"/>
      <c r="H55" s="294">
        <f t="shared" si="15"/>
        <v>0</v>
      </c>
      <c r="I55" s="98">
        <f t="shared" si="11"/>
        <v>0</v>
      </c>
      <c r="J55" s="99">
        <f t="shared" si="12"/>
        <v>0</v>
      </c>
      <c r="K55" s="98">
        <f t="shared" si="13"/>
        <v>0</v>
      </c>
      <c r="L55" s="99">
        <f t="shared" si="14"/>
        <v>0</v>
      </c>
      <c r="M55" s="300">
        <f t="shared" si="16"/>
        <v>0</v>
      </c>
    </row>
    <row r="56" spans="1:13" ht="15.75">
      <c r="A56" s="286" t="s">
        <v>61</v>
      </c>
      <c r="B56" s="307"/>
      <c r="C56" s="167"/>
      <c r="D56" s="307"/>
      <c r="E56" s="167"/>
      <c r="F56" s="307"/>
      <c r="G56" s="109"/>
      <c r="H56" s="294">
        <f t="shared" si="15"/>
        <v>0</v>
      </c>
      <c r="I56" s="98">
        <f t="shared" si="11"/>
        <v>0</v>
      </c>
      <c r="J56" s="99">
        <f t="shared" si="12"/>
        <v>0</v>
      </c>
      <c r="K56" s="98">
        <f t="shared" si="13"/>
        <v>0</v>
      </c>
      <c r="L56" s="99">
        <f t="shared" si="14"/>
        <v>0</v>
      </c>
      <c r="M56" s="300">
        <f t="shared" si="16"/>
        <v>0</v>
      </c>
    </row>
    <row r="57" spans="1:13" ht="15.75">
      <c r="A57" s="286" t="s">
        <v>62</v>
      </c>
      <c r="B57" s="307"/>
      <c r="C57" s="167"/>
      <c r="D57" s="307"/>
      <c r="E57" s="167"/>
      <c r="F57" s="307"/>
      <c r="G57" s="109"/>
      <c r="H57" s="294">
        <f t="shared" si="15"/>
        <v>0</v>
      </c>
      <c r="I57" s="98">
        <f t="shared" si="11"/>
        <v>0</v>
      </c>
      <c r="J57" s="99">
        <f t="shared" si="12"/>
        <v>0</v>
      </c>
      <c r="K57" s="98">
        <f t="shared" si="13"/>
        <v>0</v>
      </c>
      <c r="L57" s="99">
        <f t="shared" si="14"/>
        <v>0</v>
      </c>
      <c r="M57" s="300">
        <f t="shared" si="16"/>
        <v>0</v>
      </c>
    </row>
    <row r="58" spans="1:13" ht="15.75">
      <c r="A58" s="286" t="s">
        <v>63</v>
      </c>
      <c r="B58" s="307"/>
      <c r="C58" s="167"/>
      <c r="D58" s="307"/>
      <c r="E58" s="167"/>
      <c r="F58" s="307"/>
      <c r="G58" s="109"/>
      <c r="H58" s="294">
        <f t="shared" si="15"/>
        <v>0</v>
      </c>
      <c r="I58" s="98">
        <f t="shared" si="11"/>
        <v>0</v>
      </c>
      <c r="J58" s="99">
        <f t="shared" si="12"/>
        <v>0</v>
      </c>
      <c r="K58" s="98">
        <f t="shared" si="13"/>
        <v>0</v>
      </c>
      <c r="L58" s="99">
        <f t="shared" si="14"/>
        <v>0</v>
      </c>
      <c r="M58" s="300">
        <f t="shared" si="16"/>
        <v>0</v>
      </c>
    </row>
    <row r="59" spans="1:13" ht="15.75">
      <c r="A59" s="286" t="s">
        <v>64</v>
      </c>
      <c r="B59" s="307"/>
      <c r="C59" s="167"/>
      <c r="D59" s="307"/>
      <c r="E59" s="167"/>
      <c r="F59" s="307"/>
      <c r="G59" s="109"/>
      <c r="H59" s="294">
        <f t="shared" si="15"/>
        <v>0</v>
      </c>
      <c r="I59" s="98">
        <f t="shared" si="11"/>
        <v>0</v>
      </c>
      <c r="J59" s="99">
        <f t="shared" si="12"/>
        <v>0</v>
      </c>
      <c r="K59" s="98">
        <f t="shared" si="13"/>
        <v>0</v>
      </c>
      <c r="L59" s="99">
        <f t="shared" si="14"/>
        <v>0</v>
      </c>
      <c r="M59" s="300">
        <f t="shared" si="16"/>
        <v>0</v>
      </c>
    </row>
    <row r="60" spans="1:13" ht="15.75">
      <c r="A60" s="286" t="s">
        <v>65</v>
      </c>
      <c r="B60" s="307"/>
      <c r="C60" s="167"/>
      <c r="D60" s="307"/>
      <c r="E60" s="167"/>
      <c r="F60" s="307"/>
      <c r="G60" s="109"/>
      <c r="H60" s="294">
        <f t="shared" si="15"/>
        <v>0</v>
      </c>
      <c r="I60" s="98">
        <f t="shared" si="11"/>
        <v>0</v>
      </c>
      <c r="J60" s="99">
        <f t="shared" si="12"/>
        <v>0</v>
      </c>
      <c r="K60" s="98">
        <f t="shared" si="13"/>
        <v>0</v>
      </c>
      <c r="L60" s="99">
        <f t="shared" si="14"/>
        <v>0</v>
      </c>
      <c r="M60" s="300">
        <f t="shared" si="16"/>
        <v>0</v>
      </c>
    </row>
    <row r="61" spans="1:13" ht="15.75">
      <c r="A61" s="286" t="s">
        <v>66</v>
      </c>
      <c r="B61" s="307"/>
      <c r="C61" s="167"/>
      <c r="D61" s="307"/>
      <c r="E61" s="167"/>
      <c r="F61" s="307"/>
      <c r="G61" s="109"/>
      <c r="H61" s="294">
        <f t="shared" si="15"/>
        <v>0</v>
      </c>
      <c r="I61" s="98">
        <f t="shared" si="11"/>
        <v>0</v>
      </c>
      <c r="J61" s="99">
        <f t="shared" si="12"/>
        <v>0</v>
      </c>
      <c r="K61" s="98">
        <f t="shared" si="13"/>
        <v>0</v>
      </c>
      <c r="L61" s="99">
        <f t="shared" si="14"/>
        <v>0</v>
      </c>
      <c r="M61" s="300">
        <f t="shared" si="16"/>
        <v>0</v>
      </c>
    </row>
    <row r="62" spans="1:13" ht="15.75">
      <c r="A62" s="286" t="s">
        <v>67</v>
      </c>
      <c r="B62" s="307"/>
      <c r="C62" s="167"/>
      <c r="D62" s="307"/>
      <c r="E62" s="167"/>
      <c r="F62" s="307"/>
      <c r="G62" s="109"/>
      <c r="H62" s="294">
        <f t="shared" si="15"/>
        <v>0</v>
      </c>
      <c r="I62" s="98">
        <f t="shared" si="11"/>
        <v>0</v>
      </c>
      <c r="J62" s="99">
        <f t="shared" si="12"/>
        <v>0</v>
      </c>
      <c r="K62" s="98">
        <f t="shared" si="13"/>
        <v>0</v>
      </c>
      <c r="L62" s="99">
        <f t="shared" si="14"/>
        <v>0</v>
      </c>
      <c r="M62" s="300">
        <f t="shared" si="16"/>
        <v>0</v>
      </c>
    </row>
    <row r="63" spans="1:13" ht="15.75">
      <c r="A63" s="286" t="s">
        <v>68</v>
      </c>
      <c r="B63" s="307"/>
      <c r="C63" s="167"/>
      <c r="D63" s="307"/>
      <c r="E63" s="167"/>
      <c r="F63" s="307"/>
      <c r="G63" s="109"/>
      <c r="H63" s="294">
        <f t="shared" si="15"/>
        <v>0</v>
      </c>
      <c r="I63" s="98">
        <f t="shared" si="11"/>
        <v>0</v>
      </c>
      <c r="J63" s="99">
        <f t="shared" si="12"/>
        <v>0</v>
      </c>
      <c r="K63" s="98">
        <f t="shared" si="13"/>
        <v>0</v>
      </c>
      <c r="L63" s="99">
        <f t="shared" si="14"/>
        <v>0</v>
      </c>
      <c r="M63" s="300">
        <f t="shared" si="16"/>
        <v>0</v>
      </c>
    </row>
    <row r="64" spans="1:13" ht="15.75">
      <c r="A64" s="286" t="s">
        <v>74</v>
      </c>
      <c r="B64" s="308">
        <v>60370.46173669598</v>
      </c>
      <c r="C64" s="306">
        <v>7966.3021077283365</v>
      </c>
      <c r="D64" s="308">
        <v>618.0666346153846</v>
      </c>
      <c r="E64" s="306">
        <v>2</v>
      </c>
      <c r="F64" s="308">
        <v>12781.64705882353</v>
      </c>
      <c r="G64" s="109"/>
      <c r="H64" s="294">
        <f t="shared" si="15"/>
        <v>202216.89863323685</v>
      </c>
      <c r="I64" s="98">
        <f t="shared" si="11"/>
        <v>55031.214960187346</v>
      </c>
      <c r="J64" s="99">
        <f t="shared" si="12"/>
        <v>26036.489629817308</v>
      </c>
      <c r="K64" s="98">
        <f t="shared" si="13"/>
        <v>3191.9754000000003</v>
      </c>
      <c r="L64" s="99">
        <f t="shared" si="14"/>
        <v>919.0004235294118</v>
      </c>
      <c r="M64" s="300">
        <f t="shared" si="16"/>
        <v>287395.57904677093</v>
      </c>
    </row>
    <row r="65" spans="1:13" ht="16.5" thickBot="1">
      <c r="A65" s="102"/>
      <c r="B65" s="301">
        <f>SUM(B51:B64)</f>
        <v>120605.92465156934</v>
      </c>
      <c r="C65" s="284">
        <f>SUM(C51:C64)</f>
        <v>16638.078161592508</v>
      </c>
      <c r="D65" s="301">
        <f>SUM(D51:D64)</f>
        <v>1972.1570673076924</v>
      </c>
      <c r="E65" s="284">
        <f>SUM(E51:E64)</f>
        <v>6</v>
      </c>
      <c r="F65" s="301">
        <f>SUM(F51:F64)</f>
        <v>50835.17647058823</v>
      </c>
      <c r="G65" s="88"/>
      <c r="H65" s="295">
        <f aca="true" t="shared" si="17" ref="H65:M65">SUM(H51:H64)</f>
        <v>403981.6052128966</v>
      </c>
      <c r="I65" s="301">
        <f t="shared" si="17"/>
        <v>114935.84394028103</v>
      </c>
      <c r="J65" s="284">
        <f t="shared" si="17"/>
        <v>83078.49697028365</v>
      </c>
      <c r="K65" s="301">
        <f t="shared" si="17"/>
        <v>9575.926200000002</v>
      </c>
      <c r="L65" s="284">
        <f t="shared" si="17"/>
        <v>3655.049188235294</v>
      </c>
      <c r="M65" s="305">
        <f t="shared" si="17"/>
        <v>615226.9215116967</v>
      </c>
    </row>
  </sheetData>
  <sheetProtection/>
  <mergeCells count="26">
    <mergeCell ref="B26:F26"/>
    <mergeCell ref="H26:M26"/>
    <mergeCell ref="B27:B28"/>
    <mergeCell ref="C27:C28"/>
    <mergeCell ref="D27:D28"/>
    <mergeCell ref="E27:E28"/>
    <mergeCell ref="F27:F28"/>
    <mergeCell ref="M27:M28"/>
    <mergeCell ref="A1:M1"/>
    <mergeCell ref="A3:M3"/>
    <mergeCell ref="F6:F7"/>
    <mergeCell ref="E6:E7"/>
    <mergeCell ref="D6:D7"/>
    <mergeCell ref="C6:C7"/>
    <mergeCell ref="B6:B7"/>
    <mergeCell ref="M6:M7"/>
    <mergeCell ref="B5:F5"/>
    <mergeCell ref="H5:M5"/>
    <mergeCell ref="B47:F47"/>
    <mergeCell ref="H47:M47"/>
    <mergeCell ref="B48:B49"/>
    <mergeCell ref="C48:C49"/>
    <mergeCell ref="D48:D49"/>
    <mergeCell ref="E48:E49"/>
    <mergeCell ref="F48:F49"/>
    <mergeCell ref="M48:M49"/>
  </mergeCells>
  <printOptions/>
  <pageMargins left="0.25" right="0.25" top="0.46" bottom="0.39" header="0.36" footer="0.2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cp:lastPrinted>2011-10-24T11:20:13Z</cp:lastPrinted>
  <dcterms:created xsi:type="dcterms:W3CDTF">2003-07-16T15:16:03Z</dcterms:created>
  <dcterms:modified xsi:type="dcterms:W3CDTF">2012-01-31T15:49:57Z</dcterms:modified>
  <cp:category/>
  <cp:version/>
  <cp:contentType/>
  <cp:contentStatus/>
</cp:coreProperties>
</file>