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Decision, this cell should be 38.62%</t>
        </r>
      </text>
    </comment>
  </commentList>
</comments>
</file>

<file path=xl/sharedStrings.xml><?xml version="1.0" encoding="utf-8"?>
<sst xmlns="http://schemas.openxmlformats.org/spreadsheetml/2006/main" count="873" uniqueCount="503">
  <si>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</si>
  <si>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</si>
  <si>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</si>
  <si>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</si>
  <si>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</si>
  <si>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</si>
  <si>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</si>
  <si>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</si>
  <si>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</si>
  <si>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</si>
  <si>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</si>
  <si>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</si>
  <si>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</si>
  <si>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</si>
  <si>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</si>
  <si>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</si>
  <si>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</si>
  <si>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</si>
  <si>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</si>
  <si>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</si>
  <si>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</si>
  <si>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</si>
  <si>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</si>
  <si>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</si>
  <si>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</si>
  <si>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</si>
  <si>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</si>
  <si>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</si>
  <si>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</si>
  <si>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</si>
  <si>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</si>
  <si>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</si>
  <si>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</si>
  <si>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</si>
  <si>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</si>
  <si>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</si>
  <si>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</si>
  <si>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</si>
  <si>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</si>
  <si>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</si>
  <si>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</si>
  <si>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</si>
  <si>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</si>
  <si>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</si>
  <si>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</si>
  <si>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</si>
  <si>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</si>
  <si>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</si>
  <si>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</si>
  <si>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</si>
  <si>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</si>
  <si>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</si>
  <si>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</si>
  <si>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</si>
  <si>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</si>
  <si>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</si>
  <si>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</si>
  <si>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</si>
  <si>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</si>
  <si>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</si>
  <si>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</si>
  <si>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</si>
  <si>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</si>
  <si>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</si>
  <si>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</si>
  <si>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</si>
  <si>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</si>
  <si>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</si>
  <si>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</si>
  <si>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</si>
  <si>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</si>
  <si>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</si>
  <si>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</si>
  <si>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</si>
  <si>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</si>
  <si>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</si>
  <si>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</si>
  <si>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</si>
  <si>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</si>
  <si>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</si>
  <si>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</si>
  <si>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</si>
  <si>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</si>
  <si>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</si>
  <si>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</si>
  <si>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</si>
  <si>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</si>
  <si>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</si>
  <si>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</si>
  <si>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</si>
  <si>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</si>
  <si>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</si>
  <si>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</si>
  <si>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</si>
  <si>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</si>
  <si>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</si>
  <si>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</si>
  <si>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</si>
  <si>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</si>
  <si>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</si>
  <si>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</si>
  <si>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</si>
  <si>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</si>
  <si>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</si>
  <si>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</si>
  <si>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</si>
  <si>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</si>
  <si>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</si>
  <si>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</si>
  <si>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</si>
  <si>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</si>
  <si>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</si>
  <si>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</si>
  <si>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</si>
  <si>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</si>
  <si>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</si>
  <si>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</si>
  <si>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</si>
  <si>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</si>
  <si>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</si>
  <si>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</si>
  <si>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</si>
  <si>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</si>
  <si>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</si>
  <si>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</si>
  <si>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</si>
  <si>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</si>
  <si>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</si>
  <si>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</si>
  <si>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</si>
  <si>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</si>
  <si>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</si>
  <si>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</si>
  <si>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</si>
  <si>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</si>
  <si>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</si>
  <si>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</si>
  <si>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</si>
  <si>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</si>
  <si>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</si>
  <si>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</si>
  <si>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</si>
  <si>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</si>
  <si>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</si>
  <si>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</si>
  <si>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</si>
  <si>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</si>
  <si>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</si>
  <si>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</si>
  <si>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</si>
  <si>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</si>
  <si>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</si>
  <si>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</si>
  <si>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</si>
  <si>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</si>
  <si>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</si>
  <si>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</si>
  <si>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</si>
  <si>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</si>
  <si>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</si>
  <si>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</si>
  <si>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</si>
  <si>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</si>
  <si>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</si>
  <si>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</si>
  <si>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</si>
  <si>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</si>
  <si>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</si>
  <si>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</si>
  <si>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</si>
  <si>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</si>
  <si>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</si>
  <si>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</si>
  <si>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</si>
  <si>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</si>
  <si>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</si>
  <si>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</si>
  <si>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</si>
  <si>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</si>
  <si>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</si>
  <si>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</si>
  <si>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</si>
  <si>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</si>
  <si>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</si>
  <si>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</si>
  <si>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</si>
  <si>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</si>
  <si>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</si>
  <si>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</si>
  <si>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</si>
  <si>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</si>
  <si>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</si>
  <si>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</si>
  <si>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</si>
  <si>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</si>
  <si>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</si>
  <si>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</si>
  <si>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</si>
  <si>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</si>
  <si>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</si>
  <si>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</si>
  <si>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</si>
  <si>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</si>
  <si>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</si>
  <si>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</si>
  <si>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</si>
  <si>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</si>
  <si>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</si>
  <si>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</si>
  <si>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</si>
  <si>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</si>
  <si>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</si>
  <si>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</si>
  <si>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</si>
  <si>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</si>
  <si>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</si>
  <si>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</si>
  <si>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</si>
  <si>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</si>
  <si>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</si>
  <si>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</si>
  <si>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</si>
  <si>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</si>
  <si>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</si>
  <si>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</si>
  <si>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</si>
  <si>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</si>
  <si>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</si>
  <si>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</si>
  <si>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</si>
  <si>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</si>
  <si>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</si>
  <si>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</si>
  <si>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</si>
  <si>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</si>
  <si>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</si>
  <si>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</si>
  <si>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</si>
  <si>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</si>
  <si>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</si>
  <si>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</si>
  <si>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</si>
  <si>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</si>
  <si>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</si>
  <si>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</si>
  <si>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</si>
  <si>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</si>
  <si>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</si>
  <si>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</si>
  <si>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</si>
  <si>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</si>
  <si>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</si>
  <si>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</si>
  <si>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</si>
  <si>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</si>
  <si>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</si>
  <si>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</si>
  <si>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</si>
  <si>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</si>
  <si>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</si>
  <si>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</si>
  <si>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</si>
  <si>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</si>
  <si>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</si>
  <si>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</si>
  <si>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</si>
  <si>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</si>
  <si>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</si>
  <si>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</si>
  <si>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</si>
  <si>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</si>
  <si>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</si>
  <si>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</si>
  <si>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</si>
  <si>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</si>
  <si>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</si>
  <si>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</si>
  <si>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</si>
  <si>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</si>
  <si>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</si>
  <si>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</si>
  <si>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</si>
  <si>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</si>
  <si>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</si>
  <si>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</si>
  <si>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</si>
  <si>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</si>
  <si>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</si>
  <si>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</si>
  <si>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</si>
  <si>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</si>
  <si>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</si>
  <si>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</si>
  <si>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</si>
  <si>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</si>
  <si>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</si>
  <si>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</si>
  <si>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</si>
  <si>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</si>
  <si>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</si>
  <si>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</si>
  <si>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</si>
  <si>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</si>
  <si>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</si>
  <si>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</si>
  <si>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</si>
  <si>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</si>
  <si>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</si>
  <si>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</si>
  <si>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</si>
  <si>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</si>
  <si>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</si>
  <si>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</si>
  <si>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</si>
  <si>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</si>
  <si>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</si>
  <si>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</si>
  <si>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</si>
  <si>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</si>
  <si>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</si>
  <si>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</si>
  <si>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</si>
  <si>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</si>
  <si>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</si>
  <si>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</si>
  <si>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</si>
  <si>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</si>
  <si>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</si>
  <si>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</si>
  <si>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</si>
  <si>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</si>
  <si>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</si>
  <si>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</si>
  <si>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</si>
  <si>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</si>
  <si>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</si>
  <si>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</si>
  <si>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</si>
  <si>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</si>
  <si>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</si>
  <si>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</si>
  <si>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</si>
  <si>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</si>
  <si>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</si>
  <si>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</si>
  <si>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</si>
  <si>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</si>
  <si>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</si>
  <si>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</si>
  <si>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</si>
  <si>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</si>
  <si>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</si>
  <si>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</si>
  <si>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</si>
  <si>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</si>
  <si>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</si>
  <si>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</si>
  <si>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</si>
  <si>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</si>
  <si>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</si>
  <si>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</si>
  <si>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</si>
  <si>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</si>
  <si>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</si>
  <si>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</si>
  <si>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</si>
  <si>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</si>
  <si>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</si>
  <si>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</si>
  <si>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</si>
  <si>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</si>
  <si>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</si>
  <si>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</si>
  <si>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</si>
  <si>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</si>
  <si>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</si>
  <si>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</si>
  <si>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</si>
  <si>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</si>
  <si>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</si>
  <si>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</si>
  <si>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</si>
  <si>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</si>
  <si>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</si>
  <si>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</si>
  <si>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</si>
  <si>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</si>
  <si>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</si>
  <si>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</si>
  <si>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</si>
  <si>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</si>
  <si>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</si>
  <si>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</si>
  <si>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</si>
  <si>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</si>
  <si>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</si>
  <si>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</si>
  <si>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</si>
  <si>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</si>
  <si>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</si>
  <si>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</si>
  <si>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</si>
  <si>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</si>
  <si>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</si>
  <si>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</si>
  <si>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</si>
  <si>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</si>
  <si>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</si>
  <si>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</si>
  <si>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</si>
  <si>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</si>
  <si>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</si>
  <si>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</si>
  <si>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</si>
  <si>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</si>
  <si>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</si>
  <si>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</si>
  <si>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</si>
  <si>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</si>
  <si>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</si>
  <si>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</si>
  <si>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</si>
  <si>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</si>
  <si>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</si>
  <si>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</si>
  <si>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</si>
  <si>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</si>
  <si>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</si>
  <si>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</si>
  <si>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</si>
  <si>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</si>
  <si>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</si>
  <si>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</si>
  <si>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</si>
  <si>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</si>
  <si>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</si>
  <si>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</si>
  <si>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</si>
  <si>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</si>
  <si>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</si>
  <si>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</si>
  <si>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</si>
  <si>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</si>
  <si>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</si>
  <si>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</si>
  <si>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</si>
  <si>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</si>
  <si>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</si>
  <si>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</si>
  <si>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</si>
  <si>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</si>
  <si>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</si>
  <si>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</si>
  <si>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</si>
  <si>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</si>
  <si>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</si>
  <si>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</si>
  <si>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</si>
  <si>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</si>
  <si>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</si>
  <si>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</si>
  <si>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</si>
  <si>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</si>
  <si>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</si>
  <si>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</si>
  <si>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</si>
  <si>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</si>
  <si>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</si>
  <si>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</si>
  <si>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</si>
  <si>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</si>
  <si>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</si>
  <si>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</si>
  <si>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</si>
  <si>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</si>
  <si>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</si>
  <si>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</si>
  <si>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</si>
  <si>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</si>
  <si>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</si>
  <si>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</si>
  <si>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</si>
  <si>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</si>
  <si>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</si>
  <si>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</si>
  <si>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</si>
  <si>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</si>
  <si>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</si>
  <si>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</si>
  <si>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</si>
  <si>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</si>
  <si>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</si>
  <si>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</si>
  <si>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</si>
  <si>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Utility Name: Waterloo North Hydro Inc.</t>
  </si>
  <si>
    <t xml:space="preserve">    Community Relations</t>
  </si>
  <si>
    <t xml:space="preserve">    Reserve for Impairment of Regulatory Assets</t>
  </si>
  <si>
    <t>Post Employment Benefits</t>
  </si>
  <si>
    <t>Vested Sick Leave</t>
  </si>
  <si>
    <t>Less: Federal LCT reported in the initial estimate column  (Cell C84)</t>
  </si>
  <si>
    <t xml:space="preserve">Depreciation &amp; Amortization </t>
  </si>
  <si>
    <t xml:space="preserve">      Miscellaneous income - Interest</t>
  </si>
  <si>
    <t>Interest on Customer Deposits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</si>
</sst>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4" applyNumberFormat="0" applyFill="0" applyAlignment="0" applyProtection="0"/>
    <xf numFmtId="0" fontId="42" fillId="22" borderId="0" applyNumberFormat="0" applyBorder="0" applyAlignment="0" applyProtection="0"/>
    <xf numFmtId="0" fontId="0" fillId="23" borderId="5" applyNumberFormat="0" applyFont="0" applyAlignment="0" applyProtection="0"/>
    <xf numFmtId="0" fontId="43" fillId="20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52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9" borderId="14" xfId="0" applyNumberFormat="1" applyFont="1" applyFill="1" applyBorder="1" applyAlignment="1">
      <alignment vertical="top"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0" fontId="3" fillId="32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32" borderId="60" xfId="0" applyFont="1" applyFill="1" applyBorder="1" applyAlignment="1" applyProtection="1">
      <alignment vertical="top"/>
      <protection locked="0"/>
    </xf>
    <xf numFmtId="0" fontId="3" fillId="32" borderId="50" xfId="0" applyFont="1" applyFill="1" applyBorder="1" applyAlignment="1">
      <alignment vertical="top"/>
    </xf>
    <xf numFmtId="0" fontId="0" fillId="32" borderId="61" xfId="0" applyFill="1" applyBorder="1" applyAlignment="1" applyProtection="1">
      <alignment horizontal="center" vertical="top"/>
      <protection locked="0"/>
    </xf>
    <xf numFmtId="0" fontId="0" fillId="32" borderId="22" xfId="0" applyFill="1" applyBorder="1" applyAlignment="1" applyProtection="1">
      <alignment horizontal="center" vertical="top"/>
      <protection locked="0"/>
    </xf>
    <xf numFmtId="0" fontId="0" fillId="32" borderId="61" xfId="0" applyFill="1" applyBorder="1" applyAlignment="1">
      <alignment vertical="top"/>
    </xf>
    <xf numFmtId="0" fontId="0" fillId="32" borderId="22" xfId="0" applyFill="1" applyBorder="1" applyAlignment="1">
      <alignment vertical="top"/>
    </xf>
    <xf numFmtId="3" fontId="31" fillId="29" borderId="0" xfId="0" applyNumberFormat="1" applyFont="1" applyFill="1" applyAlignment="1">
      <alignment/>
    </xf>
    <xf numFmtId="3" fontId="0" fillId="0" borderId="14" xfId="0" applyNumberFormat="1" applyFill="1" applyBorder="1" applyAlignment="1" applyProtection="1">
      <alignment horizontal="right"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NumberFormat="1" applyFont="1" applyAlignment="1" applyProtection="1">
      <alignment vertical="top"/>
      <protection locked="0"/>
    </xf>
    <xf numFmtId="0" fontId="0" fillId="0" borderId="14" xfId="0" applyFont="1" applyBorder="1" applyAlignment="1">
      <alignment vertical="top"/>
    </xf>
    <xf numFmtId="0" fontId="3" fillId="6" borderId="60" xfId="0" applyFont="1" applyFill="1" applyBorder="1" applyAlignment="1">
      <alignment vertical="top"/>
    </xf>
    <xf numFmtId="0" fontId="3" fillId="6" borderId="60" xfId="0" applyFont="1" applyFill="1" applyBorder="1" applyAlignment="1" applyProtection="1">
      <alignment vertical="top"/>
      <protection locked="0"/>
    </xf>
    <xf numFmtId="0" fontId="3" fillId="6" borderId="50" xfId="0" applyFont="1" applyFill="1" applyBorder="1" applyAlignment="1">
      <alignment vertical="top"/>
    </xf>
    <xf numFmtId="0" fontId="0" fillId="6" borderId="61" xfId="0" applyFill="1" applyBorder="1" applyAlignment="1" applyProtection="1">
      <alignment horizontal="center" vertical="top"/>
      <protection locked="0"/>
    </xf>
    <xf numFmtId="0" fontId="0" fillId="6" borderId="22" xfId="0" applyFill="1" applyBorder="1" applyAlignment="1" applyProtection="1">
      <alignment horizontal="center" vertical="top"/>
      <protection locked="0"/>
    </xf>
    <xf numFmtId="0" fontId="0" fillId="6" borderId="61" xfId="0" applyFill="1" applyBorder="1" applyAlignment="1">
      <alignment vertical="top"/>
    </xf>
    <xf numFmtId="0" fontId="0" fillId="6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9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1">
      <selection activeCell="E48" sqref="E4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462</v>
      </c>
      <c r="C1" s="8"/>
      <c r="E1" s="2" t="s">
        <v>463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84" t="s">
        <v>494</v>
      </c>
      <c r="C3" s="8"/>
      <c r="D3" s="455" t="s">
        <v>448</v>
      </c>
      <c r="E3" s="8"/>
      <c r="F3" s="8"/>
      <c r="G3" s="8"/>
      <c r="H3" s="8"/>
    </row>
    <row r="4" spans="1:8" ht="13.5" thickBot="1">
      <c r="A4" s="497" t="s">
        <v>477</v>
      </c>
      <c r="C4" s="8"/>
      <c r="D4" s="454" t="s">
        <v>443</v>
      </c>
      <c r="E4" s="428"/>
      <c r="H4" s="8"/>
    </row>
    <row r="5" spans="1:8" ht="12.75">
      <c r="A5" s="52"/>
      <c r="C5" s="8"/>
      <c r="D5" s="453" t="s">
        <v>444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89" t="s">
        <v>314</v>
      </c>
      <c r="C18" s="8"/>
      <c r="D18" s="8"/>
    </row>
    <row r="19" spans="1:4" ht="15" customHeight="1">
      <c r="A19" s="509" t="s">
        <v>315</v>
      </c>
      <c r="B19" s="8" t="s">
        <v>312</v>
      </c>
      <c r="C19" s="8" t="s">
        <v>64</v>
      </c>
      <c r="D19" s="388"/>
    </row>
    <row r="20" spans="1:4" ht="13.5" thickBot="1">
      <c r="A20" s="510"/>
      <c r="B20" s="8" t="s">
        <v>313</v>
      </c>
      <c r="C20" s="8" t="s">
        <v>64</v>
      </c>
      <c r="D20" s="258"/>
    </row>
    <row r="21" spans="1:4" ht="12.75">
      <c r="A21" s="509" t="s">
        <v>311</v>
      </c>
      <c r="B21" s="8" t="s">
        <v>312</v>
      </c>
      <c r="C21" s="8"/>
      <c r="D21" s="423">
        <v>1</v>
      </c>
    </row>
    <row r="22" spans="1:4" ht="12.75">
      <c r="A22" s="509"/>
      <c r="B22" s="8" t="s">
        <v>313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478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296</v>
      </c>
    </row>
    <row r="27" spans="1:5" ht="12.75">
      <c r="A27" s="256" t="s">
        <v>68</v>
      </c>
      <c r="C27" s="8"/>
      <c r="E27" s="444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1">
        <v>80367575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6883482.79875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3269200</v>
      </c>
      <c r="E43" s="387">
        <f>D43</f>
        <v>3269200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3614282.79875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6">
        <v>1204760.9329166666</v>
      </c>
      <c r="E47" s="387">
        <f aca="true" t="shared" si="0" ref="E47:E53">D47</f>
        <v>1204760.9329166666</v>
      </c>
      <c r="H47" s="40"/>
      <c r="J47" s="5"/>
      <c r="K47" s="5"/>
    </row>
    <row r="48" spans="1:11" ht="12.75">
      <c r="A48" t="s">
        <v>289</v>
      </c>
      <c r="D48" s="426">
        <v>1204760.9329166666</v>
      </c>
      <c r="E48" s="387">
        <f>D48</f>
        <v>1204760.9329166666</v>
      </c>
      <c r="F48" s="22"/>
      <c r="H48" s="40"/>
      <c r="J48" s="5"/>
      <c r="K48" s="5"/>
    </row>
    <row r="49" spans="1:11" ht="12.75">
      <c r="A49" t="s">
        <v>290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440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464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5678721.865833333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40183787.5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3970158.205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40183787.5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2913324.59375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1893532.794141613</v>
      </c>
      <c r="F64" s="5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2403428.6939458065</v>
      </c>
      <c r="F66" s="5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2403428.6939458065</v>
      </c>
      <c r="F68" s="5"/>
      <c r="H68" s="32"/>
      <c r="J68" s="5"/>
    </row>
    <row r="69" spans="1:10" ht="12.75">
      <c r="A69" s="33" t="s">
        <v>381</v>
      </c>
      <c r="B69" s="5"/>
      <c r="C69" s="5"/>
      <c r="D69" s="5"/>
      <c r="F69" s="5"/>
      <c r="H69" s="32"/>
      <c r="J69" s="5"/>
    </row>
    <row r="70" spans="1:10" ht="12.75">
      <c r="A70" s="45" t="s">
        <v>449</v>
      </c>
      <c r="B70" s="5"/>
      <c r="C70" s="5"/>
      <c r="D70" s="253">
        <f>D62</f>
        <v>2913324.59375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3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24">
      <selection activeCell="E201" sqref="E20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3.5" thickBot="1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3.5" thickBot="1">
      <c r="A6" s="486" t="str">
        <f>REGINFO!A3</f>
        <v>Utility Name: Waterloo North Hydro Inc.</v>
      </c>
      <c r="B6" s="485"/>
      <c r="D6" s="137"/>
      <c r="E6" s="115"/>
      <c r="G6" s="115"/>
      <c r="H6" s="465"/>
    </row>
    <row r="7" spans="1:8" ht="13.5" thickBot="1">
      <c r="A7" s="498" t="str">
        <f>REGINFO!A4</f>
        <v>Reporting period:  2002</v>
      </c>
      <c r="B7" s="48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342</v>
      </c>
      <c r="B16" s="125">
        <v>1</v>
      </c>
      <c r="C16" s="259">
        <f>REGINFO!E54</f>
        <v>5678721.865833333</v>
      </c>
      <c r="D16" s="17"/>
      <c r="E16" s="267">
        <f>G16-C16</f>
        <v>2512897.1341666672</v>
      </c>
      <c r="F16" s="3"/>
      <c r="G16" s="267">
        <f>TAXREC!E50</f>
        <v>8191619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4355246</v>
      </c>
      <c r="D20" s="18"/>
      <c r="E20" s="267">
        <f>G20-C20</f>
        <v>798237</v>
      </c>
      <c r="F20" s="6"/>
      <c r="G20" s="267">
        <f>TAXREC!E61</f>
        <v>5153483</v>
      </c>
      <c r="H20" s="151"/>
    </row>
    <row r="21" spans="1:8" ht="12.75">
      <c r="A21" s="158" t="s">
        <v>56</v>
      </c>
      <c r="B21" s="127">
        <v>3</v>
      </c>
      <c r="C21" s="261">
        <v>1202368</v>
      </c>
      <c r="D21" s="18"/>
      <c r="E21" s="267">
        <f>G21-C21</f>
        <v>-1202368</v>
      </c>
      <c r="F21" s="6"/>
      <c r="G21" s="267">
        <f>TAXREC!E62</f>
        <v>0</v>
      </c>
      <c r="H21" s="151"/>
    </row>
    <row r="22" spans="1:8" ht="12.75">
      <c r="A22" s="158" t="s">
        <v>263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262</v>
      </c>
      <c r="B23" s="127">
        <v>4</v>
      </c>
      <c r="C23" s="261"/>
      <c r="D23" s="18"/>
      <c r="E23" s="267">
        <f>G23-C23</f>
        <v>2810433</v>
      </c>
      <c r="F23" s="6"/>
      <c r="G23" s="267">
        <f>TAXREC!E64</f>
        <v>2810433</v>
      </c>
      <c r="H23" s="151"/>
    </row>
    <row r="24" spans="1:8" ht="12.75">
      <c r="A24" s="158" t="s">
        <v>264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0" t="s">
        <v>396</v>
      </c>
      <c r="B30" s="127"/>
      <c r="C30" s="259"/>
      <c r="D30" s="18"/>
      <c r="E30" s="267">
        <f>G30-C30</f>
        <v>736041</v>
      </c>
      <c r="F30" s="6"/>
      <c r="G30" s="267">
        <f>TAXREC!E66</f>
        <v>736041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343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2927193</v>
      </c>
      <c r="D33" s="132"/>
      <c r="E33" s="267">
        <f aca="true" t="shared" si="0" ref="E33:E42">G33-C33</f>
        <v>3132847</v>
      </c>
      <c r="F33" s="6"/>
      <c r="G33" s="267">
        <f>TAXREC!E97+TAXREC!E98</f>
        <v>6060040</v>
      </c>
      <c r="H33" s="151"/>
    </row>
    <row r="34" spans="1:8" ht="12.75">
      <c r="A34" s="158" t="s">
        <v>57</v>
      </c>
      <c r="B34" s="127">
        <v>8</v>
      </c>
      <c r="C34" s="261">
        <v>1087368</v>
      </c>
      <c r="D34" s="132"/>
      <c r="E34" s="267">
        <f t="shared" si="0"/>
        <v>-1087368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265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2403428.6939458065</v>
      </c>
      <c r="D37" s="132"/>
      <c r="E37" s="267">
        <f t="shared" si="0"/>
        <v>-976802.6939458065</v>
      </c>
      <c r="F37" s="6"/>
      <c r="G37" s="267">
        <f>TAXREC!E51</f>
        <v>1426626</v>
      </c>
      <c r="H37" s="151"/>
    </row>
    <row r="38" spans="1:8" ht="12.75">
      <c r="A38" s="155" t="s">
        <v>261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260</v>
      </c>
      <c r="B39" s="125">
        <v>4</v>
      </c>
      <c r="C39" s="261"/>
      <c r="D39" s="132"/>
      <c r="E39" s="267">
        <f t="shared" si="0"/>
        <v>2761379</v>
      </c>
      <c r="F39" s="6"/>
      <c r="G39" s="267">
        <f>TAXREC!E105</f>
        <v>2761379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0" t="s">
        <v>396</v>
      </c>
      <c r="B48" s="127"/>
      <c r="C48" s="259"/>
      <c r="D48" s="132"/>
      <c r="E48" s="267">
        <f>G48-C48</f>
        <v>1854557</v>
      </c>
      <c r="F48" s="6"/>
      <c r="G48" s="251">
        <f>TAXREC!E108</f>
        <v>1854557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329</v>
      </c>
      <c r="B50" s="125"/>
      <c r="C50" s="263">
        <f>C16+SUM(C20:C30)-SUM(C33:C48)</f>
        <v>4818346.171887526</v>
      </c>
      <c r="D50" s="102"/>
      <c r="E50" s="263">
        <f>E16+SUM(E20:E30)-SUM(E33:E48)</f>
        <v>-29372.17188752629</v>
      </c>
      <c r="F50" s="431"/>
      <c r="G50" s="263">
        <f>G16+SUM(G20:G30)-SUM(G33:G48)</f>
        <v>4788974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337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341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73">
        <f>TAXREC!E151</f>
        <v>0.3862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1860845.2915829625</v>
      </c>
      <c r="D55" s="102"/>
      <c r="E55" s="267">
        <f>G55-C55</f>
        <v>-1024763.2915829625</v>
      </c>
      <c r="F55" s="431" t="s">
        <v>369</v>
      </c>
      <c r="G55" s="264">
        <f>TAXREC!E144</f>
        <v>836082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369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1860845.2915829625</v>
      </c>
      <c r="D60" s="133"/>
      <c r="E60" s="269">
        <f>+E55-E58</f>
        <v>-1024763.2915829625</v>
      </c>
      <c r="F60" s="431" t="s">
        <v>369</v>
      </c>
      <c r="G60" s="269">
        <f>+G55-G58</f>
        <v>836082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80367575</v>
      </c>
      <c r="D66" s="102"/>
      <c r="E66" s="267">
        <f>G66-C66</f>
        <v>26961706</v>
      </c>
      <c r="F66" s="6"/>
      <c r="G66" s="267">
        <v>107329281</v>
      </c>
      <c r="H66" s="151"/>
      <c r="I66" s="476" t="s">
        <v>476</v>
      </c>
    </row>
    <row r="67" spans="1:10" ht="12.75">
      <c r="A67" s="152" t="s">
        <v>362</v>
      </c>
      <c r="B67" s="125">
        <v>16</v>
      </c>
      <c r="C67" s="260">
        <f>IF(C66&gt;0,'Tax Rates'!C21,0)</f>
        <v>5000000</v>
      </c>
      <c r="D67" s="102"/>
      <c r="E67" s="267">
        <f>G67-C67</f>
        <v>-12090.589999999851</v>
      </c>
      <c r="F67" s="6"/>
      <c r="G67" s="267">
        <f>+'Tax Rates'!C57</f>
        <v>4987909.41</v>
      </c>
      <c r="H67" s="151"/>
      <c r="I67" s="476" t="s">
        <v>476</v>
      </c>
      <c r="J67" s="504"/>
    </row>
    <row r="68" spans="1:8" ht="12.75">
      <c r="A68" s="152" t="s">
        <v>42</v>
      </c>
      <c r="B68" s="125"/>
      <c r="C68" s="264">
        <f>IF((C66-C67)&gt;0,C66-C67,0)</f>
        <v>75367575</v>
      </c>
      <c r="D68" s="102"/>
      <c r="E68" s="267">
        <f>SUM(E66:E67)</f>
        <v>26949615.41</v>
      </c>
      <c r="F68" s="114"/>
      <c r="G68" s="264">
        <f>G66-G67</f>
        <v>102341371.59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363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4">
        <f>IF(C68&gt;0,C68*C70,0)*REGINFO!$B$6/REGINFO!$B$7</f>
        <v>226102.725</v>
      </c>
      <c r="D72" s="101"/>
      <c r="E72" s="267">
        <f>+G72-C72</f>
        <v>80921.38977000004</v>
      </c>
      <c r="F72" s="477"/>
      <c r="G72" s="264">
        <f>IF(G68&gt;0,G68*G70,0)*REGINFO!$B$6/REGINFO!$B$7</f>
        <v>307024.11477000004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80367575</v>
      </c>
      <c r="D75" s="102"/>
      <c r="E75" s="267">
        <f>+G75-C75</f>
        <v>17425153</v>
      </c>
      <c r="F75" s="6"/>
      <c r="G75" s="475">
        <v>97792728</v>
      </c>
      <c r="H75" s="151"/>
      <c r="I75" s="476" t="s">
        <v>476</v>
      </c>
    </row>
    <row r="76" spans="1:9" ht="12.75">
      <c r="A76" s="152" t="s">
        <v>362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5">
        <f>'Tax Rates'!C58</f>
        <v>10000000</v>
      </c>
      <c r="H76" s="151"/>
      <c r="I76" s="476" t="s">
        <v>476</v>
      </c>
    </row>
    <row r="77" spans="1:8" ht="12.75">
      <c r="A77" s="152" t="s">
        <v>42</v>
      </c>
      <c r="B77" s="125"/>
      <c r="C77" s="264">
        <f>IF((C75-C76)&gt;0,C75-C76,0)</f>
        <v>70367575</v>
      </c>
      <c r="D77" s="19"/>
      <c r="E77" s="267">
        <f>SUM(E75:E76)</f>
        <v>17425153</v>
      </c>
      <c r="F77" s="114"/>
      <c r="G77" s="264">
        <f>G75-G76</f>
        <v>87792728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4">
        <f>IF(C77&gt;0,C77*C79,0)*REGINFO!$B$6/REGINFO!$B$7</f>
        <v>158327.04374999998</v>
      </c>
      <c r="D81" s="102"/>
      <c r="E81" s="267">
        <f>+G81-C81</f>
        <v>39206.594249999995</v>
      </c>
      <c r="F81" s="6"/>
      <c r="G81" s="264">
        <f>G77*G79*B9/B10</f>
        <v>197533.63799999998</v>
      </c>
      <c r="H81" s="151"/>
    </row>
    <row r="82" spans="1:9" ht="12.75">
      <c r="A82" s="152" t="s">
        <v>318</v>
      </c>
      <c r="B82" s="125">
        <v>21</v>
      </c>
      <c r="C82" s="300">
        <f>IF(C77&gt;0,IF(C60&gt;0,C50*'Tax Rates'!C20,0),0)</f>
        <v>53965.47712514029</v>
      </c>
      <c r="D82" s="102"/>
      <c r="E82" s="267">
        <f>+G82-C82</f>
        <v>-29718.477125140293</v>
      </c>
      <c r="F82" s="6"/>
      <c r="G82" s="264">
        <v>24247</v>
      </c>
      <c r="H82" s="151"/>
      <c r="I82" s="34"/>
    </row>
    <row r="83" spans="1:9" ht="12.75">
      <c r="A83" s="152"/>
      <c r="B83" s="125"/>
      <c r="C83" s="110"/>
      <c r="D83" s="18"/>
      <c r="E83" s="139"/>
      <c r="F83" s="6"/>
      <c r="G83" s="139"/>
      <c r="H83" s="151"/>
      <c r="I83" s="507"/>
    </row>
    <row r="84" spans="1:12" ht="12.75">
      <c r="A84" s="152" t="s">
        <v>32</v>
      </c>
      <c r="B84" s="125"/>
      <c r="C84" s="264">
        <f>C81-C82</f>
        <v>104361.5666248597</v>
      </c>
      <c r="D84" s="16"/>
      <c r="E84" s="267">
        <f>E81-E82</f>
        <v>68925.07137514028</v>
      </c>
      <c r="F84" s="103"/>
      <c r="G84" s="264">
        <f>G81-G82</f>
        <v>173286.63799999998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370</v>
      </c>
      <c r="B90" s="127">
        <v>22</v>
      </c>
      <c r="C90" s="264">
        <f>C60/(1-C88)</f>
        <v>2977352.46653274</v>
      </c>
      <c r="D90" s="20"/>
      <c r="E90" s="139"/>
      <c r="F90" s="430" t="s">
        <v>487</v>
      </c>
      <c r="G90" s="270">
        <f>TAXREC!E156</f>
        <v>836082</v>
      </c>
      <c r="H90" s="151"/>
    </row>
    <row r="91" spans="1:8" ht="12.75">
      <c r="A91" s="158" t="s">
        <v>371</v>
      </c>
      <c r="B91" s="127">
        <v>23</v>
      </c>
      <c r="C91" s="264">
        <f>C84/(1-C88)</f>
        <v>166978.50659977552</v>
      </c>
      <c r="D91" s="20"/>
      <c r="E91" s="139"/>
      <c r="F91" s="430" t="s">
        <v>487</v>
      </c>
      <c r="G91" s="270">
        <f>TAXREC!E158</f>
        <v>173286.83639999997</v>
      </c>
      <c r="H91" s="151"/>
    </row>
    <row r="92" spans="1:8" ht="12.75">
      <c r="A92" s="158" t="s">
        <v>350</v>
      </c>
      <c r="B92" s="127">
        <v>24</v>
      </c>
      <c r="C92" s="264">
        <f>C72</f>
        <v>226102.725</v>
      </c>
      <c r="D92" s="20"/>
      <c r="E92" s="139"/>
      <c r="F92" s="430" t="s">
        <v>487</v>
      </c>
      <c r="G92" s="270">
        <f>TAXREC!E157</f>
        <v>307024.11477000004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488</v>
      </c>
      <c r="B95" s="125">
        <v>25</v>
      </c>
      <c r="C95" s="269">
        <f>SUM(C90:C93)</f>
        <v>3370433.6981325154</v>
      </c>
      <c r="D95" s="6"/>
      <c r="E95" s="139"/>
      <c r="F95" s="430" t="s">
        <v>487</v>
      </c>
      <c r="G95" s="413">
        <f>SUM(G90:G94)</f>
        <v>1316392.95117</v>
      </c>
      <c r="H95" s="164"/>
    </row>
    <row r="96" spans="1:8" ht="12.75">
      <c r="A96" s="403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-1202368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2810433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-1087368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321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2761379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-65946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490</v>
      </c>
      <c r="B122" s="127"/>
      <c r="C122" s="112"/>
      <c r="D122" s="3" t="s">
        <v>230</v>
      </c>
      <c r="E122" s="469">
        <f>+'Tax Rates'!F52</f>
        <v>0.3862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4">
        <f>E120*E122</f>
        <v>-25468.3452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-25468.3452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354</v>
      </c>
      <c r="B132" s="130"/>
      <c r="C132" s="112"/>
      <c r="D132" s="3"/>
      <c r="E132" s="263">
        <f>E128/(1-E130)</f>
        <v>-40749.35232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357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234</v>
      </c>
      <c r="B136" s="130"/>
      <c r="C136" s="112"/>
      <c r="D136" s="118" t="s">
        <v>189</v>
      </c>
      <c r="E136" s="302">
        <f>C50</f>
        <v>4818346.171887526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9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3">
        <f>IF(E136&gt;0,E136*E138,0)</f>
        <v>1860845.2915829625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2">
        <f>E140-E142</f>
        <v>1860845.2915829625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238</v>
      </c>
      <c r="B146" s="130"/>
      <c r="C146" s="112"/>
      <c r="D146" s="118" t="s">
        <v>188</v>
      </c>
      <c r="E146" s="302">
        <f>C60</f>
        <v>1860845.2915829625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9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80367575</v>
      </c>
      <c r="F151" s="37"/>
      <c r="G151" s="201"/>
      <c r="H151" s="164"/>
    </row>
    <row r="152" spans="1:8" ht="12.75">
      <c r="A152" s="171" t="s">
        <v>360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2">
        <f>E151-E152</f>
        <v>75367575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361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2">
        <f>IF(E153&gt;0,E153*E155*B9/B10,0)</f>
        <v>226102.725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5">
        <f>C72</f>
        <v>226102.725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80367575</v>
      </c>
      <c r="F162" s="37"/>
      <c r="G162" s="201"/>
      <c r="H162" s="164"/>
    </row>
    <row r="163" spans="1:8" ht="12.75">
      <c r="A163" s="171" t="s">
        <v>359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70367575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158327.04374999998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7">
        <f>IF(E164&gt;0,IF(E144&gt;0,E136*'Tax Rates'!C56,0),0)</f>
        <v>53965.47712514029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104361.5666248597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499</v>
      </c>
      <c r="B172" s="130"/>
      <c r="C172" s="112"/>
      <c r="D172" s="118" t="s">
        <v>188</v>
      </c>
      <c r="E172" s="305">
        <f>C84</f>
        <v>104361.5666248597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355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302">
        <f>E132</f>
        <v>-40749.35232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356</v>
      </c>
      <c r="B185" s="130"/>
      <c r="C185" s="112"/>
      <c r="D185" s="119" t="s">
        <v>189</v>
      </c>
      <c r="E185" s="302">
        <f>E181+E183</f>
        <v>-40749.35232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2913324.59375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8">
        <f>REGINFO!D66</f>
        <v>2403428.6939458065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344</v>
      </c>
      <c r="B196" s="127"/>
      <c r="C196" s="112"/>
      <c r="D196" s="120"/>
      <c r="E196" s="308">
        <f>E193-E194</f>
        <v>509895.8998041935</v>
      </c>
      <c r="F196" s="3"/>
      <c r="G196" s="123"/>
      <c r="H196" s="164"/>
    </row>
    <row r="197" spans="1:8" ht="12.75">
      <c r="A197" s="155" t="s">
        <v>345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2"/>
      <c r="H200" s="164"/>
    </row>
    <row r="201" spans="1:8" ht="12.75">
      <c r="A201" s="155" t="s">
        <v>251</v>
      </c>
      <c r="B201" s="127"/>
      <c r="C201" s="112"/>
      <c r="D201" s="120"/>
      <c r="E201" s="308">
        <f>G37+G42</f>
        <v>1426626</v>
      </c>
      <c r="F201" s="3"/>
      <c r="G201" s="482"/>
      <c r="H201" s="164"/>
    </row>
    <row r="202" spans="1:8" ht="12.75">
      <c r="A202" s="155" t="s">
        <v>346</v>
      </c>
      <c r="B202" s="127"/>
      <c r="C202" s="112"/>
      <c r="D202" s="120"/>
      <c r="E202" s="308">
        <f>REGINFO!D62</f>
        <v>2913324.59375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320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509895.8998041935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fitToHeight="0" fitToWidth="1" horizontalDpi="600" verticalDpi="600" orientation="portrait" scale="46" r:id="rId3"/>
  <headerFooter alignWithMargins="0">
    <oddHeader>&amp;R&amp;9Waterloo North Hydro Inc.
EB-2011-0201 - 2012 IRM Filing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91">
      <selection activeCell="C51" sqref="C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84" t="str">
        <f>REGINFO!A3</f>
        <v>Utility Name: Waterloo North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497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505">
        <f>+Ratebase*REGINFO!D33*0.0025</f>
        <v>100459.46875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327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258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325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326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5">
        <v>92658590</v>
      </c>
      <c r="D31" s="286"/>
      <c r="E31" s="284">
        <f>C31-D31</f>
        <v>92658590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20349135</v>
      </c>
      <c r="D32" s="286"/>
      <c r="E32" s="284">
        <f>C32-D32</f>
        <v>20349135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1337444</v>
      </c>
      <c r="D33" s="286"/>
      <c r="E33" s="284">
        <f>C33-D33</f>
        <v>1337444</v>
      </c>
      <c r="F33" s="11"/>
      <c r="G33" s="11"/>
      <c r="H33" s="6"/>
      <c r="I33" s="6"/>
    </row>
    <row r="34" spans="1:9" ht="12.75">
      <c r="A34" s="4" t="s">
        <v>501</v>
      </c>
      <c r="B34" s="23" t="s">
        <v>187</v>
      </c>
      <c r="C34" s="285">
        <v>38637</v>
      </c>
      <c r="D34" s="286"/>
      <c r="E34" s="284">
        <f>C34-D34</f>
        <v>38637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92447418</v>
      </c>
      <c r="D39" s="286"/>
      <c r="E39" s="284">
        <f>C39-D39</f>
        <v>92447418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1837828</v>
      </c>
      <c r="D40" s="286"/>
      <c r="E40" s="284">
        <f aca="true" t="shared" si="0" ref="E40:E48">C40-D40</f>
        <v>1837828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5">
        <v>1985162</v>
      </c>
      <c r="D41" s="286"/>
      <c r="E41" s="284">
        <f t="shared" si="0"/>
        <v>1985162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5">
        <v>4240244</v>
      </c>
      <c r="D42" s="286"/>
      <c r="E42" s="284">
        <f t="shared" si="0"/>
        <v>4240244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5">
        <v>5153483</v>
      </c>
      <c r="D43" s="286"/>
      <c r="E43" s="284">
        <f t="shared" si="0"/>
        <v>5153483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5">
        <v>301952</v>
      </c>
      <c r="D44" s="286"/>
      <c r="E44" s="284">
        <f t="shared" si="0"/>
        <v>301952</v>
      </c>
      <c r="F44" s="11"/>
      <c r="G44" s="11"/>
      <c r="H44" s="6"/>
      <c r="I44" s="6"/>
    </row>
    <row r="45" spans="1:11" ht="12.75">
      <c r="A45" s="4" t="s">
        <v>495</v>
      </c>
      <c r="B45" s="23" t="s">
        <v>188</v>
      </c>
      <c r="C45" s="285">
        <v>226100</v>
      </c>
      <c r="D45" s="286"/>
      <c r="E45" s="284">
        <f t="shared" si="0"/>
        <v>226100</v>
      </c>
      <c r="F45" s="11"/>
      <c r="G45" s="11"/>
      <c r="H45" s="33"/>
      <c r="I45" s="33"/>
      <c r="J45" s="32"/>
      <c r="K45" s="32"/>
    </row>
    <row r="46" spans="1:11" ht="12.75">
      <c r="A46" s="34"/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8191619</v>
      </c>
      <c r="D50" s="281">
        <f>SUM(D31:D36)-SUM(D39:D49)</f>
        <v>0</v>
      </c>
      <c r="E50" s="281">
        <f>SUM(E31:E35)-SUM(E39:E48)</f>
        <v>8191619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1426626</v>
      </c>
      <c r="D51" s="285"/>
      <c r="E51" s="282">
        <f>+C51-D51</f>
        <v>1426626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1002712</v>
      </c>
      <c r="D52" s="285"/>
      <c r="E52" s="283">
        <f>+C52-D52</f>
        <v>1002712</v>
      </c>
      <c r="F52" s="8"/>
    </row>
    <row r="53" spans="1:6" ht="12.75">
      <c r="A53" s="2" t="s">
        <v>131</v>
      </c>
      <c r="B53" s="8" t="s">
        <v>189</v>
      </c>
      <c r="C53" s="281">
        <f>C50-C51-C52</f>
        <v>5762281</v>
      </c>
      <c r="D53" s="281">
        <f>D50-D51-D52</f>
        <v>0</v>
      </c>
      <c r="E53" s="281">
        <f>E50-E51-E52</f>
        <v>5762281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1002712</v>
      </c>
      <c r="D59" s="287">
        <f>D52</f>
        <v>0</v>
      </c>
      <c r="E59" s="272">
        <f>+C59-D59</f>
        <v>1002712</v>
      </c>
      <c r="F59" s="8"/>
    </row>
    <row r="60" spans="1:6" ht="12.75">
      <c r="A60" s="4" t="s">
        <v>328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s="34" t="s">
        <v>500</v>
      </c>
      <c r="B61" s="8" t="s">
        <v>187</v>
      </c>
      <c r="C61" s="493">
        <f>+C43</f>
        <v>5153483</v>
      </c>
      <c r="D61" s="287">
        <f>D43</f>
        <v>0</v>
      </c>
      <c r="E61" s="272">
        <f>+C61-D61</f>
        <v>5153483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278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2810433</v>
      </c>
      <c r="D64" s="316">
        <f>'Tax Reserves'!D63</f>
        <v>0</v>
      </c>
      <c r="E64" s="272">
        <f>+C64-D64</f>
        <v>2810433</v>
      </c>
      <c r="F64" s="8"/>
    </row>
    <row r="65" spans="1:6" ht="12.75">
      <c r="A65" t="s">
        <v>445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396</v>
      </c>
      <c r="B66" s="8"/>
      <c r="C66" s="446">
        <f>'TAXREC 3 No True-up'!C47</f>
        <v>736041</v>
      </c>
      <c r="D66" s="446">
        <f>'TAXREC 3 No True-up'!D47</f>
        <v>0</v>
      </c>
      <c r="E66" s="272">
        <f>+C66-D66</f>
        <v>736041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9702669</v>
      </c>
      <c r="D70" s="272">
        <f>SUM(D59:D68)</f>
        <v>0</v>
      </c>
      <c r="E70" s="272">
        <f>SUM(E59:E68)</f>
        <v>9702669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481</v>
      </c>
      <c r="B76" s="8" t="s">
        <v>187</v>
      </c>
      <c r="C76" s="478"/>
      <c r="D76" s="294"/>
      <c r="E76" s="50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9702669</v>
      </c>
      <c r="D82" s="251">
        <f>D70+D80</f>
        <v>0</v>
      </c>
      <c r="E82" s="251">
        <f>E70+E80</f>
        <v>9702669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433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f>5870999+189041</f>
        <v>6060040</v>
      </c>
      <c r="D97" s="294"/>
      <c r="E97" s="272">
        <f>+C97-D97</f>
        <v>6060040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8">
        <f>'Tax Reserves'!C50</f>
        <v>2761379</v>
      </c>
      <c r="D105" s="318">
        <f>'Tax Reserves'!D50</f>
        <v>0</v>
      </c>
      <c r="E105" s="282">
        <f t="shared" si="5"/>
        <v>2761379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396</v>
      </c>
      <c r="B108" s="8"/>
      <c r="C108" s="254">
        <f>'TAXREC 3 No True-up'!C73</f>
        <v>1854557</v>
      </c>
      <c r="D108" s="254">
        <f>'TAXREC 3 No True-up'!D73</f>
        <v>0</v>
      </c>
      <c r="E108" s="272">
        <f t="shared" si="5"/>
        <v>1854557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10675976</v>
      </c>
      <c r="D113" s="251">
        <f>SUM(D97:D111)</f>
        <v>0</v>
      </c>
      <c r="E113" s="251">
        <f>SUM(E97:E111)</f>
        <v>10675976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10675976</v>
      </c>
      <c r="D122" s="251">
        <f>D113+D120</f>
        <v>0</v>
      </c>
      <c r="E122" s="251">
        <f>+E113+E120</f>
        <v>10675976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4788974</v>
      </c>
      <c r="D134" s="251">
        <f>D53+D82-D122</f>
        <v>0</v>
      </c>
      <c r="E134" s="251">
        <f>E53+E82-E122</f>
        <v>4788974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376</v>
      </c>
      <c r="B136" s="8" t="s">
        <v>188</v>
      </c>
      <c r="C136" s="294">
        <v>2624081</v>
      </c>
      <c r="D136" s="294"/>
      <c r="E136" s="264">
        <f>C136-D136</f>
        <v>2624081</v>
      </c>
      <c r="F136" s="8"/>
      <c r="G136" s="45"/>
      <c r="H136" s="45"/>
      <c r="I136" s="45"/>
      <c r="J136" s="45"/>
      <c r="K136" s="45"/>
    </row>
    <row r="137" spans="1:11" ht="12.75">
      <c r="A137" s="46" t="s">
        <v>377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2164893</v>
      </c>
      <c r="D139" s="252">
        <f>D134-D136-D137-D138</f>
        <v>0</v>
      </c>
      <c r="E139" s="252">
        <f>E134-E136-E137-E138</f>
        <v>2164893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8">
        <v>565470</v>
      </c>
      <c r="D142" s="298"/>
      <c r="E142" s="252">
        <f>C142-D142</f>
        <v>565470</v>
      </c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8">
        <v>270612</v>
      </c>
      <c r="D143" s="298"/>
      <c r="E143" s="292">
        <f>C143-D143</f>
        <v>270612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836082</v>
      </c>
      <c r="D144" s="252">
        <f>D142+D143</f>
        <v>0</v>
      </c>
      <c r="E144" s="252">
        <f>E142+E143</f>
        <v>836082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836082</v>
      </c>
      <c r="D146" s="252">
        <f>D144-D145</f>
        <v>0</v>
      </c>
      <c r="E146" s="252">
        <f>E144-E145</f>
        <v>836082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404">
        <f>+'Tax Rates'!F50</f>
        <v>0.2612</v>
      </c>
      <c r="D149" s="495"/>
      <c r="E149" s="405">
        <f>C149</f>
        <v>0.2612</v>
      </c>
      <c r="F149" s="8"/>
      <c r="G149" s="45" t="s">
        <v>471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04">
        <f>+'Tax Rates'!F51</f>
        <v>0.125</v>
      </c>
      <c r="D150" s="494"/>
      <c r="E150" s="405">
        <f>C150</f>
        <v>0.125</v>
      </c>
      <c r="F150" s="8"/>
      <c r="G150" s="45" t="s">
        <v>472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5">
        <f>SUM(C149:C150)</f>
        <v>0.3862</v>
      </c>
      <c r="D151" s="481" t="s">
        <v>489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486</v>
      </c>
      <c r="B155" s="8"/>
    </row>
    <row r="156" spans="1:5" ht="12.75">
      <c r="A156" t="s">
        <v>219</v>
      </c>
      <c r="B156" s="86" t="s">
        <v>187</v>
      </c>
      <c r="C156" s="251">
        <f>C146</f>
        <v>836082</v>
      </c>
      <c r="D156" s="251">
        <f>D146</f>
        <v>0</v>
      </c>
      <c r="E156" s="251">
        <f>E146</f>
        <v>836082</v>
      </c>
    </row>
    <row r="157" spans="1:5" ht="12.75">
      <c r="A157" t="s">
        <v>20</v>
      </c>
      <c r="B157" s="86" t="s">
        <v>187</v>
      </c>
      <c r="C157" s="251">
        <v>307024.11477000004</v>
      </c>
      <c r="D157" s="251"/>
      <c r="E157" s="251">
        <f>C157+D157</f>
        <v>307024.11477000004</v>
      </c>
    </row>
    <row r="158" spans="1:5" ht="12.75">
      <c r="A158" t="s">
        <v>218</v>
      </c>
      <c r="B158" s="86" t="s">
        <v>187</v>
      </c>
      <c r="C158" s="251">
        <v>173286.83639999997</v>
      </c>
      <c r="D158" s="251"/>
      <c r="E158" s="251">
        <f>C158+D158</f>
        <v>173286.83639999997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1316392.95117</v>
      </c>
      <c r="D160" s="251">
        <f>D156+D157+D158</f>
        <v>0</v>
      </c>
      <c r="E160" s="251">
        <f>E156+E157+E158</f>
        <v>1316392.95117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0" fitToWidth="1" horizontalDpi="600" verticalDpi="600" orientation="portrait" scale="77" r:id="rId1"/>
  <headerFooter alignWithMargins="0">
    <oddHeader>&amp;R&amp;9Waterloo North Hydro Inc.
EB-2011-0201 - 2012 IRM Filing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1">
      <selection activeCell="A8" sqref="A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84" t="str">
        <f>REGINFO!A3</f>
        <v>Utility Name: Waterloo North Hydro Inc.</v>
      </c>
      <c r="B7" s="20"/>
      <c r="C7" s="25"/>
      <c r="D7" s="25"/>
      <c r="E7" s="25"/>
      <c r="F7" s="20"/>
    </row>
    <row r="8" spans="1:6" ht="13.5" thickBot="1">
      <c r="A8" s="497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280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4"/>
      <c r="D15" s="294"/>
      <c r="E15" s="251">
        <f t="shared" si="0"/>
        <v>0</v>
      </c>
    </row>
    <row r="16" spans="1:5" ht="12.75">
      <c r="A16" s="61" t="s">
        <v>282</v>
      </c>
      <c r="B16" s="61"/>
      <c r="C16" s="294"/>
      <c r="D16" s="294"/>
      <c r="E16" s="251">
        <f t="shared" si="0"/>
        <v>0</v>
      </c>
    </row>
    <row r="17" spans="1:5" ht="12.75">
      <c r="A17" s="61" t="s">
        <v>283</v>
      </c>
      <c r="B17" s="61"/>
      <c r="C17" s="294"/>
      <c r="D17" s="294"/>
      <c r="E17" s="251">
        <f t="shared" si="0"/>
        <v>0</v>
      </c>
    </row>
    <row r="18" spans="1:5" ht="12.75">
      <c r="A18" s="61" t="s">
        <v>450</v>
      </c>
      <c r="B18" s="61"/>
      <c r="C18" s="294"/>
      <c r="D18" s="294"/>
      <c r="E18" s="251">
        <f t="shared" si="0"/>
        <v>0</v>
      </c>
    </row>
    <row r="19" spans="1:5" ht="12.75">
      <c r="A19" s="61" t="s">
        <v>450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280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4"/>
      <c r="D27" s="294"/>
      <c r="E27" s="251">
        <f t="shared" si="1"/>
        <v>0</v>
      </c>
    </row>
    <row r="28" spans="1:5" ht="12.75">
      <c r="A28" s="61" t="s">
        <v>282</v>
      </c>
      <c r="B28" s="61"/>
      <c r="C28" s="294"/>
      <c r="D28" s="294"/>
      <c r="E28" s="251">
        <f t="shared" si="1"/>
        <v>0</v>
      </c>
    </row>
    <row r="29" spans="1:5" ht="12.75">
      <c r="A29" s="61" t="s">
        <v>283</v>
      </c>
      <c r="B29" s="61"/>
      <c r="C29" s="294"/>
      <c r="D29" s="294"/>
      <c r="E29" s="251">
        <f t="shared" si="1"/>
        <v>0</v>
      </c>
    </row>
    <row r="30" spans="1:5" ht="12.75">
      <c r="A30" s="61" t="s">
        <v>450</v>
      </c>
      <c r="B30" s="61"/>
      <c r="C30" s="294"/>
      <c r="D30" s="294"/>
      <c r="E30" s="251">
        <f t="shared" si="1"/>
        <v>0</v>
      </c>
    </row>
    <row r="31" spans="1:5" ht="12.75">
      <c r="A31" s="61" t="s">
        <v>450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4"/>
      <c r="D43" s="294"/>
      <c r="E43" s="251">
        <f t="shared" si="2"/>
        <v>0</v>
      </c>
    </row>
    <row r="44" spans="1:5" ht="12.75">
      <c r="A44" s="61" t="s">
        <v>267</v>
      </c>
      <c r="B44" s="61"/>
      <c r="C44" s="294">
        <v>100000</v>
      </c>
      <c r="D44" s="294"/>
      <c r="E44" s="251">
        <f t="shared" si="2"/>
        <v>100000</v>
      </c>
    </row>
    <row r="45" spans="1:5" ht="12.75">
      <c r="A45" s="61" t="s">
        <v>268</v>
      </c>
      <c r="B45" s="61"/>
      <c r="C45" s="294"/>
      <c r="D45" s="294"/>
      <c r="E45" s="251">
        <f t="shared" si="2"/>
        <v>0</v>
      </c>
    </row>
    <row r="46" spans="1:5" ht="12.75">
      <c r="A46" s="61" t="s">
        <v>269</v>
      </c>
      <c r="B46" s="61"/>
      <c r="C46" s="294"/>
      <c r="D46" s="294"/>
      <c r="E46" s="251">
        <f t="shared" si="2"/>
        <v>0</v>
      </c>
    </row>
    <row r="47" spans="1:5" ht="12.75">
      <c r="A47" s="311" t="s">
        <v>497</v>
      </c>
      <c r="B47" s="61"/>
      <c r="C47" s="294">
        <v>2303711</v>
      </c>
      <c r="D47" s="294"/>
      <c r="E47" s="251">
        <f t="shared" si="2"/>
        <v>2303711</v>
      </c>
    </row>
    <row r="48" spans="1:5" ht="12.75">
      <c r="A48" s="61" t="s">
        <v>450</v>
      </c>
      <c r="B48" s="61"/>
      <c r="C48" s="294"/>
      <c r="D48" s="294"/>
      <c r="E48" s="251">
        <f t="shared" si="2"/>
        <v>0</v>
      </c>
    </row>
    <row r="49" spans="1:5" ht="12.75">
      <c r="A49" s="496" t="s">
        <v>498</v>
      </c>
      <c r="B49" s="61"/>
      <c r="C49" s="310">
        <v>357668</v>
      </c>
      <c r="D49" s="310"/>
      <c r="E49" s="279">
        <f t="shared" si="2"/>
        <v>357668</v>
      </c>
    </row>
    <row r="50" spans="1:5" ht="12.75">
      <c r="A50" s="2" t="s">
        <v>180</v>
      </c>
      <c r="C50" s="251">
        <f>SUM(C41:C49)</f>
        <v>2761379</v>
      </c>
      <c r="D50" s="251">
        <f>SUM(D41:D49)</f>
        <v>0</v>
      </c>
      <c r="E50" s="251">
        <f>SUM(E41:E49)</f>
        <v>2761379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4"/>
      <c r="D55" s="294"/>
      <c r="E55" s="251">
        <f t="shared" si="3"/>
        <v>0</v>
      </c>
    </row>
    <row r="56" spans="1:5" ht="12.75">
      <c r="A56" s="246" t="s">
        <v>267</v>
      </c>
      <c r="B56" s="61"/>
      <c r="C56" s="294">
        <v>100000</v>
      </c>
      <c r="D56" s="294"/>
      <c r="E56" s="251">
        <f t="shared" si="3"/>
        <v>100000</v>
      </c>
    </row>
    <row r="57" spans="1:5" ht="12.75">
      <c r="A57" s="246" t="s">
        <v>268</v>
      </c>
      <c r="B57" s="61"/>
      <c r="C57" s="294"/>
      <c r="D57" s="294"/>
      <c r="E57" s="251">
        <f t="shared" si="3"/>
        <v>0</v>
      </c>
    </row>
    <row r="58" spans="1:5" ht="12.75">
      <c r="A58" s="246" t="s">
        <v>269</v>
      </c>
      <c r="B58" s="61"/>
      <c r="C58" s="294"/>
      <c r="D58" s="294"/>
      <c r="E58" s="251">
        <f t="shared" si="3"/>
        <v>0</v>
      </c>
    </row>
    <row r="59" spans="1:5" ht="12.75">
      <c r="A59" s="311" t="s">
        <v>497</v>
      </c>
      <c r="B59" s="61"/>
      <c r="C59" s="294">
        <v>2465168</v>
      </c>
      <c r="D59" s="294"/>
      <c r="E59" s="251">
        <f t="shared" si="3"/>
        <v>2465168</v>
      </c>
    </row>
    <row r="60" spans="1:5" ht="12.75">
      <c r="A60" s="61" t="s">
        <v>450</v>
      </c>
      <c r="B60" s="61"/>
      <c r="C60" s="294"/>
      <c r="D60" s="294"/>
      <c r="E60" s="251">
        <f t="shared" si="3"/>
        <v>0</v>
      </c>
    </row>
    <row r="61" spans="1:5" ht="13.5" thickBot="1">
      <c r="A61" s="62" t="s">
        <v>498</v>
      </c>
      <c r="B61" s="61"/>
      <c r="C61" s="294">
        <v>245265</v>
      </c>
      <c r="D61" s="294"/>
      <c r="E61" s="251">
        <f t="shared" si="3"/>
        <v>245265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2810433</v>
      </c>
      <c r="D63" s="251">
        <f>SUM(D53:D61)</f>
        <v>0</v>
      </c>
      <c r="E63" s="251">
        <f>SUM(E53:E61)</f>
        <v>2810433</v>
      </c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89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17">
      <selection activeCell="A9" sqref="A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468</v>
      </c>
      <c r="B5" s="8"/>
      <c r="C5" s="8" t="s">
        <v>2</v>
      </c>
      <c r="D5" s="8"/>
      <c r="E5" s="8"/>
      <c r="F5" s="8"/>
    </row>
    <row r="6" spans="1:6" ht="12.75">
      <c r="A6" s="415" t="s">
        <v>447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84" t="str">
        <f>REGINFO!A3</f>
        <v>Utility Name: Waterloo North Hydro Inc.</v>
      </c>
      <c r="B8" s="20"/>
      <c r="C8" s="25"/>
      <c r="D8" s="25"/>
      <c r="E8" s="25"/>
      <c r="F8" s="20"/>
    </row>
    <row r="9" spans="1:6" ht="13.5" thickBot="1">
      <c r="A9" s="497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100459.46875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252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451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253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479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378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0" fitToWidth="1" horizontalDpi="600" verticalDpi="600" orientation="portrait" scale="78" r:id="rId1"/>
  <headerFooter alignWithMargins="0">
    <oddHeader>&amp;R&amp;9Waterloo North Hydro Inc.
EB-2011-0201 - 2012 IRM Filing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34">
      <selection activeCell="C72" sqref="C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386</v>
      </c>
      <c r="E3" s="92"/>
    </row>
    <row r="4" spans="1:6" ht="15.75">
      <c r="A4" s="464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84" t="str">
        <f>REGINFO!A3</f>
        <v>Utility Name: Waterloo North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497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389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455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392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393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456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439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391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390</v>
      </c>
      <c r="B30" t="s">
        <v>187</v>
      </c>
      <c r="C30" s="295">
        <v>726599</v>
      </c>
      <c r="D30" s="295"/>
      <c r="E30" s="312">
        <f t="shared" si="0"/>
        <v>726599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434</v>
      </c>
      <c r="B32" t="s">
        <v>187</v>
      </c>
      <c r="C32" s="295">
        <v>9442</v>
      </c>
      <c r="D32" s="295"/>
      <c r="E32" s="312">
        <f t="shared" si="0"/>
        <v>9442</v>
      </c>
    </row>
    <row r="33" spans="1:5" ht="12.75">
      <c r="A33" s="67" t="s">
        <v>435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452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453</v>
      </c>
      <c r="C35" s="295"/>
      <c r="D35" s="295"/>
      <c r="E35" s="312">
        <f t="shared" si="0"/>
        <v>0</v>
      </c>
    </row>
    <row r="36" spans="1:5" ht="12.75">
      <c r="A36" s="67" t="s">
        <v>436</v>
      </c>
      <c r="C36" s="295"/>
      <c r="D36" s="295"/>
      <c r="E36" s="312">
        <f t="shared" si="0"/>
        <v>0</v>
      </c>
    </row>
    <row r="37" spans="1:5" ht="12.75">
      <c r="A37" s="67" t="s">
        <v>437</v>
      </c>
      <c r="C37" s="295"/>
      <c r="D37" s="295"/>
      <c r="E37" s="312">
        <f t="shared" si="0"/>
        <v>0</v>
      </c>
    </row>
    <row r="38" spans="1:5" ht="12.75">
      <c r="A38" s="67" t="s">
        <v>459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394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388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34"/>
      <c r="B44" t="s">
        <v>187</v>
      </c>
      <c r="C44" s="295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398</v>
      </c>
      <c r="B47" t="s">
        <v>189</v>
      </c>
      <c r="C47" s="251">
        <f>SUM(C19:C46)</f>
        <v>736041</v>
      </c>
      <c r="D47" s="251">
        <f>SUM(D19:D46)</f>
        <v>0</v>
      </c>
      <c r="E47" s="251">
        <f>SUM(E19:E46)</f>
        <v>736041</v>
      </c>
    </row>
    <row r="48" ht="12.75">
      <c r="A48" s="67"/>
    </row>
    <row r="49" ht="12.75">
      <c r="A49" s="81" t="s">
        <v>145</v>
      </c>
    </row>
    <row r="51" spans="1:5" ht="12.75">
      <c r="A51" s="71" t="s">
        <v>389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455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390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438</v>
      </c>
      <c r="B54" s="8" t="s">
        <v>188</v>
      </c>
      <c r="C54" s="294">
        <v>276591</v>
      </c>
      <c r="D54" s="294"/>
      <c r="E54" s="251">
        <f t="shared" si="1"/>
        <v>276591</v>
      </c>
    </row>
    <row r="55" spans="1:5" ht="12.75">
      <c r="A55" s="67" t="s">
        <v>446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458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454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457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395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388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34" t="s">
        <v>496</v>
      </c>
      <c r="B69" s="8" t="s">
        <v>188</v>
      </c>
      <c r="C69" s="294">
        <v>1572623</v>
      </c>
      <c r="D69" s="294"/>
      <c r="E69" s="251">
        <f t="shared" si="2"/>
        <v>1572623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 t="s">
        <v>502</v>
      </c>
      <c r="B71" s="8" t="s">
        <v>188</v>
      </c>
      <c r="C71" s="294">
        <v>5343</v>
      </c>
      <c r="D71" s="294"/>
      <c r="E71" s="251">
        <f t="shared" si="2"/>
        <v>5343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397</v>
      </c>
      <c r="B73" s="8" t="s">
        <v>189</v>
      </c>
      <c r="C73" s="251">
        <f>SUM(C51:C72)</f>
        <v>1854557</v>
      </c>
      <c r="D73" s="251">
        <f>SUM(D51:D72)</f>
        <v>0</v>
      </c>
      <c r="E73" s="251">
        <f>SUM(E51:E72)</f>
        <v>1854557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68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80">
      <selection activeCell="C56" sqref="C5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3.5" thickBot="1">
      <c r="A3" s="343" t="s">
        <v>306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3.5" thickBot="1">
      <c r="A4" s="487" t="str">
        <f>REGINFO!A3</f>
        <v>Utility Name: Waterloo North Hydro Inc.</v>
      </c>
      <c r="B4" s="488"/>
      <c r="C4" s="489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3.5" thickBot="1">
      <c r="A5" s="499" t="str">
        <f>REGINFO!A4</f>
        <v>Reporting period:  2002</v>
      </c>
      <c r="B5" s="500"/>
      <c r="C5" s="501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338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491</v>
      </c>
      <c r="B8" s="515"/>
      <c r="C8" s="515"/>
      <c r="D8" s="515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470</v>
      </c>
      <c r="B10" s="326"/>
      <c r="C10" s="375" t="s">
        <v>111</v>
      </c>
      <c r="D10" s="375"/>
      <c r="E10" s="375" t="s">
        <v>111</v>
      </c>
      <c r="F10" s="376" t="s">
        <v>492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299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298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303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259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333</v>
      </c>
      <c r="B21" s="406" t="s">
        <v>474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334</v>
      </c>
      <c r="B22" s="407" t="s">
        <v>475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1" t="s">
        <v>493</v>
      </c>
      <c r="B23" s="520"/>
      <c r="C23" s="520"/>
      <c r="D23" s="520"/>
      <c r="E23" s="520"/>
      <c r="F23" s="520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339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6" t="s">
        <v>485</v>
      </c>
      <c r="B26" s="517"/>
      <c r="C26" s="517"/>
      <c r="D26" s="517"/>
      <c r="E26" s="517"/>
      <c r="F26" s="51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442</v>
      </c>
      <c r="B28" s="326"/>
      <c r="C28" s="369" t="s">
        <v>111</v>
      </c>
      <c r="D28" s="369"/>
      <c r="E28" s="369" t="s">
        <v>111</v>
      </c>
      <c r="F28" s="370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298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259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482</v>
      </c>
      <c r="B39" s="406" t="s">
        <v>474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483</v>
      </c>
      <c r="B40" s="407" t="s">
        <v>475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1" t="s">
        <v>336</v>
      </c>
      <c r="B41" s="520"/>
      <c r="C41" s="520"/>
      <c r="D41" s="520"/>
      <c r="E41" s="520"/>
      <c r="F41" s="52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2"/>
      <c r="B42" s="522"/>
      <c r="C42" s="522"/>
      <c r="D42" s="522"/>
      <c r="E42" s="522"/>
      <c r="F42" s="52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340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484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492</v>
      </c>
      <c r="G46" s="518"/>
      <c r="H46" s="519"/>
      <c r="I46" s="519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298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3"/>
      <c r="I50" s="483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3"/>
      <c r="I51" s="483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259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3"/>
      <c r="I52" s="483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351</v>
      </c>
      <c r="B57" s="406" t="s">
        <v>474</v>
      </c>
      <c r="C57" s="362">
        <v>4987909.41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352</v>
      </c>
      <c r="B58" s="407" t="s">
        <v>475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1" t="s">
        <v>353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6">
    <mergeCell ref="A59:F60"/>
    <mergeCell ref="A8:D8"/>
    <mergeCell ref="A26:F26"/>
    <mergeCell ref="G46:I46"/>
    <mergeCell ref="A23:F23"/>
    <mergeCell ref="A41:F42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74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1">
      <selection activeCell="E1" sqref="E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3.5" thickBot="1">
      <c r="A2" s="2" t="s">
        <v>460</v>
      </c>
      <c r="B2" s="2"/>
    </row>
    <row r="3" spans="1:15" ht="13.5" thickBot="1">
      <c r="A3" s="487" t="str">
        <f>REGINFO!A3</f>
        <v>Utility Name: Waterloo North Hydro Inc.</v>
      </c>
      <c r="B3" s="490"/>
      <c r="C3" s="491"/>
      <c r="O3" s="416" t="str">
        <f>REGINFO!E1</f>
        <v>Version 2009.1</v>
      </c>
    </row>
    <row r="4" spans="1:15" ht="13.5" thickBot="1">
      <c r="A4" s="499" t="str">
        <f>REGINFO!A4</f>
        <v>Reporting period:  2002</v>
      </c>
      <c r="B4" s="502"/>
      <c r="C4" s="503"/>
      <c r="E4" s="417" t="s">
        <v>322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1019282</v>
      </c>
      <c r="F11" s="419"/>
      <c r="G11" s="396">
        <f>E22</f>
        <v>702387.5950000007</v>
      </c>
      <c r="H11" s="419"/>
      <c r="I11" s="396">
        <f>G22</f>
        <v>5085982.190000001</v>
      </c>
      <c r="J11" s="390"/>
      <c r="K11" s="396">
        <f>I22</f>
        <v>8709706.035000002</v>
      </c>
      <c r="L11" s="390"/>
      <c r="M11" s="396">
        <f>K22</f>
        <v>9552314.433750002</v>
      </c>
      <c r="N11" s="390"/>
      <c r="O11" s="396">
        <f>C11</f>
        <v>0</v>
      </c>
    </row>
    <row r="12" spans="1:15" ht="27" customHeight="1">
      <c r="A12" s="81" t="s">
        <v>399</v>
      </c>
      <c r="B12" s="66" t="s">
        <v>190</v>
      </c>
      <c r="C12" s="395">
        <v>1013161</v>
      </c>
      <c r="D12" s="391"/>
      <c r="E12" s="395">
        <v>3370433.595</v>
      </c>
      <c r="F12" s="95"/>
      <c r="G12" s="418">
        <f>C12+E12</f>
        <v>4383594.595000001</v>
      </c>
      <c r="H12" s="95"/>
      <c r="I12" s="418">
        <f>(E12/12*9)+(G12/12*3)</f>
        <v>3623723.845</v>
      </c>
      <c r="J12" s="391"/>
      <c r="K12" s="418">
        <f>E12/12*3</f>
        <v>842608.3987499999</v>
      </c>
      <c r="L12" s="391"/>
      <c r="M12" s="418">
        <f>K13/9*12/4</f>
        <v>0</v>
      </c>
      <c r="N12" s="391"/>
      <c r="O12" s="396">
        <f aca="true" t="shared" si="0" ref="O12:O20">SUM(C12:N12)</f>
        <v>13233521.433750002</v>
      </c>
    </row>
    <row r="13" spans="1:15" ht="27" customHeight="1">
      <c r="A13" s="81" t="s">
        <v>441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400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9" ht="27" customHeight="1">
      <c r="A15" s="81" t="s">
        <v>401</v>
      </c>
      <c r="B15" s="66" t="s">
        <v>190</v>
      </c>
      <c r="C15" s="492"/>
      <c r="D15" s="391"/>
      <c r="E15" s="506">
        <v>7980</v>
      </c>
      <c r="F15" s="95"/>
      <c r="G15" s="395"/>
      <c r="H15" s="95"/>
      <c r="I15" s="395"/>
      <c r="J15" s="391"/>
      <c r="K15" s="395"/>
      <c r="L15" s="391"/>
      <c r="M15" s="418">
        <f>+TAXCALC!E132</f>
        <v>-40749.35232</v>
      </c>
      <c r="N15" s="391"/>
      <c r="O15" s="396">
        <f t="shared" si="0"/>
        <v>-32769.35232</v>
      </c>
      <c r="Q15" s="34"/>
      <c r="R15" s="40"/>
      <c r="S15" s="34"/>
    </row>
    <row r="16" spans="1:15" ht="27" customHeight="1">
      <c r="A16" s="81" t="s">
        <v>402</v>
      </c>
      <c r="B16" s="66"/>
      <c r="C16" s="395"/>
      <c r="D16" s="391"/>
      <c r="E16" s="506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403</v>
      </c>
      <c r="B17" s="66" t="s">
        <v>190</v>
      </c>
      <c r="C17" s="395"/>
      <c r="D17" s="391"/>
      <c r="E17" s="506"/>
      <c r="F17" s="95"/>
      <c r="G17" s="395"/>
      <c r="H17" s="95"/>
      <c r="I17" s="395"/>
      <c r="J17" s="391"/>
      <c r="K17" s="395"/>
      <c r="L17" s="391"/>
      <c r="M17" s="418">
        <f>TAXCALC!E181</f>
        <v>0</v>
      </c>
      <c r="N17" s="391"/>
      <c r="O17" s="396">
        <f t="shared" si="0"/>
        <v>0</v>
      </c>
    </row>
    <row r="18" spans="1:15" ht="25.5">
      <c r="A18" s="81" t="s">
        <v>404</v>
      </c>
      <c r="B18" s="66" t="s">
        <v>190</v>
      </c>
      <c r="C18" s="395"/>
      <c r="D18" s="391"/>
      <c r="E18" s="506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405</v>
      </c>
      <c r="B19" s="66" t="s">
        <v>190</v>
      </c>
      <c r="C19" s="395">
        <v>6121</v>
      </c>
      <c r="D19" s="391"/>
      <c r="E19" s="506">
        <v>106404</v>
      </c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112525</v>
      </c>
    </row>
    <row r="20" spans="1:15" ht="24.75" customHeight="1">
      <c r="A20" s="81" t="s">
        <v>473</v>
      </c>
      <c r="B20" s="66" t="s">
        <v>188</v>
      </c>
      <c r="C20" s="418">
        <v>0</v>
      </c>
      <c r="D20" s="391"/>
      <c r="E20" s="506">
        <v>-3801712</v>
      </c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-3801712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375</v>
      </c>
      <c r="B22" s="34"/>
      <c r="C22" s="397">
        <f>SUM(C11:C20)</f>
        <v>1019282</v>
      </c>
      <c r="D22" s="419"/>
      <c r="E22" s="397">
        <f>SUM(E11:E20)</f>
        <v>702387.5950000007</v>
      </c>
      <c r="F22" s="419"/>
      <c r="G22" s="397">
        <f>SUM(G11:G20)</f>
        <v>5085982.190000001</v>
      </c>
      <c r="H22" s="419"/>
      <c r="I22" s="397">
        <f>SUM(I11:I20)</f>
        <v>8709706.035000002</v>
      </c>
      <c r="J22" s="390"/>
      <c r="K22" s="397">
        <f>SUM(K11:K20)</f>
        <v>9552314.433750002</v>
      </c>
      <c r="L22" s="390"/>
      <c r="M22" s="397">
        <f>SUM(M11:M21)</f>
        <v>9511565.081430001</v>
      </c>
      <c r="N22" s="390"/>
      <c r="O22" s="450">
        <f>SUM(O11:O20)</f>
        <v>9511565.081430001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406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407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408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409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24" t="s">
        <v>410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420"/>
      <c r="Q33" s="420"/>
      <c r="R33" s="420"/>
      <c r="S33" s="420"/>
    </row>
    <row r="34" spans="1:19" ht="12.75">
      <c r="A34" s="523" t="s">
        <v>411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420"/>
      <c r="Q34" s="420"/>
      <c r="R34" s="420"/>
      <c r="S34" s="420"/>
    </row>
    <row r="35" spans="1:19" ht="12.75">
      <c r="A35" s="523" t="s">
        <v>432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420"/>
      <c r="Q35" s="420"/>
      <c r="R35" s="420"/>
      <c r="S35" s="420"/>
    </row>
    <row r="36" spans="1:19" ht="12.75">
      <c r="A36" s="523" t="s">
        <v>412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420"/>
      <c r="Q36" s="420"/>
      <c r="R36" s="420"/>
      <c r="S36" s="420"/>
    </row>
    <row r="37" spans="1:19" ht="12.75">
      <c r="A37" s="437" t="s">
        <v>372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373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413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414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415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416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417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418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419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420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421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418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422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423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424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425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426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382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427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428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384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383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385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429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430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431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3" t="s">
        <v>461</v>
      </c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</row>
    <row r="75" spans="1:15" ht="12.75">
      <c r="A75" s="434" t="s">
        <v>374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66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amos</cp:lastModifiedBy>
  <cp:lastPrinted>2011-09-28T12:39:33Z</cp:lastPrinted>
  <dcterms:created xsi:type="dcterms:W3CDTF">2001-11-07T16:15:53Z</dcterms:created>
  <dcterms:modified xsi:type="dcterms:W3CDTF">2012-01-29T16:44:32Z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