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90" yWindow="30" windowWidth="10710" windowHeight="1203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<sst xmlns="http://schemas.openxmlformats.org/spreadsheetml/2006/main" count="875" uniqueCount="501">
  <si>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</si>
  <si>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</si>
  <si>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</si>
  <si>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</si>
  <si>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</si>
  <si>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</si>
  <si>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</si>
  <si>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</si>
  <si>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</si>
  <si>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</si>
  <si>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</si>
  <si>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</si>
  <si>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</si>
  <si>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</si>
  <si>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</si>
  <si>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</si>
  <si>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</si>
  <si>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</si>
  <si>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</si>
  <si>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</si>
  <si>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</si>
  <si>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</si>
  <si>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</si>
  <si>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</si>
  <si>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</si>
  <si>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</si>
  <si>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</si>
  <si>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</si>
  <si>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</si>
  <si>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</si>
  <si>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</si>
  <si>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</si>
  <si>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</si>
  <si>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</si>
  <si>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</si>
  <si>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</si>
  <si>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</si>
  <si>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</si>
  <si>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</si>
  <si>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</si>
  <si>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</si>
  <si>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</si>
  <si>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</si>
  <si>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</si>
  <si>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</si>
  <si>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</si>
  <si>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</si>
  <si>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</si>
  <si>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</si>
  <si>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</si>
  <si>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</si>
  <si>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</si>
  <si>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</si>
  <si>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</si>
  <si>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</si>
  <si>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</si>
  <si>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</si>
  <si>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</si>
  <si>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</si>
  <si>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</si>
  <si>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</si>
  <si>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</si>
  <si>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</si>
  <si>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</si>
  <si>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</si>
  <si>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</si>
  <si>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</si>
  <si>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</si>
  <si>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</si>
  <si>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</si>
  <si>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</si>
  <si>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</si>
  <si>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</si>
  <si>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</si>
  <si>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</si>
  <si>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</si>
  <si>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</si>
  <si>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</si>
  <si>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</si>
  <si>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</si>
  <si>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</si>
  <si>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</si>
  <si>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</si>
  <si>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</si>
  <si>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</si>
  <si>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</si>
  <si>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</si>
  <si>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</si>
  <si>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</si>
  <si>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</si>
  <si>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</si>
  <si>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</si>
  <si>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</si>
  <si>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</si>
  <si>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</si>
  <si>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</si>
  <si>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</si>
  <si>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</si>
  <si>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</si>
  <si>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</si>
  <si>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</si>
  <si>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</si>
  <si>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</si>
  <si>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</si>
  <si>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</si>
  <si>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</si>
  <si>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</si>
  <si>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</si>
  <si>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</si>
  <si>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</si>
  <si>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</si>
  <si>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</si>
  <si>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</si>
  <si>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</si>
  <si>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</si>
  <si>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</si>
  <si>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</si>
  <si>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</si>
  <si>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</si>
  <si>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</si>
  <si>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</si>
  <si>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</si>
  <si>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</si>
  <si>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</si>
  <si>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</si>
  <si>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</si>
  <si>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</si>
  <si>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</si>
  <si>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</si>
  <si>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</si>
  <si>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</si>
  <si>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</si>
  <si>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</si>
  <si>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</si>
  <si>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</si>
  <si>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</si>
  <si>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</si>
  <si>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</si>
  <si>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</si>
  <si>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</si>
  <si>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</si>
  <si>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</si>
  <si>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</si>
  <si>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</si>
  <si>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</si>
  <si>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</si>
  <si>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</si>
  <si>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</si>
  <si>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</si>
  <si>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</si>
  <si>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</si>
  <si>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</si>
  <si>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</si>
  <si>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</si>
  <si>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</si>
  <si>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</si>
  <si>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</si>
  <si>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</si>
  <si>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</si>
  <si>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</si>
  <si>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</si>
  <si>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</si>
  <si>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</si>
  <si>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</si>
  <si>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</si>
  <si>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</si>
  <si>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</si>
  <si>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</si>
  <si>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</si>
  <si>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</si>
  <si>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</si>
  <si>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</si>
  <si>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</si>
  <si>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</si>
  <si>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</si>
  <si>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</si>
  <si>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</si>
  <si>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</si>
  <si>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</si>
  <si>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</si>
  <si>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</si>
  <si>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</si>
  <si>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</si>
  <si>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</si>
  <si>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</si>
  <si>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</si>
  <si>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</si>
  <si>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</si>
  <si>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</si>
  <si>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</si>
  <si>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</si>
  <si>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</si>
  <si>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</si>
  <si>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</si>
  <si>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</si>
  <si>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</si>
  <si>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</si>
  <si>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</si>
  <si>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</si>
  <si>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</si>
  <si>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</si>
  <si>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</si>
  <si>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</si>
  <si>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</si>
  <si>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</si>
  <si>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</si>
  <si>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</si>
  <si>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</si>
  <si>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</si>
  <si>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</si>
  <si>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</si>
  <si>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</si>
  <si>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</si>
  <si>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</si>
  <si>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</si>
  <si>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</si>
  <si>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</si>
  <si>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</si>
  <si>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</si>
  <si>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</si>
  <si>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</si>
  <si>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</si>
  <si>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</si>
  <si>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</si>
  <si>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</si>
  <si>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</si>
  <si>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</si>
  <si>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</si>
  <si>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</si>
  <si>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</si>
  <si>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</si>
  <si>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</si>
  <si>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</si>
  <si>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</si>
  <si>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</si>
  <si>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</si>
  <si>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</si>
  <si>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</si>
  <si>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</si>
  <si>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</si>
  <si>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</si>
  <si>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</si>
  <si>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</si>
  <si>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</si>
  <si>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</si>
  <si>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</si>
  <si>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</si>
  <si>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</si>
  <si>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</si>
  <si>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</si>
  <si>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</si>
  <si>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</si>
  <si>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</si>
  <si>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</si>
  <si>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</si>
  <si>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</si>
  <si>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</si>
  <si>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</si>
  <si>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</si>
  <si>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</si>
  <si>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</si>
  <si>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</si>
  <si>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</si>
  <si>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</si>
  <si>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</si>
  <si>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</si>
  <si>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</si>
  <si>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</si>
  <si>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</si>
  <si>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</si>
  <si>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</si>
  <si>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</si>
  <si>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</si>
  <si>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</si>
  <si>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</si>
  <si>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</si>
  <si>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</si>
  <si>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</si>
  <si>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</si>
  <si>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</si>
  <si>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</si>
  <si>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</si>
  <si>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</si>
  <si>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</si>
  <si>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</si>
  <si>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</si>
  <si>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</si>
  <si>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</si>
  <si>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</si>
  <si>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</si>
  <si>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</si>
  <si>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</si>
  <si>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</si>
  <si>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</si>
  <si>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</si>
  <si>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</si>
  <si>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</si>
  <si>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</si>
  <si>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</si>
  <si>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</si>
  <si>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</si>
  <si>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</si>
  <si>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</si>
  <si>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</si>
  <si>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</si>
  <si>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</si>
  <si>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</si>
  <si>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</si>
  <si>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</si>
  <si>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</si>
  <si>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</si>
  <si>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</si>
  <si>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</si>
  <si>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</si>
  <si>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</si>
  <si>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</si>
  <si>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</si>
  <si>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</si>
  <si>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</si>
  <si>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</si>
  <si>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</si>
  <si>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</si>
  <si>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</si>
  <si>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</si>
  <si>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</si>
  <si>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</si>
  <si>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</si>
  <si>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</si>
  <si>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</si>
  <si>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</si>
  <si>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</si>
  <si>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</si>
  <si>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</si>
  <si>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</si>
  <si>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</si>
  <si>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</si>
  <si>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</si>
  <si>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</si>
  <si>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</si>
  <si>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</si>
  <si>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</si>
  <si>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</si>
  <si>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</si>
  <si>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</si>
  <si>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</si>
  <si>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</si>
  <si>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</si>
  <si>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</si>
  <si>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</si>
  <si>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</si>
  <si>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</si>
  <si>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</si>
  <si>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</si>
  <si>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</si>
  <si>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</si>
  <si>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</si>
  <si>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</si>
  <si>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</si>
  <si>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</si>
  <si>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</si>
  <si>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</si>
  <si>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</si>
  <si>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</si>
  <si>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</si>
  <si>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</si>
  <si>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</si>
  <si>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</si>
  <si>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</si>
  <si>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</si>
  <si>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</si>
  <si>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</si>
  <si>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</si>
  <si>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</si>
  <si>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</si>
  <si>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</si>
  <si>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</si>
  <si>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</si>
  <si>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</si>
  <si>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</si>
  <si>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</si>
  <si>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</si>
  <si>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</si>
  <si>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</si>
  <si>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</si>
  <si>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</si>
  <si>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</si>
  <si>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</si>
  <si>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</si>
  <si>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</si>
  <si>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</si>
  <si>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</si>
  <si>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</si>
  <si>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</si>
  <si>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</si>
  <si>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</si>
  <si>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</si>
  <si>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</si>
  <si>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</si>
  <si>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</si>
  <si>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</si>
  <si>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</si>
  <si>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</si>
  <si>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</si>
  <si>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</si>
  <si>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</si>
  <si>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</si>
  <si>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</si>
  <si>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</si>
  <si>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</si>
  <si>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</si>
  <si>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</si>
  <si>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</si>
  <si>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</si>
  <si>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</si>
  <si>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</si>
  <si>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</si>
  <si>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</si>
  <si>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</si>
  <si>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</si>
  <si>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</si>
  <si>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</si>
  <si>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</si>
  <si>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</si>
  <si>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</si>
  <si>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</si>
  <si>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</si>
  <si>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</si>
  <si>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</si>
  <si>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</si>
  <si>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</si>
  <si>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</si>
  <si>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</si>
  <si>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</si>
  <si>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</si>
  <si>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</si>
  <si>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</si>
  <si>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</si>
  <si>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</si>
  <si>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</si>
  <si>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</si>
  <si>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</si>
  <si>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</si>
  <si>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</si>
  <si>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</si>
  <si>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</si>
  <si>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</si>
  <si>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</si>
  <si>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</si>
  <si>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</si>
  <si>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</si>
  <si>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</si>
  <si>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</si>
  <si>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</si>
  <si>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</si>
  <si>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</si>
  <si>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</si>
  <si>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</si>
  <si>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</si>
  <si>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</si>
  <si>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</si>
  <si>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</si>
  <si>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</si>
  <si>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</si>
  <si>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</si>
  <si>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</si>
  <si>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</si>
  <si>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</si>
  <si>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</si>
  <si>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</si>
  <si>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</si>
  <si>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</si>
  <si>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</si>
  <si>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</si>
  <si>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</si>
  <si>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</si>
  <si>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</si>
  <si>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</si>
  <si>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</si>
  <si>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</si>
  <si>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</si>
  <si>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</si>
  <si>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</si>
  <si>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</si>
  <si>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</si>
  <si>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</si>
  <si>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</si>
  <si>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</si>
  <si>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</si>
  <si>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</si>
  <si>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</si>
  <si>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</si>
  <si>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Y</t>
  </si>
  <si>
    <t>N</t>
  </si>
  <si>
    <t>Contributions in Aid of Construction</t>
  </si>
  <si>
    <t>Utility Name: Innisfil Hydro Distribution Systems Limited</t>
  </si>
  <si>
    <r>
      <t xml:space="preserve">Interest Adjustment for tax purposes   </t>
    </r>
    <r>
      <rPr>
        <b/>
        <sz val="10"/>
        <rFont val="Arial"/>
        <family val="2"/>
      </rPr>
      <t>(See Below - cell E204)</t>
    </r>
  </si>
  <si>
    <t>TRUE-UP VARIANCE (from cell E130)</t>
  </si>
  <si>
    <t>Interest Adjustment for Tax Purposes  (carry forward to Cell E110)</t>
  </si>
  <si>
    <t>PILs TAXES  EB-2011-XXXX</t>
  </si>
  <si>
    <t>Loss carry forward (2001)</t>
  </si>
  <si>
    <t>From the 2002 tax return excluding the loss carryfwd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</si>
</sst>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41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PageLayoutView="0" workbookViewId="0" topLeftCell="A16">
      <selection activeCell="D62" sqref="D6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498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494</v>
      </c>
      <c r="C3" s="8"/>
      <c r="D3" s="454" t="s">
        <v>447</v>
      </c>
      <c r="E3" s="8"/>
      <c r="F3" s="8"/>
      <c r="G3" s="8"/>
      <c r="H3" s="8"/>
    </row>
    <row r="4" spans="1:8" ht="12.75">
      <c r="A4" s="2" t="s">
        <v>475</v>
      </c>
      <c r="C4" s="8"/>
      <c r="D4" s="453" t="s">
        <v>442</v>
      </c>
      <c r="E4" s="427"/>
      <c r="H4" s="8"/>
    </row>
    <row r="5" spans="1:8" ht="12.75">
      <c r="A5" s="52"/>
      <c r="C5" s="8"/>
      <c r="D5" s="452" t="s">
        <v>443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5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5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5" t="s">
        <v>492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0" t="s">
        <v>316</v>
      </c>
      <c r="B19" s="8" t="s">
        <v>313</v>
      </c>
      <c r="C19" s="8" t="s">
        <v>64</v>
      </c>
      <c r="D19" s="486" t="s">
        <v>492</v>
      </c>
    </row>
    <row r="20" spans="1:4" ht="13.5" thickBot="1">
      <c r="A20" s="491"/>
      <c r="B20" s="8" t="s">
        <v>314</v>
      </c>
      <c r="C20" s="8" t="s">
        <v>64</v>
      </c>
      <c r="D20" s="485" t="s">
        <v>492</v>
      </c>
    </row>
    <row r="21" spans="1:4" ht="12.75">
      <c r="A21" s="490" t="s">
        <v>312</v>
      </c>
      <c r="B21" s="8" t="s">
        <v>313</v>
      </c>
      <c r="C21" s="8"/>
      <c r="D21" s="422">
        <v>1</v>
      </c>
    </row>
    <row r="22" spans="1:4" ht="12.75">
      <c r="A22" s="490"/>
      <c r="B22" s="8" t="s">
        <v>314</v>
      </c>
      <c r="C22" s="8"/>
      <c r="D22" s="422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3" t="s">
        <v>476</v>
      </c>
    </row>
    <row r="25" ht="6.75" customHeight="1" thickBot="1">
      <c r="A25" s="12"/>
    </row>
    <row r="26" spans="1:5" ht="12.75">
      <c r="A26" s="255" t="s">
        <v>67</v>
      </c>
      <c r="C26" s="8"/>
      <c r="E26" s="442" t="s">
        <v>297</v>
      </c>
    </row>
    <row r="27" spans="1:5" ht="12.75">
      <c r="A27" s="256" t="s">
        <v>68</v>
      </c>
      <c r="C27" s="8"/>
      <c r="E27" s="443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0">
        <v>20162592</v>
      </c>
      <c r="H31" s="5"/>
    </row>
    <row r="32" ht="6" customHeight="1"/>
    <row r="33" spans="1:8" ht="12.75">
      <c r="A33" t="s">
        <v>71</v>
      </c>
      <c r="D33" s="42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1">
        <v>0.0988</v>
      </c>
      <c r="H37" s="41"/>
    </row>
    <row r="38" ht="4.5" customHeight="1">
      <c r="H38" s="34"/>
    </row>
    <row r="39" spans="1:8" ht="12.75">
      <c r="A39" t="s">
        <v>74</v>
      </c>
      <c r="D39" s="421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1726926.0048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1152733</v>
      </c>
      <c r="E43" s="387">
        <f>D43</f>
        <v>1152733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574193.0048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5">
        <v>191398</v>
      </c>
      <c r="E47" s="387">
        <f aca="true" t="shared" si="0" ref="E47:E53">D47</f>
        <v>191398</v>
      </c>
      <c r="H47" s="40"/>
      <c r="J47" s="5"/>
      <c r="K47" s="5"/>
    </row>
    <row r="48" spans="1:11" ht="12.75">
      <c r="A48" t="s">
        <v>290</v>
      </c>
      <c r="D48" s="425">
        <v>191398</v>
      </c>
      <c r="E48" s="387">
        <f>D48</f>
        <v>191398</v>
      </c>
      <c r="F48" s="22"/>
      <c r="H48" s="40"/>
      <c r="J48" s="5"/>
      <c r="K48" s="5"/>
    </row>
    <row r="49" spans="1:11" ht="12.75">
      <c r="A49" t="s">
        <v>291</v>
      </c>
      <c r="D49" s="426">
        <v>191398</v>
      </c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7"/>
      <c r="E50" s="387">
        <f t="shared" si="0"/>
        <v>0</v>
      </c>
      <c r="H50" s="40"/>
      <c r="J50" s="5"/>
      <c r="K50" s="5"/>
    </row>
    <row r="51" spans="1:11" ht="12.75">
      <c r="A51" t="s">
        <v>439</v>
      </c>
      <c r="D51" s="427"/>
      <c r="E51" s="387">
        <f t="shared" si="0"/>
        <v>0</v>
      </c>
      <c r="H51" s="40"/>
      <c r="J51" s="5"/>
      <c r="K51" s="5"/>
    </row>
    <row r="52" spans="1:11" ht="12.75">
      <c r="A52" t="s">
        <v>462</v>
      </c>
      <c r="D52" s="427"/>
      <c r="E52" s="387">
        <f t="shared" si="0"/>
        <v>0</v>
      </c>
      <c r="H52" s="40"/>
      <c r="J52" s="5"/>
      <c r="K52" s="5"/>
    </row>
    <row r="53" spans="4:11" ht="12.75">
      <c r="D53" s="427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1535529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10081296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996032.0448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10081296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730893.96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568882.0636310566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649888.2224168126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649888.2224168126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730893.96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69">
      <selection activeCell="E203" sqref="E20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 EB-2011-XXXX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/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Innisfil Hydro Distribution Systems Limited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8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8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1535529</v>
      </c>
      <c r="D16" s="17"/>
      <c r="E16" s="267">
        <f>G16-C16</f>
        <v>-90172</v>
      </c>
      <c r="F16" s="3"/>
      <c r="G16" s="267">
        <f>TAXREC!E50</f>
        <v>1445357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1222162</v>
      </c>
      <c r="D20" s="18"/>
      <c r="E20" s="267">
        <f>G20-C20</f>
        <v>218550</v>
      </c>
      <c r="F20" s="6"/>
      <c r="G20" s="267">
        <f>TAXREC!E61</f>
        <v>1440712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448143</v>
      </c>
      <c r="F28" s="6"/>
      <c r="G28" s="267">
        <f>TAXREC!E67</f>
        <v>448143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1" t="s">
        <v>395</v>
      </c>
      <c r="B30" s="127"/>
      <c r="C30" s="259"/>
      <c r="D30" s="18"/>
      <c r="E30" s="267">
        <f>G30-C30</f>
        <v>67683</v>
      </c>
      <c r="F30" s="6"/>
      <c r="G30" s="267">
        <f>TAXREC!E66</f>
        <v>67683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777095</v>
      </c>
      <c r="D33" s="132"/>
      <c r="E33" s="267">
        <f aca="true" t="shared" si="0" ref="E33:E42">G33-C33</f>
        <v>601887</v>
      </c>
      <c r="F33" s="6"/>
      <c r="G33" s="267">
        <f>TAXREC!E97+TAXREC!E98</f>
        <v>1378982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649888.2224168126</v>
      </c>
      <c r="D37" s="132"/>
      <c r="E37" s="267">
        <f t="shared" si="0"/>
        <v>350368.77758318745</v>
      </c>
      <c r="F37" s="6"/>
      <c r="G37" s="267">
        <f>TAXREC!E51</f>
        <v>1000257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448143</v>
      </c>
      <c r="F46" s="6"/>
      <c r="G46" s="251">
        <f>TAXREC!E110</f>
        <v>448143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1" t="s">
        <v>395</v>
      </c>
      <c r="B48" s="127"/>
      <c r="C48" s="259"/>
      <c r="D48" s="132"/>
      <c r="E48" s="267">
        <f>G48-C48</f>
        <v>97284.856</v>
      </c>
      <c r="F48" s="6"/>
      <c r="G48" s="251">
        <f>TAXREC!E108</f>
        <v>97284.856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1330707.7775831874</v>
      </c>
      <c r="D50" s="102"/>
      <c r="E50" s="263">
        <f>E16+SUM(E20:E30)-SUM(E33:E48)</f>
        <v>-853479.6335831874</v>
      </c>
      <c r="F50" s="430"/>
      <c r="G50" s="263">
        <f>G16+SUM(G20:G30)-SUM(G33:G48)</f>
        <v>477228.14399999985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-0.06499607303810845</v>
      </c>
      <c r="F53" s="114"/>
      <c r="G53" s="472">
        <f>TAXREC!E151</f>
        <v>0.32120392696189154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513919.343702627</v>
      </c>
      <c r="D55" s="102"/>
      <c r="E55" s="267">
        <f>G55-C55</f>
        <v>-475758.343702627</v>
      </c>
      <c r="F55" s="430" t="s">
        <v>368</v>
      </c>
      <c r="G55" s="264">
        <f>TAXREC!E144</f>
        <v>38161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0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513919.343702627</v>
      </c>
      <c r="D60" s="133"/>
      <c r="E60" s="269">
        <f>+E55-E58</f>
        <v>-475758.343702627</v>
      </c>
      <c r="F60" s="430" t="s">
        <v>368</v>
      </c>
      <c r="G60" s="269">
        <f>+G55-G58</f>
        <v>38161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20162592</v>
      </c>
      <c r="D66" s="102"/>
      <c r="E66" s="267">
        <f>G66-C66</f>
        <v>2762478</v>
      </c>
      <c r="F66" s="6"/>
      <c r="G66" s="474">
        <f>22925070</f>
        <v>22925070</v>
      </c>
      <c r="H66" s="151"/>
      <c r="I66" s="475" t="s">
        <v>474</v>
      </c>
    </row>
    <row r="67" spans="1:9" ht="12.75">
      <c r="A67" s="152" t="s">
        <v>361</v>
      </c>
      <c r="B67" s="125">
        <v>16</v>
      </c>
      <c r="C67" s="260">
        <f>IF(C66&gt;0,'Tax Rates'!C21,0)</f>
        <v>5000000</v>
      </c>
      <c r="D67" s="102"/>
      <c r="E67" s="267">
        <f>G67-C67</f>
        <v>-50882</v>
      </c>
      <c r="F67" s="6"/>
      <c r="G67" s="264">
        <f>'Tax Rates'!C57</f>
        <v>4949118</v>
      </c>
      <c r="H67" s="151"/>
      <c r="I67" s="475"/>
    </row>
    <row r="68" spans="1:8" ht="12.75">
      <c r="A68" s="152" t="s">
        <v>42</v>
      </c>
      <c r="B68" s="125"/>
      <c r="C68" s="264">
        <f>IF((C66-C67)&gt;0,C66-C67,0)</f>
        <v>15162592</v>
      </c>
      <c r="D68" s="102"/>
      <c r="E68" s="267">
        <f>SUM(E66:E67)</f>
        <v>2711596</v>
      </c>
      <c r="F68" s="114"/>
      <c r="G68" s="264">
        <f>G66-G67</f>
        <v>17975952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362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45487.776</v>
      </c>
      <c r="D72" s="101"/>
      <c r="E72" s="267">
        <f>+G72-C72</f>
        <v>8440.080000000009</v>
      </c>
      <c r="F72" s="476"/>
      <c r="G72" s="264">
        <f>IF(G68&gt;0,G68*G70,0)*REGINFO!$B$6/REGINFO!$B$7</f>
        <v>53927.85600000001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20162592</v>
      </c>
      <c r="D75" s="102"/>
      <c r="E75" s="267">
        <f>+G75-C75</f>
        <v>2383104</v>
      </c>
      <c r="F75" s="6"/>
      <c r="G75" s="474">
        <v>22545696</v>
      </c>
      <c r="H75" s="151"/>
      <c r="I75" s="475" t="s">
        <v>474</v>
      </c>
    </row>
    <row r="76" spans="1:9" ht="12.75">
      <c r="A76" s="152" t="s">
        <v>361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4">
        <f>'Tax Rates'!C58</f>
        <v>10000000</v>
      </c>
      <c r="H76" s="151"/>
      <c r="I76" s="475"/>
    </row>
    <row r="77" spans="1:8" ht="12.75">
      <c r="A77" s="152" t="s">
        <v>42</v>
      </c>
      <c r="B77" s="125"/>
      <c r="C77" s="264">
        <f>IF((C75-C76)&gt;0,C75-C76,0)</f>
        <v>10162592</v>
      </c>
      <c r="D77" s="19"/>
      <c r="E77" s="267">
        <f>SUM(E75:E76)</f>
        <v>2383104</v>
      </c>
      <c r="F77" s="114"/>
      <c r="G77" s="264">
        <f>G75-G76</f>
        <v>12545696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362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22865.832</v>
      </c>
      <c r="D81" s="102"/>
      <c r="E81" s="267">
        <f>+G81-C81</f>
        <v>5361.984</v>
      </c>
      <c r="F81" s="6"/>
      <c r="G81" s="264">
        <f>G77*G79*B9/B10</f>
        <v>28227.816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14903.927108931699</v>
      </c>
      <c r="D82" s="102"/>
      <c r="E82" s="267">
        <f>+G82-C82</f>
        <v>-13572.927108931699</v>
      </c>
      <c r="F82" s="6"/>
      <c r="G82" s="474">
        <v>1331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7961.9048910683</v>
      </c>
      <c r="D84" s="16"/>
      <c r="E84" s="267">
        <f>E81-E82</f>
        <v>18934.9111089317</v>
      </c>
      <c r="F84" s="103"/>
      <c r="G84" s="264">
        <f>G81-G82</f>
        <v>26896.816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822270.9499242032</v>
      </c>
      <c r="D90" s="20"/>
      <c r="E90" s="139"/>
      <c r="F90" s="429" t="s">
        <v>484</v>
      </c>
      <c r="G90" s="270">
        <f>TAXREC!E156</f>
        <v>38161</v>
      </c>
      <c r="H90" s="151"/>
    </row>
    <row r="91" spans="1:8" ht="12.75">
      <c r="A91" s="158" t="s">
        <v>370</v>
      </c>
      <c r="B91" s="127">
        <v>23</v>
      </c>
      <c r="C91" s="264">
        <f>C84/(1-C88)</f>
        <v>12739.04782570928</v>
      </c>
      <c r="D91" s="20"/>
      <c r="E91" s="139"/>
      <c r="F91" s="429" t="s">
        <v>484</v>
      </c>
      <c r="G91" s="270">
        <f>TAXREC!E158</f>
        <v>26897</v>
      </c>
      <c r="H91" s="151"/>
    </row>
    <row r="92" spans="1:8" ht="12.75">
      <c r="A92" s="158" t="s">
        <v>349</v>
      </c>
      <c r="B92" s="127">
        <v>24</v>
      </c>
      <c r="C92" s="264">
        <f>C72</f>
        <v>45487.776</v>
      </c>
      <c r="D92" s="20"/>
      <c r="E92" s="139"/>
      <c r="F92" s="429" t="s">
        <v>484</v>
      </c>
      <c r="G92" s="270">
        <f>TAXREC!E157</f>
        <v>53927.85600000001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485</v>
      </c>
      <c r="B95" s="125">
        <v>25</v>
      </c>
      <c r="C95" s="269">
        <f>SUM(C90:C93)</f>
        <v>880497.7737499125</v>
      </c>
      <c r="D95" s="6"/>
      <c r="E95" s="139"/>
      <c r="F95" s="429" t="s">
        <v>484</v>
      </c>
      <c r="G95" s="412">
        <f>SUM(G90:G94)</f>
        <v>118985.856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347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364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365</v>
      </c>
      <c r="B107" s="127">
        <v>6</v>
      </c>
      <c r="C107" s="112"/>
      <c r="D107" s="3"/>
      <c r="E107" s="251">
        <f>E28</f>
        <v>448143</v>
      </c>
      <c r="F107" s="37"/>
      <c r="G107" s="201"/>
      <c r="H107" s="164"/>
    </row>
    <row r="108" spans="1:8" ht="12.75">
      <c r="A108" s="156" t="s">
        <v>363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88" t="s">
        <v>495</v>
      </c>
      <c r="B112" s="127">
        <v>11</v>
      </c>
      <c r="C112" s="112"/>
      <c r="D112" s="3"/>
      <c r="E112" s="471">
        <f>E206</f>
        <v>73786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366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367</v>
      </c>
      <c r="B118" s="127">
        <v>12</v>
      </c>
      <c r="C118" s="112"/>
      <c r="D118" s="3"/>
      <c r="E118" s="251">
        <f>E46</f>
        <v>448143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-73786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68">
        <f>'Tax Rates'!F52</f>
        <v>0.3862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-28496.1532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-28496.1532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8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353</v>
      </c>
      <c r="B132" s="130"/>
      <c r="C132" s="112"/>
      <c r="D132" s="3"/>
      <c r="E132" s="263">
        <f>E128/(1-E130)</f>
        <v>-45593.84512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356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1330707.7775831874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8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513919.343702627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513919.343702627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513919.343702627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20162592</v>
      </c>
      <c r="F151" s="37"/>
      <c r="G151" s="201"/>
      <c r="H151" s="164"/>
    </row>
    <row r="152" spans="1:8" ht="12.75">
      <c r="A152" s="171" t="s">
        <v>359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15162592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360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45487.776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45487.776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3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20162592</v>
      </c>
      <c r="F162" s="37"/>
      <c r="G162" s="201"/>
      <c r="H162" s="164"/>
    </row>
    <row r="163" spans="1:8" ht="12.75">
      <c r="A163" s="171" t="s">
        <v>358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10162592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22865.832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14903.927108931699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7961.9048910683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3" t="s">
        <v>348</v>
      </c>
      <c r="B172" s="130"/>
      <c r="C172" s="112"/>
      <c r="D172" s="118" t="s">
        <v>188</v>
      </c>
      <c r="E172" s="305">
        <f>C84</f>
        <v>7961.9048910683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3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346</v>
      </c>
      <c r="B175" s="130"/>
      <c r="C175" s="112"/>
      <c r="D175" s="119"/>
      <c r="E175" s="468">
        <f>IF((E120+G50)&gt;'Tax Rates'!E47,'Tax Rates'!F52-1.12%,IF((E120+G50)&gt;'Tax Rates'!D47,'Tax Rates'!E52-1.12%,IF((E120+G50)&gt;'Tax Rates'!C47,'Tax Rates'!D52,'Tax Rates'!C52-1.12%)))</f>
        <v>0.31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354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496</v>
      </c>
      <c r="B183" s="130"/>
      <c r="C183" s="112"/>
      <c r="D183" s="119" t="s">
        <v>187</v>
      </c>
      <c r="E183" s="302">
        <f>E132</f>
        <v>-45593.84512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355</v>
      </c>
      <c r="B185" s="130"/>
      <c r="C185" s="112"/>
      <c r="D185" s="119" t="s">
        <v>189</v>
      </c>
      <c r="E185" s="302">
        <f>E181+E183</f>
        <v>-45593.84512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730893.96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649888.2224168126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81005.73758318741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3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1000257</v>
      </c>
      <c r="F201" s="3"/>
      <c r="G201" s="483"/>
      <c r="H201" s="164"/>
    </row>
    <row r="202" spans="1:8" ht="12.75">
      <c r="A202" s="155" t="s">
        <v>345</v>
      </c>
      <c r="B202" s="127"/>
      <c r="C202" s="112"/>
      <c r="D202" s="120"/>
      <c r="E202" s="308">
        <v>926471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73786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497</v>
      </c>
      <c r="B206" s="127"/>
      <c r="C206" s="112"/>
      <c r="D206" s="120"/>
      <c r="E206" s="470">
        <f>IF((E201-E202)&gt;0,E201-E202,0)</f>
        <v>73786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7219.737583187409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workbookViewId="0" topLeftCell="A110">
      <selection activeCell="C158" sqref="C15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 EB-2011-XXXX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/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4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f>0.0025*Ratebase*REGINFO!D33</f>
        <v>25203.24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14647965</v>
      </c>
      <c r="D31" s="286"/>
      <c r="E31" s="284">
        <f>C31-D31</f>
        <v>14647965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4848460</v>
      </c>
      <c r="D32" s="286"/>
      <c r="E32" s="284">
        <f>C32-D32</f>
        <v>4848460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431385</v>
      </c>
      <c r="D33" s="286"/>
      <c r="E33" s="284">
        <f>C33-D33</f>
        <v>431385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14647965</v>
      </c>
      <c r="D39" s="286"/>
      <c r="E39" s="284">
        <f>C39-D39</f>
        <v>14647965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3834488-C43-C44</f>
        <v>2343876</v>
      </c>
      <c r="D40" s="286"/>
      <c r="E40" s="284">
        <f aca="true" t="shared" si="0" ref="E40:E48">C40-D40</f>
        <v>2343876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1440712</v>
      </c>
      <c r="D43" s="286"/>
      <c r="E43" s="284">
        <f t="shared" si="0"/>
        <v>1440712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49900</v>
      </c>
      <c r="D44" s="286"/>
      <c r="E44" s="284">
        <f t="shared" si="0"/>
        <v>49900</v>
      </c>
      <c r="F44" s="11"/>
      <c r="G44" s="11"/>
      <c r="H44" s="6"/>
      <c r="I44" s="6"/>
    </row>
    <row r="45" spans="1:11" ht="12.75">
      <c r="A45" s="4" t="s">
        <v>490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1445357</v>
      </c>
      <c r="D50" s="281">
        <f>SUM(D31:D36)-SUM(D39:D49)</f>
        <v>0</v>
      </c>
      <c r="E50" s="281">
        <f>SUM(E31:E35)-SUM(E39:E48)</f>
        <v>1445357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1000257</v>
      </c>
      <c r="D51" s="285"/>
      <c r="E51" s="282">
        <f>+C51-D51</f>
        <v>1000257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112000</v>
      </c>
      <c r="D52" s="285"/>
      <c r="E52" s="283">
        <f>+C52-D52</f>
        <v>112000</v>
      </c>
      <c r="F52" s="8"/>
    </row>
    <row r="53" spans="1:6" ht="12.75">
      <c r="A53" s="2" t="s">
        <v>131</v>
      </c>
      <c r="B53" s="8" t="s">
        <v>189</v>
      </c>
      <c r="C53" s="281">
        <f>C50-C51-C52</f>
        <v>333100</v>
      </c>
      <c r="D53" s="281">
        <f>D50-D51-D52</f>
        <v>0</v>
      </c>
      <c r="E53" s="281">
        <f>E50-E51-E52</f>
        <v>333100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112000</v>
      </c>
      <c r="D59" s="287">
        <f>D52</f>
        <v>0</v>
      </c>
      <c r="E59" s="272">
        <f>+C59-D59</f>
        <v>112000</v>
      </c>
      <c r="F59" s="8"/>
    </row>
    <row r="60" spans="1:6" ht="12.75">
      <c r="A60" s="4" t="s">
        <v>327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1440712</v>
      </c>
      <c r="D61" s="287">
        <f>D43</f>
        <v>0</v>
      </c>
      <c r="E61" s="272">
        <f>+C61-D61</f>
        <v>1440712</v>
      </c>
      <c r="F61" s="8"/>
      <c r="G61" s="414"/>
    </row>
    <row r="62" spans="1:6" ht="12.75">
      <c r="A62" t="s">
        <v>6</v>
      </c>
      <c r="B62" s="8" t="s">
        <v>187</v>
      </c>
      <c r="C62" s="317"/>
      <c r="D62" s="317"/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6" t="s">
        <v>395</v>
      </c>
      <c r="B66" s="8"/>
      <c r="C66" s="445">
        <f>'TAXREC 3 No True-up'!C47</f>
        <v>67683</v>
      </c>
      <c r="D66" s="445">
        <f>'TAXREC 3 No True-up'!D47</f>
        <v>0</v>
      </c>
      <c r="E66" s="272">
        <f>+C66-D66</f>
        <v>67683</v>
      </c>
      <c r="F66" s="8"/>
    </row>
    <row r="67" spans="1:6" ht="12.75">
      <c r="A67" t="s">
        <v>160</v>
      </c>
      <c r="B67" s="8" t="s">
        <v>187</v>
      </c>
      <c r="C67" s="251">
        <f>'TAXREC 2'!C77</f>
        <v>448143</v>
      </c>
      <c r="D67" s="251">
        <f>'TAXREC 2'!D77</f>
        <v>0</v>
      </c>
      <c r="E67" s="272">
        <f>+C67-D67</f>
        <v>448143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2068538</v>
      </c>
      <c r="D70" s="272">
        <f>SUM(D59:D68)</f>
        <v>0</v>
      </c>
      <c r="E70" s="272">
        <f>SUM(E59:E68)</f>
        <v>2068538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478</v>
      </c>
      <c r="B76" s="8" t="s">
        <v>187</v>
      </c>
      <c r="C76" s="477"/>
      <c r="D76" s="294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2068538</v>
      </c>
      <c r="D82" s="251">
        <f>D70+D80</f>
        <v>0</v>
      </c>
      <c r="E82" s="251">
        <f>E70+E80</f>
        <v>2068538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1336459</v>
      </c>
      <c r="D97" s="294"/>
      <c r="E97" s="272">
        <f>+C97-D97</f>
        <v>1336459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42523</v>
      </c>
      <c r="D98" s="294"/>
      <c r="E98" s="272">
        <f>+C98-D98</f>
        <v>42523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395</v>
      </c>
      <c r="B108" s="8"/>
      <c r="C108" s="254">
        <f>'TAXREC 3 No True-up'!C73</f>
        <v>97284.856</v>
      </c>
      <c r="D108" s="254">
        <f>'TAXREC 3 No True-up'!D73</f>
        <v>0</v>
      </c>
      <c r="E108" s="272">
        <f t="shared" si="5"/>
        <v>97284.856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448143</v>
      </c>
      <c r="D110" s="251">
        <f>'TAXREC 2'!D119</f>
        <v>0</v>
      </c>
      <c r="E110" s="251">
        <f>'TAXREC 2'!E119</f>
        <v>448143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1924409.856</v>
      </c>
      <c r="D113" s="251">
        <f>SUM(D97:D111)</f>
        <v>0</v>
      </c>
      <c r="E113" s="251">
        <f>SUM(E97:E111)</f>
        <v>1924409.856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1924409.856</v>
      </c>
      <c r="D122" s="251">
        <f>D113+D120</f>
        <v>0</v>
      </c>
      <c r="E122" s="251">
        <f>+E113+E120</f>
        <v>1924409.856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477228.1440000001</v>
      </c>
      <c r="D134" s="251">
        <f>D53+D82-D122</f>
        <v>0</v>
      </c>
      <c r="E134" s="251">
        <f>E53+E82-E122</f>
        <v>477228.1440000001</v>
      </c>
      <c r="F134" s="8"/>
      <c r="G134" s="45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K135" s="45"/>
    </row>
    <row r="136" spans="1:11" ht="12.75">
      <c r="A136" s="12" t="s">
        <v>375</v>
      </c>
      <c r="B136" s="8" t="s">
        <v>188</v>
      </c>
      <c r="C136" s="294">
        <v>358422</v>
      </c>
      <c r="D136" s="294"/>
      <c r="E136" s="264">
        <f>C136-D136</f>
        <v>358422</v>
      </c>
      <c r="F136" s="8"/>
      <c r="G136" s="45"/>
      <c r="H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118806.14400000009</v>
      </c>
      <c r="D139" s="252">
        <f>D134-D136-D137-D138</f>
        <v>0</v>
      </c>
      <c r="E139" s="252">
        <f>E134-E136-E137-E138</f>
        <v>118806.14400000009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31032</v>
      </c>
      <c r="D142" s="298"/>
      <c r="E142" s="252">
        <f>C142-D142</f>
        <v>31032</v>
      </c>
      <c r="F142" s="8"/>
      <c r="G142" s="45" t="s">
        <v>500</v>
      </c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7129</v>
      </c>
      <c r="D143" s="298"/>
      <c r="E143" s="292">
        <f>C143-D143</f>
        <v>7129</v>
      </c>
      <c r="F143" s="8"/>
      <c r="G143" s="45" t="s">
        <v>500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38161</v>
      </c>
      <c r="D144" s="252">
        <f>D142+D143</f>
        <v>0</v>
      </c>
      <c r="E144" s="252">
        <f>E142+E143</f>
        <v>38161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/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38161</v>
      </c>
      <c r="D146" s="252">
        <f>D144-D145</f>
        <v>0</v>
      </c>
      <c r="E146" s="252">
        <f>E144-E145</f>
        <v>38161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89">
        <f>C142/C139</f>
        <v>0.26119861275861267</v>
      </c>
      <c r="D149" s="5"/>
      <c r="E149" s="404">
        <f>C149</f>
        <v>0.26119861275861267</v>
      </c>
      <c r="F149" s="8"/>
      <c r="G149" s="45" t="s">
        <v>469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89">
        <f>C143/C139</f>
        <v>0.06000531420327887</v>
      </c>
      <c r="D150" s="5"/>
      <c r="E150" s="404">
        <f>C150</f>
        <v>0.06000531420327887</v>
      </c>
      <c r="F150" s="8"/>
      <c r="G150" s="45" t="s">
        <v>470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4">
        <f>SUM(C149:C150)</f>
        <v>0.32120392696189154</v>
      </c>
      <c r="D151" s="482"/>
      <c r="E151" s="404">
        <f>SUM(E149:E150)</f>
        <v>0.32120392696189154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357</v>
      </c>
      <c r="B153" s="8"/>
    </row>
    <row r="154" spans="1:2" ht="12.75">
      <c r="A154" s="14"/>
      <c r="B154" s="8"/>
    </row>
    <row r="155" spans="1:2" ht="12.75">
      <c r="A155" s="2" t="s">
        <v>483</v>
      </c>
      <c r="B155" s="8"/>
    </row>
    <row r="156" spans="1:5" ht="12.75">
      <c r="A156" t="s">
        <v>219</v>
      </c>
      <c r="B156" s="86" t="s">
        <v>187</v>
      </c>
      <c r="C156" s="251">
        <f>C146</f>
        <v>38161</v>
      </c>
      <c r="D156" s="251">
        <f>D146</f>
        <v>0</v>
      </c>
      <c r="E156" s="251">
        <f>E146</f>
        <v>38161</v>
      </c>
    </row>
    <row r="157" spans="1:5" ht="12.75">
      <c r="A157" t="s">
        <v>20</v>
      </c>
      <c r="B157" s="86" t="s">
        <v>187</v>
      </c>
      <c r="C157" s="251">
        <f>TAXCALC!G72</f>
        <v>53927.85600000001</v>
      </c>
      <c r="D157" s="251"/>
      <c r="E157" s="251">
        <f>C157+D157</f>
        <v>53927.85600000001</v>
      </c>
    </row>
    <row r="158" spans="1:5" ht="12.75">
      <c r="A158" t="s">
        <v>218</v>
      </c>
      <c r="B158" s="86" t="s">
        <v>187</v>
      </c>
      <c r="C158" s="479">
        <v>26897</v>
      </c>
      <c r="D158" s="251"/>
      <c r="E158" s="251">
        <f>C158+D158</f>
        <v>26897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118985.856</v>
      </c>
      <c r="D160" s="251">
        <f>D156+D157+D158</f>
        <v>0</v>
      </c>
      <c r="E160" s="251">
        <f>E156+E157+E158</f>
        <v>118985.856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 EB-2011-XXXX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PageLayoutView="0" workbookViewId="0" topLeftCell="A1">
      <pane xSplit="1" ySplit="6" topLeftCell="B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8" sqref="B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 EB-2011-XXXX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466</v>
      </c>
      <c r="B5" s="8"/>
      <c r="C5" s="8" t="s">
        <v>2</v>
      </c>
      <c r="D5" s="8"/>
      <c r="E5" s="8"/>
      <c r="F5" s="8"/>
    </row>
    <row r="6" spans="1:6" ht="12.75">
      <c r="A6" s="414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Innisfil Hydro Distribution Systems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25203.24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450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477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487" t="s">
        <v>493</v>
      </c>
      <c r="B37" t="s">
        <v>187</v>
      </c>
      <c r="C37" s="295">
        <v>448143</v>
      </c>
      <c r="D37" s="295"/>
      <c r="E37" s="312">
        <f t="shared" si="0"/>
        <v>448143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448143</v>
      </c>
      <c r="D46" s="251">
        <f>SUM(D17:D45)</f>
        <v>0</v>
      </c>
      <c r="E46" s="251">
        <f>SUM(E17:E45)</f>
        <v>448143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Contributions in Aid of Construction</v>
      </c>
      <c r="B68" s="273"/>
      <c r="C68" s="251">
        <f t="shared" si="3"/>
        <v>448143</v>
      </c>
      <c r="D68" s="251">
        <f t="shared" si="3"/>
        <v>0</v>
      </c>
      <c r="E68" s="251">
        <f t="shared" si="3"/>
        <v>448143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448143</v>
      </c>
      <c r="D77" s="251">
        <f>SUM(D49:D75)</f>
        <v>0</v>
      </c>
      <c r="E77" s="251">
        <f>SUM(E49:E75)</f>
        <v>448143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448143</v>
      </c>
      <c r="D79" s="314">
        <f>D77+D78</f>
        <v>0</v>
      </c>
      <c r="E79" s="314">
        <f>E77+E78</f>
        <v>448143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87" t="s">
        <v>493</v>
      </c>
      <c r="B92" s="8" t="s">
        <v>188</v>
      </c>
      <c r="C92" s="294">
        <v>448143</v>
      </c>
      <c r="D92" s="294"/>
      <c r="E92" s="251">
        <f t="shared" si="5"/>
        <v>448143</v>
      </c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/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448143</v>
      </c>
      <c r="D99" s="251">
        <f>SUM(D82:D98)</f>
        <v>0</v>
      </c>
      <c r="E99" s="251">
        <f>SUM(E82:E98)</f>
        <v>448143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 aca="true" t="shared" si="8" ref="A112:A118">IF($E92&gt;$C$11,A92," ")</f>
        <v>Contributions in Aid of Construction</v>
      </c>
      <c r="B112" s="273"/>
      <c r="C112" s="251">
        <f t="shared" si="7"/>
        <v>448143</v>
      </c>
      <c r="D112" s="251">
        <f t="shared" si="7"/>
        <v>0</v>
      </c>
      <c r="E112" s="251">
        <f t="shared" si="7"/>
        <v>448143</v>
      </c>
    </row>
    <row r="113" spans="1:5" ht="12.75">
      <c r="A113" s="275" t="str">
        <f t="shared" si="8"/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 t="shared" si="8"/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 t="shared" si="8"/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 t="shared" si="8"/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 t="shared" si="8"/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 t="shared" si="8"/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448143</v>
      </c>
      <c r="D119" s="251">
        <f>SUM(D102:D118)</f>
        <v>0</v>
      </c>
      <c r="E119" s="251">
        <f>SUM(E102:E118)</f>
        <v>448143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448143</v>
      </c>
      <c r="D121" s="251">
        <f>D119+D120</f>
        <v>0</v>
      </c>
      <c r="E121" s="251">
        <f>E119+E120</f>
        <v>448143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8" sqref="C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 EB-2011-XXXX</v>
      </c>
    </row>
    <row r="3" spans="1:5" ht="12.75">
      <c r="A3" s="2" t="s">
        <v>385</v>
      </c>
      <c r="E3" s="92"/>
    </row>
    <row r="4" spans="1:6" ht="15.75">
      <c r="A4" s="463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Innisfil Hydro Distribution Systems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391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455</v>
      </c>
      <c r="B24" t="s">
        <v>187</v>
      </c>
      <c r="C24" s="295">
        <v>4083</v>
      </c>
      <c r="D24" s="295"/>
      <c r="E24" s="312">
        <f t="shared" si="0"/>
        <v>4083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433</v>
      </c>
      <c r="B32" t="s">
        <v>187</v>
      </c>
      <c r="C32" s="295">
        <v>1000</v>
      </c>
      <c r="D32" s="295"/>
      <c r="E32" s="312">
        <f t="shared" si="0"/>
        <v>1000</v>
      </c>
    </row>
    <row r="33" spans="1:5" ht="12.75">
      <c r="A33" s="67" t="s">
        <v>434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452</v>
      </c>
      <c r="C35" s="295"/>
      <c r="D35" s="295"/>
      <c r="E35" s="312">
        <f t="shared" si="0"/>
        <v>0</v>
      </c>
    </row>
    <row r="36" spans="1:5" ht="12.75">
      <c r="A36" s="67" t="s">
        <v>435</v>
      </c>
      <c r="C36" s="295"/>
      <c r="D36" s="295"/>
      <c r="E36" s="312">
        <f t="shared" si="0"/>
        <v>0</v>
      </c>
    </row>
    <row r="37" spans="1:5" ht="12.75">
      <c r="A37" s="67" t="s">
        <v>436</v>
      </c>
      <c r="C37" s="295"/>
      <c r="D37" s="295"/>
      <c r="E37" s="312">
        <f t="shared" si="0"/>
        <v>0</v>
      </c>
    </row>
    <row r="38" spans="1:5" ht="12.75">
      <c r="A38" s="67" t="s">
        <v>458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393</v>
      </c>
      <c r="B40" t="s">
        <v>187</v>
      </c>
      <c r="C40" s="295">
        <v>49900</v>
      </c>
      <c r="D40" s="295"/>
      <c r="E40" s="312">
        <f t="shared" si="0"/>
        <v>49900</v>
      </c>
    </row>
    <row r="41" spans="1:5" ht="12.75">
      <c r="A41" s="81" t="s">
        <v>387</v>
      </c>
      <c r="B41" t="s">
        <v>187</v>
      </c>
      <c r="C41" s="295">
        <v>12700</v>
      </c>
      <c r="D41" s="295"/>
      <c r="E41" s="312">
        <f t="shared" si="0"/>
        <v>12700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8" t="s">
        <v>397</v>
      </c>
      <c r="B47" t="s">
        <v>189</v>
      </c>
      <c r="C47" s="251">
        <f>SUM(C19:C46)</f>
        <v>67683</v>
      </c>
      <c r="D47" s="251">
        <f>SUM(D19:D46)</f>
        <v>0</v>
      </c>
      <c r="E47" s="251">
        <f>SUM(E19:E46)</f>
        <v>67683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487" t="s">
        <v>499</v>
      </c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7" t="s">
        <v>394</v>
      </c>
      <c r="B64" s="8" t="s">
        <v>188</v>
      </c>
      <c r="C64" s="251">
        <f>TAXCALC!G72</f>
        <v>53927.85600000001</v>
      </c>
      <c r="D64" s="294"/>
      <c r="E64" s="251">
        <f t="shared" si="2"/>
        <v>53927.85600000001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7" t="s">
        <v>387</v>
      </c>
      <c r="B66" s="8" t="s">
        <v>188</v>
      </c>
      <c r="C66" s="294">
        <v>43357</v>
      </c>
      <c r="D66" s="294"/>
      <c r="E66" s="251">
        <f t="shared" si="2"/>
        <v>43357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7" t="s">
        <v>396</v>
      </c>
      <c r="B73" s="8" t="s">
        <v>189</v>
      </c>
      <c r="C73" s="251">
        <f>SUM(C51:C72)</f>
        <v>97284.856</v>
      </c>
      <c r="D73" s="251">
        <f>SUM(D51:D72)</f>
        <v>0</v>
      </c>
      <c r="E73" s="251">
        <f>SUM(E51:E72)</f>
        <v>97284.856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 EB-2011-XXXX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Innisfil Hydro Distribution Systems Limited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9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8" t="s">
        <v>487</v>
      </c>
      <c r="B8" s="499"/>
      <c r="C8" s="499"/>
      <c r="D8" s="499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468</v>
      </c>
      <c r="B10" s="326"/>
      <c r="C10" s="375" t="s">
        <v>111</v>
      </c>
      <c r="D10" s="375"/>
      <c r="E10" s="375" t="s">
        <v>111</v>
      </c>
      <c r="F10" s="376" t="s">
        <v>488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8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5" t="s">
        <v>472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6" t="s">
        <v>473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2" t="s">
        <v>489</v>
      </c>
      <c r="B23" s="493"/>
      <c r="C23" s="493"/>
      <c r="D23" s="493"/>
      <c r="E23" s="493"/>
      <c r="F23" s="493"/>
      <c r="G23" s="437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09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0" t="s">
        <v>482</v>
      </c>
      <c r="B26" s="501"/>
      <c r="C26" s="501"/>
      <c r="D26" s="501"/>
      <c r="E26" s="501"/>
      <c r="F26" s="50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441</v>
      </c>
      <c r="B28" s="326"/>
      <c r="C28" s="369" t="s">
        <v>111</v>
      </c>
      <c r="D28" s="369"/>
      <c r="E28" s="369" t="s">
        <v>111</v>
      </c>
      <c r="F28" s="370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8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8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8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8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8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8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8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479</v>
      </c>
      <c r="B39" s="405" t="s">
        <v>472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480</v>
      </c>
      <c r="B40" s="406" t="s">
        <v>473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4" t="s">
        <v>335</v>
      </c>
      <c r="B41" s="493"/>
      <c r="C41" s="493"/>
      <c r="D41" s="493"/>
      <c r="E41" s="493"/>
      <c r="F41" s="49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5"/>
      <c r="B42" s="495"/>
      <c r="C42" s="495"/>
      <c r="D42" s="495"/>
      <c r="E42" s="495"/>
      <c r="F42" s="49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09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481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488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8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/>
      <c r="E50" s="352">
        <v>0.2612</v>
      </c>
      <c r="F50" s="352">
        <v>0.2612</v>
      </c>
      <c r="G50" s="194"/>
      <c r="H50" s="484"/>
      <c r="I50" s="48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0.06</v>
      </c>
      <c r="F51" s="354">
        <v>0.125</v>
      </c>
      <c r="G51" s="194"/>
      <c r="H51" s="484"/>
      <c r="I51" s="48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0.1912</v>
      </c>
      <c r="D52" s="331"/>
      <c r="E52" s="332">
        <f>SUM(E50:E51)</f>
        <v>0.3212</v>
      </c>
      <c r="F52" s="332">
        <f>SUM(F50:F51)</f>
        <v>0.3862</v>
      </c>
      <c r="G52" s="194"/>
      <c r="H52" s="484"/>
      <c r="I52" s="48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350</v>
      </c>
      <c r="B57" s="405" t="s">
        <v>472</v>
      </c>
      <c r="C57" s="361">
        <v>4949118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351</v>
      </c>
      <c r="B58" s="406" t="s">
        <v>473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2" t="s">
        <v>352</v>
      </c>
      <c r="B59" s="496"/>
      <c r="C59" s="496"/>
      <c r="D59" s="496"/>
      <c r="E59" s="496"/>
      <c r="F59" s="49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7"/>
      <c r="B60" s="497"/>
      <c r="C60" s="497"/>
      <c r="D60" s="497"/>
      <c r="E60" s="497"/>
      <c r="F60" s="49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 EB-2011-XXXX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Innisfil Hydro Distribution Systems Limited</v>
      </c>
      <c r="O3" s="415" t="str">
        <f>REGINFO!E1</f>
        <v>Version 2009.1</v>
      </c>
    </row>
    <row r="4" spans="1:15" ht="12.75">
      <c r="A4" s="2" t="str">
        <f>REGINFO!A4</f>
        <v>Reporting period:  2002</v>
      </c>
      <c r="E4" s="416" t="s">
        <v>321</v>
      </c>
      <c r="F4" s="398"/>
      <c r="G4" s="398"/>
      <c r="H4" s="398"/>
      <c r="I4" s="398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8"/>
      <c r="G11" s="396">
        <f>E22</f>
        <v>0</v>
      </c>
      <c r="H11" s="418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398</v>
      </c>
      <c r="B12" s="66" t="s">
        <v>190</v>
      </c>
      <c r="C12" s="395"/>
      <c r="D12" s="391"/>
      <c r="E12" s="395"/>
      <c r="F12" s="95"/>
      <c r="G12" s="417">
        <f>C12+E12</f>
        <v>0</v>
      </c>
      <c r="H12" s="95"/>
      <c r="I12" s="417">
        <f>(E12/12*9)+(G12/12*3)</f>
        <v>0</v>
      </c>
      <c r="J12" s="391"/>
      <c r="K12" s="417">
        <f>E12/12*3</f>
        <v>0</v>
      </c>
      <c r="L12" s="391"/>
      <c r="M12" s="417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440</v>
      </c>
      <c r="B13" s="66"/>
      <c r="C13" s="417"/>
      <c r="D13" s="391"/>
      <c r="E13" s="417"/>
      <c r="F13" s="95"/>
      <c r="G13" s="417"/>
      <c r="H13" s="95"/>
      <c r="I13" s="417"/>
      <c r="J13" s="391"/>
      <c r="K13" s="395"/>
      <c r="L13" s="391"/>
      <c r="M13" s="417"/>
      <c r="N13" s="391"/>
      <c r="O13" s="396">
        <f t="shared" si="0"/>
        <v>0</v>
      </c>
    </row>
    <row r="14" spans="1:15" ht="25.5">
      <c r="A14" s="81" t="s">
        <v>399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400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7">
        <f>TAXCALC!E132</f>
        <v>-45593.84512</v>
      </c>
      <c r="N15" s="391"/>
      <c r="O15" s="396">
        <f t="shared" si="0"/>
        <v>-45593.84512</v>
      </c>
    </row>
    <row r="16" spans="1:15" ht="27" customHeight="1">
      <c r="A16" s="81" t="s">
        <v>401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402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7">
        <f>TAXCALC!E181</f>
        <v>0</v>
      </c>
      <c r="N17" s="391"/>
      <c r="O17" s="396">
        <f t="shared" si="0"/>
        <v>0</v>
      </c>
    </row>
    <row r="18" spans="1:15" ht="25.5">
      <c r="A18" s="81" t="s">
        <v>403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1" t="s">
        <v>404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471</v>
      </c>
      <c r="B20" s="66" t="s">
        <v>188</v>
      </c>
      <c r="C20" s="417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8"/>
    </row>
    <row r="22" spans="1:15" ht="13.5" thickBot="1">
      <c r="A22" s="81" t="s">
        <v>374</v>
      </c>
      <c r="B22" s="34"/>
      <c r="C22" s="397">
        <f>SUM(C11:C20)</f>
        <v>0</v>
      </c>
      <c r="D22" s="418"/>
      <c r="E22" s="397">
        <f>SUM(E11:E20)</f>
        <v>0</v>
      </c>
      <c r="F22" s="418"/>
      <c r="G22" s="397">
        <f>SUM(G11:G20)</f>
        <v>0</v>
      </c>
      <c r="H22" s="418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-45593.84512</v>
      </c>
      <c r="N22" s="390"/>
      <c r="O22" s="449">
        <f>SUM(O11:O20)</f>
        <v>-45593.84512</v>
      </c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8"/>
      <c r="M23" s="441"/>
      <c r="N23" s="188"/>
      <c r="O23" s="441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2"/>
      <c r="B25" s="433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2" t="s">
        <v>405</v>
      </c>
      <c r="B26" s="433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8"/>
      <c r="M27" s="188"/>
      <c r="N27" s="188"/>
      <c r="O27" s="188"/>
    </row>
    <row r="28" spans="1:15" ht="12.75">
      <c r="A28" s="432" t="s">
        <v>406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8"/>
      <c r="M28" s="188"/>
      <c r="N28" s="188"/>
      <c r="O28" s="188"/>
    </row>
    <row r="29" spans="1:15" ht="12.75">
      <c r="A29" s="435" t="s">
        <v>407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8"/>
      <c r="M29" s="188"/>
      <c r="N29" s="188"/>
      <c r="O29" s="188"/>
    </row>
    <row r="30" spans="1:15" ht="9" customHeight="1">
      <c r="A30" s="188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8"/>
      <c r="M30" s="188"/>
      <c r="N30" s="188"/>
      <c r="O30" s="188"/>
    </row>
    <row r="31" spans="1:15" ht="12.75">
      <c r="A31" s="450" t="s">
        <v>408</v>
      </c>
      <c r="B31" s="80"/>
      <c r="C31" s="80"/>
      <c r="D31" s="80"/>
      <c r="E31" s="80"/>
      <c r="F31" s="80"/>
      <c r="G31" s="80"/>
      <c r="H31" s="80"/>
      <c r="I31" s="446"/>
      <c r="J31" s="446"/>
      <c r="K31" s="446"/>
      <c r="L31" s="446"/>
      <c r="M31" s="446"/>
      <c r="N31" s="446"/>
      <c r="O31" s="446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03" t="s">
        <v>409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419"/>
      <c r="Q33" s="419"/>
      <c r="R33" s="419"/>
      <c r="S33" s="419"/>
    </row>
    <row r="34" spans="1:19" ht="12.75">
      <c r="A34" s="502" t="s">
        <v>410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419"/>
      <c r="Q34" s="419"/>
      <c r="R34" s="419"/>
      <c r="S34" s="419"/>
    </row>
    <row r="35" spans="1:19" ht="12.75">
      <c r="A35" s="502" t="s">
        <v>431</v>
      </c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419"/>
      <c r="Q35" s="419"/>
      <c r="R35" s="419"/>
      <c r="S35" s="419"/>
    </row>
    <row r="36" spans="1:19" ht="12.75">
      <c r="A36" s="502" t="s">
        <v>411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419"/>
      <c r="Q36" s="419"/>
      <c r="R36" s="419"/>
      <c r="S36" s="419"/>
    </row>
    <row r="37" spans="1:19" ht="12.75">
      <c r="A37" s="436" t="s">
        <v>371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19"/>
      <c r="Q37" s="419"/>
      <c r="R37" s="419"/>
      <c r="S37" s="419"/>
    </row>
    <row r="38" spans="1:19" ht="12.75">
      <c r="A38" s="436" t="s">
        <v>372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19"/>
      <c r="Q38" s="419"/>
      <c r="R38" s="419"/>
      <c r="S38" s="419"/>
    </row>
    <row r="39" spans="1:19" ht="12.75">
      <c r="A39" s="436" t="s">
        <v>412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19"/>
      <c r="Q39" s="419"/>
      <c r="R39" s="419"/>
      <c r="S39" s="419"/>
    </row>
    <row r="40" spans="1:19" ht="12.75">
      <c r="A40" s="436" t="s">
        <v>413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19"/>
      <c r="Q40" s="419"/>
      <c r="R40" s="419"/>
      <c r="S40" s="419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19"/>
      <c r="Q41" s="419"/>
      <c r="R41" s="419"/>
      <c r="S41" s="419"/>
    </row>
    <row r="42" spans="1:15" ht="12.75">
      <c r="A42" s="438" t="s">
        <v>414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8"/>
      <c r="M42" s="188"/>
      <c r="N42" s="188"/>
      <c r="O42" s="188"/>
    </row>
    <row r="43" spans="1:15" ht="12.75">
      <c r="A43" s="433" t="s">
        <v>415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8"/>
      <c r="M43" s="188"/>
      <c r="N43" s="188"/>
      <c r="O43" s="188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8"/>
      <c r="M44" s="188"/>
      <c r="N44" s="188"/>
      <c r="O44" s="188"/>
    </row>
    <row r="45" spans="1:15" ht="12.75">
      <c r="A45" s="438" t="s">
        <v>416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8"/>
      <c r="M45" s="188"/>
      <c r="N45" s="188"/>
      <c r="O45" s="188"/>
    </row>
    <row r="46" spans="1:15" ht="12.75">
      <c r="A46" s="433" t="s">
        <v>417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8"/>
      <c r="M46" s="188"/>
      <c r="N46" s="188"/>
      <c r="O46" s="188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8"/>
      <c r="M47" s="188"/>
      <c r="N47" s="188"/>
      <c r="O47" s="188"/>
    </row>
    <row r="48" spans="1:15" ht="12.75">
      <c r="A48" s="438" t="s">
        <v>418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8"/>
      <c r="M48" s="188"/>
      <c r="N48" s="188"/>
      <c r="O48" s="188"/>
    </row>
    <row r="49" spans="1:15" ht="12.75">
      <c r="A49" s="433" t="s">
        <v>419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8"/>
      <c r="M49" s="188"/>
      <c r="N49" s="188"/>
      <c r="O49" s="188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8"/>
      <c r="M50" s="188"/>
      <c r="N50" s="188"/>
      <c r="O50" s="188"/>
    </row>
    <row r="51" spans="1:15" ht="12.75">
      <c r="A51" s="438" t="s">
        <v>420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8"/>
      <c r="M51" s="188"/>
      <c r="N51" s="188"/>
      <c r="O51" s="188"/>
    </row>
    <row r="52" spans="1:15" ht="12.75">
      <c r="A52" s="433" t="s">
        <v>417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8"/>
      <c r="M52" s="188"/>
      <c r="N52" s="188"/>
      <c r="O52" s="188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8"/>
      <c r="M53" s="188"/>
      <c r="N53" s="188"/>
      <c r="O53" s="188"/>
    </row>
    <row r="54" spans="1:15" ht="12.75">
      <c r="A54" s="433" t="s">
        <v>421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8"/>
      <c r="M54" s="188"/>
      <c r="N54" s="188"/>
      <c r="O54" s="188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8"/>
      <c r="M55" s="188"/>
      <c r="N55" s="188"/>
      <c r="O55" s="188"/>
    </row>
    <row r="56" spans="1:15" ht="12.75" customHeight="1">
      <c r="A56" s="438" t="s">
        <v>422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8"/>
      <c r="M56" s="188"/>
      <c r="N56" s="188"/>
      <c r="O56" s="188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8"/>
      <c r="M57" s="188"/>
      <c r="N57" s="188"/>
      <c r="O57" s="188"/>
    </row>
    <row r="58" spans="1:15" ht="12.75">
      <c r="A58" s="433" t="s">
        <v>423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8"/>
      <c r="M58" s="188"/>
      <c r="N58" s="188"/>
      <c r="O58" s="188"/>
    </row>
    <row r="59" spans="1:15" ht="12.75">
      <c r="A59" s="433" t="s">
        <v>424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8"/>
      <c r="M59" s="188"/>
      <c r="N59" s="188"/>
      <c r="O59" s="188"/>
    </row>
    <row r="60" spans="1:15" ht="12.75">
      <c r="A60" s="433" t="s">
        <v>425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8"/>
      <c r="M60" s="188"/>
      <c r="N60" s="188"/>
      <c r="O60" s="188"/>
    </row>
    <row r="61" spans="1:15" ht="12.75">
      <c r="A61" s="433" t="s">
        <v>381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8"/>
      <c r="M61" s="188"/>
      <c r="N61" s="188"/>
      <c r="O61" s="188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8"/>
      <c r="M62" s="188"/>
      <c r="N62" s="188"/>
      <c r="O62" s="188"/>
    </row>
    <row r="63" spans="1:15" ht="12.75">
      <c r="A63" s="433" t="s">
        <v>426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8"/>
      <c r="M63" s="188"/>
      <c r="N63" s="188"/>
      <c r="O63" s="188"/>
    </row>
    <row r="64" spans="1:15" ht="12.75">
      <c r="A64" s="433" t="s">
        <v>427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8"/>
      <c r="M64" s="188"/>
      <c r="N64" s="188"/>
      <c r="O64" s="188"/>
    </row>
    <row r="65" spans="1:15" ht="12.75">
      <c r="A65" s="433" t="s">
        <v>383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8"/>
      <c r="M65" s="188"/>
      <c r="N65" s="188"/>
      <c r="O65" s="188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8"/>
      <c r="M66" s="188"/>
      <c r="N66" s="188"/>
      <c r="O66" s="188"/>
    </row>
    <row r="67" spans="1:15" ht="12.75">
      <c r="A67" s="433" t="s">
        <v>382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8"/>
      <c r="M67" s="188"/>
      <c r="N67" s="188"/>
      <c r="O67" s="188"/>
    </row>
    <row r="68" spans="1:15" ht="12.75">
      <c r="A68" s="433" t="s">
        <v>384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8"/>
      <c r="M68" s="188"/>
      <c r="N68" s="188"/>
      <c r="O68" s="188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8"/>
      <c r="M69" s="188"/>
      <c r="N69" s="188"/>
      <c r="O69" s="188"/>
    </row>
    <row r="70" spans="1:15" ht="12.75">
      <c r="A70" s="433" t="s">
        <v>428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8"/>
      <c r="M70" s="188"/>
      <c r="N70" s="188"/>
      <c r="O70" s="188"/>
    </row>
    <row r="71" spans="1:15" ht="12.75">
      <c r="A71" s="433" t="s">
        <v>429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8"/>
      <c r="M71" s="188"/>
      <c r="N71" s="188"/>
      <c r="O71" s="188"/>
    </row>
    <row r="72" spans="1:15" ht="12.75">
      <c r="A72" s="433" t="s">
        <v>430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8"/>
      <c r="M72" s="188"/>
      <c r="N72" s="188"/>
      <c r="O72" s="188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8"/>
      <c r="M73" s="188"/>
      <c r="N73" s="188"/>
      <c r="O73" s="188"/>
    </row>
    <row r="74" spans="1:15" ht="12.75" customHeight="1">
      <c r="A74" s="502" t="s">
        <v>460</v>
      </c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</row>
    <row r="75" spans="1:15" ht="12.75">
      <c r="A75" s="433" t="s">
        <v>373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8"/>
      <c r="M75" s="188"/>
      <c r="N75" s="188"/>
      <c r="O75" s="188"/>
    </row>
    <row r="76" spans="1:15" ht="12.75">
      <c r="A76" s="188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8"/>
      <c r="M76" s="188"/>
      <c r="N76" s="188"/>
      <c r="O76" s="188"/>
    </row>
    <row r="77" spans="1:15" ht="12.75">
      <c r="A77" s="188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8"/>
      <c r="M77" s="188"/>
      <c r="N77" s="188"/>
      <c r="O77" s="188"/>
    </row>
    <row r="78" spans="1:17" ht="12.75">
      <c r="A78" s="188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8"/>
      <c r="O78" s="188"/>
      <c r="P78" s="188"/>
      <c r="Q78" s="188"/>
    </row>
    <row r="79" spans="1:17" ht="12.75">
      <c r="A79" s="188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8"/>
      <c r="O79" s="188"/>
      <c r="P79" s="188"/>
      <c r="Q79" s="188"/>
    </row>
    <row r="80" spans="1:17" ht="12.75">
      <c r="A80" s="188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8"/>
      <c r="O80" s="188"/>
      <c r="P80" s="188"/>
      <c r="Q80" s="188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8"/>
      <c r="O81" s="188"/>
      <c r="P81" s="188"/>
      <c r="Q81" s="188"/>
    </row>
    <row r="82" spans="1:17" ht="12.75">
      <c r="A82" s="188"/>
      <c r="B82" s="188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8"/>
      <c r="O82" s="188"/>
      <c r="P82" s="188"/>
      <c r="Q82" s="188"/>
    </row>
    <row r="83" spans="1:17" ht="12.75">
      <c r="A83" s="188"/>
      <c r="B83" s="188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8"/>
      <c r="O83" s="188"/>
      <c r="P83" s="188"/>
      <c r="Q83" s="188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8"/>
      <c r="O84" s="188"/>
      <c r="P84" s="188"/>
      <c r="Q84" s="188"/>
    </row>
    <row r="85" spans="1:17" ht="12.75">
      <c r="A85" s="188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8"/>
      <c r="O85" s="188"/>
      <c r="P85" s="188"/>
      <c r="Q85" s="188"/>
    </row>
    <row r="86" spans="1:17" ht="12.75">
      <c r="A86" s="188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8"/>
      <c r="O86" s="188"/>
      <c r="P86" s="188"/>
      <c r="Q86" s="188"/>
    </row>
    <row r="87" spans="1:17" ht="12.75">
      <c r="A87" s="188"/>
      <c r="B87" s="188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8"/>
      <c r="O87" s="188"/>
      <c r="P87" s="188"/>
      <c r="Q87" s="188"/>
    </row>
    <row r="88" spans="1:17" ht="12.75">
      <c r="A88" s="188"/>
      <c r="B88" s="188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8"/>
      <c r="O88" s="188"/>
      <c r="P88" s="188"/>
      <c r="Q88" s="188"/>
    </row>
    <row r="89" spans="1:17" ht="12.75">
      <c r="A89" s="188"/>
      <c r="B89" s="188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8"/>
      <c r="O89" s="188"/>
      <c r="P89" s="188"/>
      <c r="Q89" s="188"/>
    </row>
    <row r="90" spans="1:17" ht="12.75">
      <c r="A90" s="188"/>
      <c r="B90" s="188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8"/>
      <c r="O90" s="188"/>
      <c r="P90" s="188"/>
      <c r="Q90" s="188"/>
    </row>
    <row r="91" spans="1:17" ht="12.75">
      <c r="A91" s="188"/>
      <c r="B91" s="188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8"/>
      <c r="O91" s="188"/>
      <c r="P91" s="188"/>
      <c r="Q91" s="188"/>
    </row>
    <row r="92" spans="1:17" ht="12.75">
      <c r="A92" s="188"/>
      <c r="B92" s="188"/>
      <c r="C92" s="502"/>
      <c r="D92" s="502"/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/>
      <c r="P92" s="502"/>
      <c r="Q92" s="502"/>
    </row>
    <row r="93" spans="1:17" ht="12.75">
      <c r="A93" s="188"/>
      <c r="B93" s="188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45" right="0.17" top="0.3937007874015748" bottom="0.35433070866141736" header="0.1968503937007874" footer="0"/>
  <pageSetup horizontalDpi="600" verticalDpi="600" orientation="portrait" scale="70" r:id="rId1"/>
  <headerFooter alignWithMargins="0"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 </cp:lastModifiedBy>
  <cp:lastPrinted>2011-09-30T17:14:31Z</cp:lastPrinted>
  <dcterms:created xsi:type="dcterms:W3CDTF">2001-11-07T16:15:53Z</dcterms:created>
  <dcterms:modified xsi:type="dcterms:W3CDTF">2012-01-18T18:27:59Z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