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<sst xmlns="http://schemas.openxmlformats.org/spreadsheetml/2006/main" count="878" uniqueCount="504">
  <si>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</si>
  <si>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</si>
  <si>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</si>
  <si>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</si>
  <si>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</si>
  <si>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</si>
  <si>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</si>
  <si>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</si>
  <si>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</si>
  <si>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</si>
  <si>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</si>
  <si>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</si>
  <si>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</si>
  <si>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</si>
  <si>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</si>
  <si>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</si>
  <si>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</si>
  <si>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</si>
  <si>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</si>
  <si>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</si>
  <si>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</si>
  <si>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</si>
  <si>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</si>
  <si>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</si>
  <si>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</si>
  <si>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</si>
  <si>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</si>
  <si>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</si>
  <si>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</si>
  <si>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</si>
  <si>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</si>
  <si>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</si>
  <si>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</si>
  <si>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</si>
  <si>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</si>
  <si>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</si>
  <si>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</si>
  <si>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</si>
  <si>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</si>
  <si>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</si>
  <si>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</si>
  <si>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</si>
  <si>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</si>
  <si>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</si>
  <si>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</si>
  <si>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</si>
  <si>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</si>
  <si>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</si>
  <si>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</si>
  <si>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</si>
  <si>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</si>
  <si>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</si>
  <si>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</si>
  <si>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</si>
  <si>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</si>
  <si>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</si>
  <si>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</si>
  <si>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</si>
  <si>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</si>
  <si>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</si>
  <si>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</si>
  <si>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</si>
  <si>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</si>
  <si>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</si>
  <si>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</si>
  <si>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</si>
  <si>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</si>
  <si>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</si>
  <si>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</si>
  <si>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</si>
  <si>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</si>
  <si>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</si>
  <si>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</si>
  <si>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</si>
  <si>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</si>
  <si>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</si>
  <si>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</si>
  <si>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</si>
  <si>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</si>
  <si>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</si>
  <si>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</si>
  <si>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</si>
  <si>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</si>
  <si>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</si>
  <si>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</si>
  <si>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</si>
  <si>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</si>
  <si>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</si>
  <si>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</si>
  <si>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</si>
  <si>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</si>
  <si>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</si>
  <si>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</si>
  <si>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</si>
  <si>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</si>
  <si>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</si>
  <si>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</si>
  <si>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</si>
  <si>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</si>
  <si>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</si>
  <si>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</si>
  <si>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</si>
  <si>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</si>
  <si>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</si>
  <si>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</si>
  <si>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</si>
  <si>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</si>
  <si>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</si>
  <si>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</si>
  <si>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</si>
  <si>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</si>
  <si>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</si>
  <si>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</si>
  <si>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</si>
  <si>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</si>
  <si>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</si>
  <si>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</si>
  <si>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</si>
  <si>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</si>
  <si>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</si>
  <si>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</si>
  <si>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</si>
  <si>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</si>
  <si>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</si>
  <si>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</si>
  <si>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</si>
  <si>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</si>
  <si>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</si>
  <si>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</si>
  <si>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</si>
  <si>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</si>
  <si>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</si>
  <si>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</si>
  <si>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</si>
  <si>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</si>
  <si>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</si>
  <si>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</si>
  <si>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</si>
  <si>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</si>
  <si>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</si>
  <si>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</si>
  <si>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</si>
  <si>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</si>
  <si>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</si>
  <si>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</si>
  <si>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</si>
  <si>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</si>
  <si>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</si>
  <si>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</si>
  <si>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</si>
  <si>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</si>
  <si>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</si>
  <si>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</si>
  <si>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</si>
  <si>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</si>
  <si>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</si>
  <si>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</si>
  <si>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</si>
  <si>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</si>
  <si>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</si>
  <si>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</si>
  <si>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</si>
  <si>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</si>
  <si>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</si>
  <si>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</si>
  <si>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</si>
  <si>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</si>
  <si>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</si>
  <si>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</si>
  <si>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</si>
  <si>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</si>
  <si>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</si>
  <si>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</si>
  <si>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</si>
  <si>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</si>
  <si>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</si>
  <si>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</si>
  <si>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</si>
  <si>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</si>
  <si>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</si>
  <si>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</si>
  <si>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</si>
  <si>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</si>
  <si>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</si>
  <si>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</si>
  <si>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</si>
  <si>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</si>
  <si>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</si>
  <si>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</si>
  <si>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</si>
  <si>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</si>
  <si>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</si>
  <si>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</si>
  <si>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</si>
  <si>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</si>
  <si>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</si>
  <si>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</si>
  <si>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</si>
  <si>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</si>
  <si>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</si>
  <si>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</si>
  <si>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</si>
  <si>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</si>
  <si>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</si>
  <si>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</si>
  <si>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</si>
  <si>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</si>
  <si>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</si>
  <si>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</si>
  <si>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</si>
  <si>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</si>
  <si>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</si>
  <si>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</si>
  <si>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</si>
  <si>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</si>
  <si>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</si>
  <si>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</si>
  <si>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</si>
  <si>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</si>
  <si>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</si>
  <si>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</si>
  <si>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</si>
  <si>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</si>
  <si>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</si>
  <si>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</si>
  <si>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</si>
  <si>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</si>
  <si>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</si>
  <si>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</si>
  <si>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</si>
  <si>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</si>
  <si>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</si>
  <si>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</si>
  <si>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</si>
  <si>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</si>
  <si>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</si>
  <si>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</si>
  <si>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</si>
  <si>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</si>
  <si>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</si>
  <si>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</si>
  <si>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</si>
  <si>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</si>
  <si>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</si>
  <si>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</si>
  <si>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</si>
  <si>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</si>
  <si>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</si>
  <si>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</si>
  <si>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</si>
  <si>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</si>
  <si>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</si>
  <si>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</si>
  <si>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</si>
  <si>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</si>
  <si>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</si>
  <si>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</si>
  <si>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</si>
  <si>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</si>
  <si>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</si>
  <si>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</si>
  <si>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</si>
  <si>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</si>
  <si>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</si>
  <si>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</si>
  <si>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</si>
  <si>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</si>
  <si>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</si>
  <si>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</si>
  <si>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</si>
  <si>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</si>
  <si>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</si>
  <si>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</si>
  <si>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</si>
  <si>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</si>
  <si>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</si>
  <si>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</si>
  <si>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</si>
  <si>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</si>
  <si>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</si>
  <si>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</si>
  <si>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</si>
  <si>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</si>
  <si>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</si>
  <si>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</si>
  <si>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</si>
  <si>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</si>
  <si>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</si>
  <si>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</si>
  <si>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</si>
  <si>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</si>
  <si>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</si>
  <si>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</si>
  <si>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</si>
  <si>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</si>
  <si>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</si>
  <si>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</si>
  <si>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</si>
  <si>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</si>
  <si>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</si>
  <si>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</si>
  <si>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</si>
  <si>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</si>
  <si>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</si>
  <si>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</si>
  <si>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</si>
  <si>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</si>
  <si>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</si>
  <si>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</si>
  <si>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</si>
  <si>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</si>
  <si>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</si>
  <si>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</si>
  <si>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</si>
  <si>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</si>
  <si>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</si>
  <si>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</si>
  <si>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</si>
  <si>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</si>
  <si>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</si>
  <si>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</si>
  <si>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</si>
  <si>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</si>
  <si>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</si>
  <si>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</si>
  <si>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</si>
  <si>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</si>
  <si>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</si>
  <si>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</si>
  <si>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</si>
  <si>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</si>
  <si>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</si>
  <si>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</si>
  <si>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</si>
  <si>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</si>
  <si>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</si>
  <si>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</si>
  <si>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</si>
  <si>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</si>
  <si>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</si>
  <si>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</si>
  <si>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</si>
  <si>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</si>
  <si>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</si>
  <si>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</si>
  <si>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</si>
  <si>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</si>
  <si>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</si>
  <si>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</si>
  <si>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</si>
  <si>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</si>
  <si>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</si>
  <si>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</si>
  <si>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</si>
  <si>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</si>
  <si>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</si>
  <si>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</si>
  <si>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</si>
  <si>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</si>
  <si>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</si>
  <si>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</si>
  <si>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</si>
  <si>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</si>
  <si>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</si>
  <si>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</si>
  <si>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</si>
  <si>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</si>
  <si>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</si>
  <si>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</si>
  <si>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</si>
  <si>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</si>
  <si>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</si>
  <si>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</si>
  <si>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</si>
  <si>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</si>
  <si>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</si>
  <si>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</si>
  <si>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</si>
  <si>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</si>
  <si>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</si>
  <si>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</si>
  <si>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</si>
  <si>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</si>
  <si>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</si>
  <si>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</si>
  <si>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</si>
  <si>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</si>
  <si>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</si>
  <si>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</si>
  <si>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</si>
  <si>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</si>
  <si>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</si>
  <si>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</si>
  <si>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</si>
  <si>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</si>
  <si>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</si>
  <si>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</si>
  <si>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</si>
  <si>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</si>
  <si>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</si>
  <si>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</si>
  <si>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</si>
  <si>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</si>
  <si>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</si>
  <si>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</si>
  <si>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</si>
  <si>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</si>
  <si>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</si>
  <si>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</si>
  <si>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</si>
  <si>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</si>
  <si>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</si>
  <si>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</si>
  <si>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</si>
  <si>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</si>
  <si>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</si>
  <si>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</si>
  <si>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</si>
  <si>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</si>
  <si>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</si>
  <si>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</si>
  <si>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</si>
  <si>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</si>
  <si>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</si>
  <si>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</si>
  <si>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</si>
  <si>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</si>
  <si>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</si>
  <si>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</si>
  <si>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</si>
  <si>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</si>
  <si>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</si>
  <si>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</si>
  <si>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</si>
  <si>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</si>
  <si>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</si>
  <si>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</si>
  <si>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</si>
  <si>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</si>
  <si>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</si>
  <si>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</si>
  <si>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</si>
  <si>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</si>
  <si>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</si>
  <si>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</si>
  <si>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</si>
  <si>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</si>
  <si>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</si>
  <si>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</si>
  <si>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</si>
  <si>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</si>
  <si>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</si>
  <si>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</si>
  <si>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</si>
  <si>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</si>
  <si>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</si>
  <si>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</si>
  <si>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</si>
  <si>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</si>
  <si>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</si>
  <si>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</si>
  <si>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</si>
  <si>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</si>
  <si>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</si>
  <si>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</si>
  <si>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</si>
  <si>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</si>
  <si>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</si>
  <si>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</si>
  <si>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</si>
  <si>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</si>
  <si>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</si>
  <si>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</si>
  <si>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</si>
  <si>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</si>
  <si>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</si>
  <si>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</si>
  <si>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</si>
  <si>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</si>
  <si>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</si>
  <si>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</si>
  <si>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</si>
  <si>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</si>
  <si>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</si>
  <si>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</si>
  <si>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</si>
  <si>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</si>
  <si>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</si>
  <si>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</si>
  <si>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</si>
  <si>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</si>
  <si>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</si>
  <si>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</si>
  <si>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Community Relations</t>
  </si>
  <si>
    <t xml:space="preserve">    Reserve for Impairment of Regulatory Assets</t>
  </si>
  <si>
    <t>Post Employment Benefits</t>
  </si>
  <si>
    <t>Vested Sick Leave</t>
  </si>
  <si>
    <t>Less: Federal LCT reported in the initial estimate column  (Cell C84)</t>
  </si>
  <si>
    <t xml:space="preserve">Depreciation &amp; Amortization </t>
  </si>
  <si>
    <t>Utility Name: Tillsonburg Hydro Inc.</t>
  </si>
  <si>
    <t>PILs TAXES - EB-2011-0198</t>
  </si>
  <si>
    <t>Y</t>
  </si>
  <si>
    <t>N</t>
  </si>
  <si>
    <t>Interest phased-in  (Cell C37)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</si>
</sst>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3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3" fontId="29" fillId="40" borderId="0" xfId="0" applyNumberFormat="1" applyFont="1" applyFill="1" applyAlignment="1">
      <alignment/>
    </xf>
    <xf numFmtId="3" fontId="0" fillId="0" borderId="14" xfId="0" applyNumberFormat="1" applyFill="1" applyBorder="1" applyAlignment="1" applyProtection="1">
      <alignment horizontal="right"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4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500</v>
      </c>
      <c r="C1" s="8"/>
      <c r="E1" s="2" t="s">
        <v>462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84" t="s">
        <v>499</v>
      </c>
      <c r="C3" s="8"/>
      <c r="D3" s="455" t="s">
        <v>448</v>
      </c>
      <c r="E3" s="8"/>
      <c r="F3" s="8"/>
      <c r="G3" s="8"/>
      <c r="H3" s="8"/>
    </row>
    <row r="4" spans="1:8" ht="13.5" thickBot="1">
      <c r="A4" s="497" t="s">
        <v>476</v>
      </c>
      <c r="C4" s="8"/>
      <c r="D4" s="454" t="s">
        <v>443</v>
      </c>
      <c r="E4" s="428"/>
      <c r="H4" s="8"/>
    </row>
    <row r="5" spans="1:8" ht="12.75">
      <c r="A5" s="52"/>
      <c r="C5" s="8"/>
      <c r="D5" s="453" t="s">
        <v>444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502</v>
      </c>
    </row>
    <row r="18" spans="1:4" ht="15" customHeight="1">
      <c r="A18" s="389" t="s">
        <v>314</v>
      </c>
      <c r="C18" s="8"/>
      <c r="D18" s="8"/>
    </row>
    <row r="19" spans="1:4" ht="15" customHeight="1">
      <c r="A19" s="513" t="s">
        <v>315</v>
      </c>
      <c r="B19" s="8" t="s">
        <v>312</v>
      </c>
      <c r="C19" s="8" t="s">
        <v>64</v>
      </c>
      <c r="D19" s="388" t="s">
        <v>502</v>
      </c>
    </row>
    <row r="20" spans="1:4" ht="13.5" thickBot="1">
      <c r="A20" s="514"/>
      <c r="B20" s="8" t="s">
        <v>313</v>
      </c>
      <c r="C20" s="8" t="s">
        <v>64</v>
      </c>
      <c r="D20" s="258" t="s">
        <v>502</v>
      </c>
    </row>
    <row r="21" spans="1:4" ht="12.75">
      <c r="A21" s="513" t="s">
        <v>311</v>
      </c>
      <c r="B21" s="8" t="s">
        <v>312</v>
      </c>
      <c r="C21" s="8"/>
      <c r="D21" s="423">
        <v>1</v>
      </c>
    </row>
    <row r="22" spans="1:4" ht="12.75">
      <c r="A22" s="513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477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296</v>
      </c>
    </row>
    <row r="27" spans="1:5" ht="12.75">
      <c r="A27" s="256" t="s">
        <v>68</v>
      </c>
      <c r="C27" s="8"/>
      <c r="E27" s="444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1">
        <v>8683112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743708.5428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v>247903</v>
      </c>
      <c r="E47" s="387">
        <f aca="true" t="shared" si="0" ref="E47:E53">D47</f>
        <v>247903</v>
      </c>
      <c r="H47" s="40"/>
      <c r="J47" s="5"/>
      <c r="K47" s="5"/>
    </row>
    <row r="48" spans="1:11" ht="12.75">
      <c r="A48" t="s">
        <v>289</v>
      </c>
      <c r="D48" s="426">
        <v>247903</v>
      </c>
      <c r="E48" s="387">
        <f>D48</f>
        <v>247903</v>
      </c>
      <c r="F48" s="22"/>
      <c r="H48" s="40"/>
      <c r="J48" s="5"/>
      <c r="K48" s="5"/>
    </row>
    <row r="49" spans="1:11" ht="12.75">
      <c r="A49" t="s">
        <v>290</v>
      </c>
      <c r="D49" s="427">
        <v>247903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440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463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495806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209842.0023350846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3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4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51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EB-2011-0198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86" t="str">
        <f>REGINFO!A3</f>
        <v>Utility Name: Tillsonburg Hydro Inc.</v>
      </c>
      <c r="B6" s="485"/>
      <c r="D6" s="137"/>
      <c r="E6" s="115"/>
      <c r="G6" s="115"/>
      <c r="H6" s="465"/>
    </row>
    <row r="7" spans="1:8" ht="13.5" thickBot="1">
      <c r="A7" s="498" t="str">
        <f>REGINFO!A4</f>
        <v>Reporting period:  2002</v>
      </c>
      <c r="B7" s="48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59">
        <f>REGINFO!E54</f>
        <v>495806</v>
      </c>
      <c r="D16" s="17"/>
      <c r="E16" s="267">
        <f>G16-C16</f>
        <v>-459638</v>
      </c>
      <c r="F16" s="3"/>
      <c r="G16" s="267">
        <f>TAXREC!E50</f>
        <v>36168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415594</v>
      </c>
      <c r="D20" s="18"/>
      <c r="E20" s="267">
        <f>G20-C20</f>
        <v>-122971</v>
      </c>
      <c r="F20" s="6"/>
      <c r="G20" s="267">
        <f>TAXREC!E61</f>
        <v>292623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264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0" t="s">
        <v>396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424488</v>
      </c>
      <c r="D33" s="132"/>
      <c r="E33" s="267">
        <f aca="true" t="shared" si="0" ref="E33:E42">G33-C33</f>
        <v>-351240</v>
      </c>
      <c r="F33" s="6"/>
      <c r="G33" s="267">
        <f>TAXREC!E97+TAXREC!E98</f>
        <v>73248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209842.0023350846</v>
      </c>
      <c r="D37" s="132"/>
      <c r="E37" s="267">
        <f t="shared" si="0"/>
        <v>-182765.0023350846</v>
      </c>
      <c r="F37" s="6"/>
      <c r="G37" s="267">
        <f>TAXREC!E51</f>
        <v>27077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0" t="s">
        <v>396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3">
        <f>C16+SUM(C20:C30)-SUM(C33:C48)</f>
        <v>277069.9976649154</v>
      </c>
      <c r="D50" s="102"/>
      <c r="E50" s="263">
        <f>E16+SUM(E20:E30)-SUM(E33:E48)</f>
        <v>-48603.9976649154</v>
      </c>
      <c r="F50" s="431"/>
      <c r="G50" s="263">
        <f>G16+SUM(G20:G30)-SUM(G33:G48)</f>
        <v>228466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337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341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-0.3412</v>
      </c>
      <c r="F53" s="114"/>
      <c r="G53" s="473">
        <f>TAXREC!E151</f>
        <v>0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94536.28320326914</v>
      </c>
      <c r="D55" s="102"/>
      <c r="E55" s="267">
        <f>G55-C55</f>
        <v>-94536.28320326914</v>
      </c>
      <c r="F55" s="431" t="s">
        <v>369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369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94536.28320326914</v>
      </c>
      <c r="D60" s="133"/>
      <c r="E60" s="269">
        <f>+E55-E58</f>
        <v>-94536.28320326914</v>
      </c>
      <c r="F60" s="431" t="s">
        <v>369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8683112</v>
      </c>
      <c r="D66" s="102"/>
      <c r="E66" s="267">
        <f>G66-C66</f>
        <v>-1211606</v>
      </c>
      <c r="F66" s="6"/>
      <c r="G66" s="267">
        <v>7471506</v>
      </c>
      <c r="H66" s="151"/>
      <c r="I66" s="476" t="s">
        <v>475</v>
      </c>
    </row>
    <row r="67" spans="1:10" ht="12.75">
      <c r="A67" s="152" t="s">
        <v>362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+'Tax Rates'!C57</f>
        <v>5000000</v>
      </c>
      <c r="H67" s="151"/>
      <c r="I67" s="476" t="s">
        <v>475</v>
      </c>
      <c r="J67" s="504"/>
    </row>
    <row r="68" spans="1:8" ht="12.75">
      <c r="A68" s="152" t="s">
        <v>42</v>
      </c>
      <c r="B68" s="125"/>
      <c r="C68" s="264">
        <f>IF((C66-C67)&gt;0,C66-C67,0)</f>
        <v>3683112</v>
      </c>
      <c r="D68" s="102"/>
      <c r="E68" s="267">
        <f>SUM(E66:E67)</f>
        <v>-1211606</v>
      </c>
      <c r="F68" s="114"/>
      <c r="G68" s="264">
        <f>G66-G67</f>
        <v>2471506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11049.336</v>
      </c>
      <c r="D72" s="101"/>
      <c r="E72" s="267">
        <f>+G72-C72</f>
        <v>-3634.818</v>
      </c>
      <c r="F72" s="477"/>
      <c r="G72" s="264">
        <f>IF(G68&gt;0,G68*G70,0)*REGINFO!$B$6/REGINFO!$B$7</f>
        <v>7414.517999999999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8683112</v>
      </c>
      <c r="D75" s="102"/>
      <c r="E75" s="267">
        <f>+G75-C75</f>
        <v>-1211606</v>
      </c>
      <c r="F75" s="6"/>
      <c r="G75" s="475">
        <v>7471506</v>
      </c>
      <c r="H75" s="151"/>
      <c r="I75" s="476" t="s">
        <v>475</v>
      </c>
    </row>
    <row r="76" spans="1:9" ht="12.75">
      <c r="A76" s="152" t="s">
        <v>362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76" t="s">
        <v>475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-1211606</v>
      </c>
      <c r="F77" s="114"/>
      <c r="G77" s="264">
        <f>IF((G75-G76)&gt;0,G75-G76,0)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9" ht="12.75">
      <c r="A82" s="152" t="s">
        <v>318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264">
        <v>0</v>
      </c>
      <c r="H82" s="151"/>
      <c r="I82" s="34"/>
    </row>
    <row r="83" spans="1:9" ht="12.75">
      <c r="A83" s="152"/>
      <c r="B83" s="125"/>
      <c r="C83" s="110"/>
      <c r="D83" s="18"/>
      <c r="E83" s="139"/>
      <c r="F83" s="6"/>
      <c r="G83" s="139"/>
      <c r="H83" s="151"/>
      <c r="I83" s="507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370</v>
      </c>
      <c r="B90" s="127">
        <v>22</v>
      </c>
      <c r="C90" s="264">
        <f>C60/(1-C88)</f>
        <v>143497.69763702052</v>
      </c>
      <c r="D90" s="20"/>
      <c r="E90" s="139"/>
      <c r="F90" s="430" t="s">
        <v>486</v>
      </c>
      <c r="G90" s="270">
        <f>TAXREC!E156</f>
        <v>0</v>
      </c>
      <c r="H90" s="151"/>
    </row>
    <row r="91" spans="1:8" ht="12.75">
      <c r="A91" s="158" t="s">
        <v>371</v>
      </c>
      <c r="B91" s="127">
        <v>23</v>
      </c>
      <c r="C91" s="264">
        <f>C84/(1-C88)</f>
        <v>0</v>
      </c>
      <c r="D91" s="20"/>
      <c r="E91" s="139"/>
      <c r="F91" s="430" t="s">
        <v>486</v>
      </c>
      <c r="G91" s="270">
        <f>TAXREC!E158</f>
        <v>0</v>
      </c>
      <c r="H91" s="151"/>
    </row>
    <row r="92" spans="1:8" ht="12.75">
      <c r="A92" s="158" t="s">
        <v>350</v>
      </c>
      <c r="B92" s="127">
        <v>24</v>
      </c>
      <c r="C92" s="264">
        <f>C72</f>
        <v>11049.336</v>
      </c>
      <c r="D92" s="20"/>
      <c r="E92" s="139"/>
      <c r="F92" s="430" t="s">
        <v>486</v>
      </c>
      <c r="G92" s="270">
        <f>TAXREC!E157</f>
        <v>7415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487</v>
      </c>
      <c r="B95" s="125">
        <v>25</v>
      </c>
      <c r="C95" s="269">
        <f>SUM(C90:C93)</f>
        <v>154547.03363702053</v>
      </c>
      <c r="D95" s="6"/>
      <c r="E95" s="139"/>
      <c r="F95" s="430" t="s">
        <v>486</v>
      </c>
      <c r="G95" s="413">
        <f>SUM(G90:G94)</f>
        <v>7415</v>
      </c>
      <c r="H95" s="164"/>
    </row>
    <row r="96" spans="1:8" ht="12.75">
      <c r="A96" s="403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489</v>
      </c>
      <c r="B122" s="127"/>
      <c r="C122" s="112"/>
      <c r="D122" s="3" t="s">
        <v>231</v>
      </c>
      <c r="E122" s="469">
        <v>0.1912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354</v>
      </c>
      <c r="B132" s="130"/>
      <c r="C132" s="112"/>
      <c r="D132" s="3"/>
      <c r="E132" s="263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277069.9976649154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52975.78355353183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52975.78355353183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94536.28320326914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-41560.49964973731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9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8683112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3683112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11049.336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5">
        <f>C72</f>
        <v>11049.336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8683112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264">
        <f>IF((E162-E163)&gt;0,E162-E163,0)</f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497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9">
        <v>0.18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-50683.53615821622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189</v>
      </c>
      <c r="E181" s="302">
        <f>SUM(E177:E179)</f>
        <v>-50683.53615821622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2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189</v>
      </c>
      <c r="E185" s="302">
        <f>E181+E183</f>
        <v>-50683.53615821622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314762.81</v>
      </c>
      <c r="F193" s="3"/>
      <c r="G193" s="123"/>
      <c r="H193" s="164"/>
    </row>
    <row r="194" spans="1:8" ht="12.75">
      <c r="A194" s="509" t="s">
        <v>503</v>
      </c>
      <c r="B194" s="127"/>
      <c r="C194" s="112"/>
      <c r="D194" s="120"/>
      <c r="E194" s="308">
        <f>REGINFO!D66</f>
        <v>209842.0023350846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8">
        <f>E193-E194</f>
        <v>104920.8076649154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2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27077</v>
      </c>
      <c r="F201" s="3"/>
      <c r="G201" s="482"/>
      <c r="H201" s="164"/>
    </row>
    <row r="202" spans="1:8" ht="12.75">
      <c r="A202" s="155" t="s">
        <v>346</v>
      </c>
      <c r="B202" s="127"/>
      <c r="C202" s="112"/>
      <c r="D202" s="120"/>
      <c r="E202" s="308">
        <f>REGINFO!D62</f>
        <v>314762.81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104920.8076649154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47" r:id="rId1"/>
  <headerFooter alignWithMargins="0">
    <oddHeader>&amp;C&amp;F &amp;A&amp;R&amp;9Tillsonburg Hydro Inc.
EB-2011-0198
Filed: December 9, 2011
Updated: February 8, 2012</oddHeader>
    <oddFooter>&amp;R&amp;"Arial,Bold"&amp;9Page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84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7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0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327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258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325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326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5">
        <v>16477211</v>
      </c>
      <c r="D31" s="286"/>
      <c r="E31" s="284">
        <f>C31-D31</f>
        <v>16477211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1538514</v>
      </c>
      <c r="D32" s="286"/>
      <c r="E32" s="284">
        <f>C32-D32</f>
        <v>1538514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7959</v>
      </c>
      <c r="D33" s="286"/>
      <c r="E33" s="284">
        <f>C33-D33</f>
        <v>7959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34375</v>
      </c>
      <c r="D34" s="286"/>
      <c r="E34" s="284">
        <f>C34-D34</f>
        <v>34375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16477211</v>
      </c>
      <c r="D39" s="286"/>
      <c r="E39" s="284">
        <f>C39-D39</f>
        <v>16477211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352201</v>
      </c>
      <c r="D40" s="286"/>
      <c r="E40" s="284">
        <f aca="true" t="shared" si="0" ref="E40:E48">C40-D40</f>
        <v>352201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5">
        <v>302039</v>
      </c>
      <c r="D41" s="286"/>
      <c r="E41" s="284">
        <f t="shared" si="0"/>
        <v>302039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5">
        <v>588910</v>
      </c>
      <c r="D42" s="286"/>
      <c r="E42" s="284">
        <f t="shared" si="0"/>
        <v>588910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5">
        <v>292623</v>
      </c>
      <c r="D43" s="286"/>
      <c r="E43" s="284">
        <f t="shared" si="0"/>
        <v>292623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>
        <v>8907</v>
      </c>
      <c r="D44" s="286"/>
      <c r="E44" s="284">
        <f t="shared" si="0"/>
        <v>8907</v>
      </c>
      <c r="F44" s="11"/>
      <c r="G44" s="11"/>
      <c r="H44" s="6"/>
      <c r="I44" s="6"/>
    </row>
    <row r="45" spans="1:11" ht="12.75">
      <c r="A45" s="4" t="s">
        <v>493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34"/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36168</v>
      </c>
      <c r="D50" s="281">
        <f>SUM(D31:D36)-SUM(D39:D49)</f>
        <v>0</v>
      </c>
      <c r="E50" s="281">
        <f>SUM(E31:E35)-SUM(E39:E48)</f>
        <v>36168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27077</v>
      </c>
      <c r="D51" s="285"/>
      <c r="E51" s="282">
        <f>+C51-D51</f>
        <v>27077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0</v>
      </c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9091</v>
      </c>
      <c r="D53" s="281">
        <f>D50-D51-D52</f>
        <v>0</v>
      </c>
      <c r="E53" s="281">
        <f>E50-E51-E52</f>
        <v>9091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</row>
    <row r="60" spans="1:6" ht="12.75">
      <c r="A60" s="4" t="s">
        <v>328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s="34" t="s">
        <v>498</v>
      </c>
      <c r="B61" s="8" t="s">
        <v>187</v>
      </c>
      <c r="C61" s="493">
        <f>+C43</f>
        <v>292623</v>
      </c>
      <c r="D61" s="287">
        <f>D43</f>
        <v>0</v>
      </c>
      <c r="E61" s="272">
        <f>+C61-D61</f>
        <v>292623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278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445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396</v>
      </c>
      <c r="B66" s="8"/>
      <c r="C66" s="446">
        <f>'TAXREC 3 No True-up'!C47</f>
        <v>0</v>
      </c>
      <c r="D66" s="446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292623</v>
      </c>
      <c r="D70" s="272">
        <f>SUM(D59:D68)</f>
        <v>0</v>
      </c>
      <c r="E70" s="272">
        <f>SUM(E59:E68)</f>
        <v>292623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480</v>
      </c>
      <c r="B76" s="8" t="s">
        <v>187</v>
      </c>
      <c r="C76" s="478"/>
      <c r="D76" s="294"/>
      <c r="E76" s="50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292623</v>
      </c>
      <c r="D82" s="251">
        <f>D70+D80</f>
        <v>0</v>
      </c>
      <c r="E82" s="251">
        <f>E70+E80</f>
        <v>292623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433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73248</v>
      </c>
      <c r="D97" s="294"/>
      <c r="E97" s="272">
        <f>+C97-D97</f>
        <v>73248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396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73248</v>
      </c>
      <c r="D113" s="251">
        <f>SUM(D97:D111)</f>
        <v>0</v>
      </c>
      <c r="E113" s="251">
        <f>SUM(E97:E111)</f>
        <v>73248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73248</v>
      </c>
      <c r="D122" s="251">
        <f>D113+D120</f>
        <v>0</v>
      </c>
      <c r="E122" s="251">
        <f>+E113+E120</f>
        <v>73248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228466</v>
      </c>
      <c r="D134" s="251">
        <f>D53+D82-D122</f>
        <v>0</v>
      </c>
      <c r="E134" s="251">
        <f>E53+E82-E122</f>
        <v>228466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376</v>
      </c>
      <c r="B136" s="8" t="s">
        <v>188</v>
      </c>
      <c r="C136" s="294">
        <v>228466.0000001</v>
      </c>
      <c r="D136" s="294"/>
      <c r="E136" s="264">
        <f>C136-D136</f>
        <v>228466.0000001</v>
      </c>
      <c r="F136" s="8"/>
      <c r="G136" s="45"/>
      <c r="H136" s="45"/>
      <c r="I136" s="45"/>
      <c r="J136" s="45"/>
      <c r="K136" s="45"/>
    </row>
    <row r="137" spans="1:11" ht="12.75">
      <c r="A137" s="46" t="s">
        <v>377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-1.00000761449337E-07</v>
      </c>
      <c r="D139" s="252">
        <f>D134-D136-D137-D138</f>
        <v>0</v>
      </c>
      <c r="E139" s="252">
        <f>E134-E136-E137-E138</f>
        <v>-1.00000761449337E-07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8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04">
        <f>C142/C139</f>
        <v>0</v>
      </c>
      <c r="D149" s="495"/>
      <c r="E149" s="405">
        <f>C149</f>
        <v>0</v>
      </c>
      <c r="F149" s="8"/>
      <c r="G149" s="45" t="s">
        <v>470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4">
        <f>+C143/C139</f>
        <v>0</v>
      </c>
      <c r="D150" s="494"/>
      <c r="E150" s="405">
        <f>C150</f>
        <v>0</v>
      </c>
      <c r="F150" s="8"/>
      <c r="G150" s="45" t="s">
        <v>471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5">
        <f>SUM(C149:C150)</f>
        <v>0</v>
      </c>
      <c r="D151" s="481" t="s">
        <v>488</v>
      </c>
      <c r="E151" s="405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485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251">
        <v>7415</v>
      </c>
      <c r="D157" s="251"/>
      <c r="E157" s="251">
        <f>C157+D157</f>
        <v>7415</v>
      </c>
    </row>
    <row r="158" spans="1:5" ht="12.75">
      <c r="A158" t="s">
        <v>218</v>
      </c>
      <c r="B158" s="86" t="s">
        <v>187</v>
      </c>
      <c r="C158" s="25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7415</v>
      </c>
      <c r="D160" s="251">
        <f>D156+D157+D158</f>
        <v>0</v>
      </c>
      <c r="E160" s="251">
        <f>E156+E157+E158</f>
        <v>7415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0" fitToWidth="1" horizontalDpi="600" verticalDpi="600" orientation="portrait" scale="79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84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497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280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450</v>
      </c>
      <c r="B18" s="61"/>
      <c r="C18" s="294"/>
      <c r="D18" s="294"/>
      <c r="E18" s="251">
        <f t="shared" si="0"/>
        <v>0</v>
      </c>
    </row>
    <row r="19" spans="1:5" ht="12.75">
      <c r="A19" s="61" t="s">
        <v>450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280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450</v>
      </c>
      <c r="B30" s="61"/>
      <c r="C30" s="294"/>
      <c r="D30" s="294"/>
      <c r="E30" s="251">
        <f t="shared" si="1"/>
        <v>0</v>
      </c>
    </row>
    <row r="31" spans="1:5" ht="12.75">
      <c r="A31" s="61" t="s">
        <v>450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/>
      <c r="D44" s="294"/>
      <c r="E44" s="251">
        <f t="shared" si="2"/>
        <v>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311" t="s">
        <v>495</v>
      </c>
      <c r="B47" s="61"/>
      <c r="C47" s="294"/>
      <c r="D47" s="294"/>
      <c r="E47" s="251">
        <f t="shared" si="2"/>
        <v>0</v>
      </c>
    </row>
    <row r="48" spans="1:5" ht="12.75">
      <c r="A48" s="61" t="s">
        <v>450</v>
      </c>
      <c r="B48" s="61"/>
      <c r="C48" s="294"/>
      <c r="D48" s="294"/>
      <c r="E48" s="251">
        <f t="shared" si="2"/>
        <v>0</v>
      </c>
    </row>
    <row r="49" spans="1:5" ht="12.75">
      <c r="A49" s="496" t="s">
        <v>496</v>
      </c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/>
      <c r="D56" s="294"/>
      <c r="E56" s="251">
        <f t="shared" si="3"/>
        <v>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311" t="s">
        <v>495</v>
      </c>
      <c r="B59" s="61"/>
      <c r="C59" s="294"/>
      <c r="D59" s="294"/>
      <c r="E59" s="251">
        <f t="shared" si="3"/>
        <v>0</v>
      </c>
    </row>
    <row r="60" spans="1:5" ht="12.75">
      <c r="A60" s="61" t="s">
        <v>450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496</v>
      </c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467</v>
      </c>
      <c r="B5" s="8"/>
      <c r="C5" s="8" t="s">
        <v>2</v>
      </c>
      <c r="D5" s="8"/>
      <c r="E5" s="8"/>
      <c r="F5" s="8"/>
    </row>
    <row r="6" spans="1:6" ht="12.75">
      <c r="A6" s="415" t="s">
        <v>447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84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497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252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451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253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478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378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78" r:id="rId1"/>
  <headerFooter alignWithMargins="0">
    <oddHeader>&amp;C&amp;F &amp;A 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386</v>
      </c>
      <c r="E3" s="92"/>
    </row>
    <row r="4" spans="1:6" ht="15.75">
      <c r="A4" s="464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84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7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389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455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392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393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456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439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391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434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435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452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453</v>
      </c>
      <c r="C35" s="295"/>
      <c r="D35" s="295"/>
      <c r="E35" s="312">
        <f t="shared" si="0"/>
        <v>0</v>
      </c>
    </row>
    <row r="36" spans="1:5" ht="12.75">
      <c r="A36" s="67" t="s">
        <v>436</v>
      </c>
      <c r="C36" s="295"/>
      <c r="D36" s="295"/>
      <c r="E36" s="312">
        <f t="shared" si="0"/>
        <v>0</v>
      </c>
    </row>
    <row r="37" spans="1:5" ht="12.75">
      <c r="A37" s="67" t="s">
        <v>437</v>
      </c>
      <c r="C37" s="295"/>
      <c r="D37" s="295"/>
      <c r="E37" s="312">
        <f t="shared" si="0"/>
        <v>0</v>
      </c>
    </row>
    <row r="38" spans="1:5" ht="12.75">
      <c r="A38" s="67" t="s">
        <v>459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394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388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34"/>
      <c r="B44" t="s">
        <v>187</v>
      </c>
      <c r="C44" s="295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398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389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455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390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438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446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458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454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457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395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388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34" t="s">
        <v>494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397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70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EB-2011-0198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3" t="s">
        <v>306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87" t="str">
        <f>REGINFO!A3</f>
        <v>Utility Name: Tillsonburg Hydro Inc.</v>
      </c>
      <c r="B4" s="488"/>
      <c r="C4" s="489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499" t="str">
        <f>REGINFO!A4</f>
        <v>Reporting period:  2002</v>
      </c>
      <c r="B5" s="500"/>
      <c r="C5" s="501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338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8" t="s">
        <v>490</v>
      </c>
      <c r="B8" s="519"/>
      <c r="C8" s="519"/>
      <c r="D8" s="51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469</v>
      </c>
      <c r="B10" s="326"/>
      <c r="C10" s="375" t="s">
        <v>111</v>
      </c>
      <c r="D10" s="375"/>
      <c r="E10" s="375" t="s">
        <v>111</v>
      </c>
      <c r="F10" s="376" t="s">
        <v>491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299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298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303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259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333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334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5" t="s">
        <v>492</v>
      </c>
      <c r="B23" s="524"/>
      <c r="C23" s="524"/>
      <c r="D23" s="524"/>
      <c r="E23" s="524"/>
      <c r="F23" s="524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339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0" t="s">
        <v>484</v>
      </c>
      <c r="B26" s="521"/>
      <c r="C26" s="521"/>
      <c r="D26" s="521"/>
      <c r="E26" s="521"/>
      <c r="F26" s="52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442</v>
      </c>
      <c r="B28" s="326"/>
      <c r="C28" s="369" t="s">
        <v>111</v>
      </c>
      <c r="D28" s="369"/>
      <c r="E28" s="369" t="s">
        <v>111</v>
      </c>
      <c r="F28" s="370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298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259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481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482</v>
      </c>
      <c r="B40" s="407" t="s">
        <v>474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5" t="s">
        <v>336</v>
      </c>
      <c r="B41" s="524"/>
      <c r="C41" s="524"/>
      <c r="D41" s="524"/>
      <c r="E41" s="524"/>
      <c r="F41" s="52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6"/>
      <c r="B42" s="526"/>
      <c r="C42" s="526"/>
      <c r="D42" s="526"/>
      <c r="E42" s="526"/>
      <c r="F42" s="52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340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483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491</v>
      </c>
      <c r="G46" s="522"/>
      <c r="H46" s="523"/>
      <c r="I46" s="523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298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3"/>
      <c r="I50" s="483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3"/>
      <c r="I51" s="483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259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3"/>
      <c r="I52" s="483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351</v>
      </c>
      <c r="B57" s="406" t="s">
        <v>473</v>
      </c>
      <c r="C57" s="362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352</v>
      </c>
      <c r="B58" s="407" t="s">
        <v>474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5" t="s">
        <v>353</v>
      </c>
      <c r="B59" s="516"/>
      <c r="C59" s="516"/>
      <c r="D59" s="516"/>
      <c r="E59" s="516"/>
      <c r="F59" s="51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7"/>
      <c r="B60" s="517"/>
      <c r="C60" s="517"/>
      <c r="D60" s="517"/>
      <c r="E60" s="517"/>
      <c r="F60" s="51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6">
    <mergeCell ref="A59:F60"/>
    <mergeCell ref="A8:D8"/>
    <mergeCell ref="A26:F26"/>
    <mergeCell ref="G46:I46"/>
    <mergeCell ref="A23:F23"/>
    <mergeCell ref="A41:F42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74" r:id="rId1"/>
  <headerFooter alignWithMargins="0">
    <oddHeader>&amp;C&amp;F &amp;A 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4">
      <selection activeCell="E19" sqref="E19: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460</v>
      </c>
      <c r="B2" s="2"/>
    </row>
    <row r="3" spans="1:15" ht="13.5" thickBot="1">
      <c r="A3" s="487" t="str">
        <f>REGINFO!A3</f>
        <v>Utility Name: Tillsonburg Hydro Inc.</v>
      </c>
      <c r="B3" s="490"/>
      <c r="C3" s="491"/>
      <c r="O3" s="416" t="str">
        <f>REGINFO!E1</f>
        <v>Version 2009.1</v>
      </c>
    </row>
    <row r="4" spans="1:15" ht="13.5" thickBot="1">
      <c r="A4" s="499" t="str">
        <f>REGINFO!A4</f>
        <v>Reporting period:  2002</v>
      </c>
      <c r="B4" s="502"/>
      <c r="C4" s="503"/>
      <c r="E4" s="417" t="s">
        <v>322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47373</v>
      </c>
      <c r="F11" s="419"/>
      <c r="G11" s="396">
        <f>E22</f>
        <v>17483</v>
      </c>
      <c r="H11" s="419"/>
      <c r="I11" s="396">
        <f>G22</f>
        <v>-35480</v>
      </c>
      <c r="J11" s="390"/>
      <c r="K11" s="396">
        <f>I22</f>
        <v>-93718.5</v>
      </c>
      <c r="L11" s="390"/>
      <c r="M11" s="396">
        <f>K22</f>
        <v>-160026.25</v>
      </c>
      <c r="N11" s="390"/>
      <c r="O11" s="396">
        <f>C11</f>
        <v>0</v>
      </c>
    </row>
    <row r="12" spans="1:15" ht="27" customHeight="1">
      <c r="A12" s="81" t="s">
        <v>399</v>
      </c>
      <c r="B12" s="66" t="s">
        <v>190</v>
      </c>
      <c r="C12" s="395">
        <v>47086</v>
      </c>
      <c r="D12" s="391"/>
      <c r="E12" s="395">
        <v>154547</v>
      </c>
      <c r="F12" s="95"/>
      <c r="G12" s="510">
        <f>+C12+E12</f>
        <v>201633</v>
      </c>
      <c r="H12" s="511"/>
      <c r="I12" s="510">
        <f>+(G12*(3/12))+(E12*(9/12))</f>
        <v>166318.5</v>
      </c>
      <c r="J12" s="512"/>
      <c r="K12" s="418">
        <f>+(E12*(3/12))</f>
        <v>38636.75</v>
      </c>
      <c r="L12" s="391"/>
      <c r="M12" s="418">
        <f>+(94642*(4/12))</f>
        <v>31547.333333333332</v>
      </c>
      <c r="N12" s="391"/>
      <c r="O12" s="396">
        <f aca="true" t="shared" si="0" ref="O12:O20">SUM(C12:N12)</f>
        <v>639768.5833333334</v>
      </c>
    </row>
    <row r="13" spans="1:15" ht="27" customHeight="1">
      <c r="A13" s="81" t="s">
        <v>441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>
        <f>+(94642*(9/12))</f>
        <v>70981.5</v>
      </c>
      <c r="L13" s="391"/>
      <c r="M13" s="418"/>
      <c r="N13" s="391"/>
      <c r="O13" s="396">
        <f t="shared" si="0"/>
        <v>70981.5</v>
      </c>
    </row>
    <row r="14" spans="1:15" ht="25.5">
      <c r="A14" s="81" t="s">
        <v>400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9" ht="27" customHeight="1">
      <c r="A15" s="81" t="s">
        <v>401</v>
      </c>
      <c r="B15" s="66" t="s">
        <v>190</v>
      </c>
      <c r="C15" s="492"/>
      <c r="D15" s="391"/>
      <c r="E15" s="506"/>
      <c r="F15" s="95"/>
      <c r="G15" s="395">
        <f>+ROUND(TAXCALC!E132,0)</f>
        <v>0</v>
      </c>
      <c r="H15" s="95"/>
      <c r="I15" s="395"/>
      <c r="J15" s="391"/>
      <c r="K15" s="395"/>
      <c r="L15" s="391"/>
      <c r="M15" s="418"/>
      <c r="N15" s="391"/>
      <c r="O15" s="396">
        <f t="shared" si="0"/>
        <v>0</v>
      </c>
      <c r="Q15" s="34"/>
      <c r="R15" s="40"/>
      <c r="S15" s="34"/>
    </row>
    <row r="16" spans="1:15" ht="27" customHeight="1">
      <c r="A16" s="81" t="s">
        <v>402</v>
      </c>
      <c r="B16" s="66"/>
      <c r="C16" s="395"/>
      <c r="D16" s="391"/>
      <c r="E16" s="506">
        <v>-15632</v>
      </c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-15632</v>
      </c>
    </row>
    <row r="17" spans="1:15" ht="27.75" customHeight="1">
      <c r="A17" s="81" t="s">
        <v>403</v>
      </c>
      <c r="B17" s="66" t="s">
        <v>190</v>
      </c>
      <c r="C17" s="395"/>
      <c r="D17" s="391"/>
      <c r="E17" s="506"/>
      <c r="F17" s="95"/>
      <c r="G17" s="395">
        <f>ROUND(TAXCALC!E181,0)</f>
        <v>-50684</v>
      </c>
      <c r="H17" s="95"/>
      <c r="I17" s="395">
        <v>-52056</v>
      </c>
      <c r="J17" s="391"/>
      <c r="K17" s="395">
        <v>-52056</v>
      </c>
      <c r="L17" s="391"/>
      <c r="M17" s="418"/>
      <c r="N17" s="391"/>
      <c r="O17" s="396">
        <f t="shared" si="0"/>
        <v>-154796</v>
      </c>
    </row>
    <row r="18" spans="1:15" ht="25.5">
      <c r="A18" s="81" t="s">
        <v>404</v>
      </c>
      <c r="B18" s="66" t="s">
        <v>190</v>
      </c>
      <c r="C18" s="395"/>
      <c r="D18" s="391"/>
      <c r="E18" s="506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405</v>
      </c>
      <c r="B19" s="66" t="s">
        <v>190</v>
      </c>
      <c r="C19" s="395">
        <v>287</v>
      </c>
      <c r="D19" s="391" t="s">
        <v>502</v>
      </c>
      <c r="E19" s="506">
        <v>4173</v>
      </c>
      <c r="F19" s="511"/>
      <c r="G19" s="506">
        <v>-1368</v>
      </c>
      <c r="H19" s="511"/>
      <c r="I19" s="506">
        <v>-4970</v>
      </c>
      <c r="J19" s="512"/>
      <c r="K19" s="506">
        <v>-9058</v>
      </c>
      <c r="L19" s="512"/>
      <c r="M19" s="506">
        <v>-3582</v>
      </c>
      <c r="N19" s="391"/>
      <c r="O19" s="396">
        <f t="shared" si="0"/>
        <v>-14518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506">
        <v>-172978</v>
      </c>
      <c r="F20" s="95"/>
      <c r="G20" s="395">
        <v>-202544</v>
      </c>
      <c r="H20" s="95"/>
      <c r="I20" s="395">
        <v>-167531</v>
      </c>
      <c r="J20" s="391"/>
      <c r="K20" s="395">
        <v>-114812</v>
      </c>
      <c r="L20" s="391"/>
      <c r="M20" s="395">
        <v>-30790</v>
      </c>
      <c r="N20" s="391"/>
      <c r="O20" s="396">
        <f t="shared" si="0"/>
        <v>-688655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375</v>
      </c>
      <c r="B22" s="34"/>
      <c r="C22" s="397">
        <f>SUM(C11:C20)</f>
        <v>47373</v>
      </c>
      <c r="D22" s="419"/>
      <c r="E22" s="397">
        <f>SUM(E11:E20)</f>
        <v>17483</v>
      </c>
      <c r="F22" s="419"/>
      <c r="G22" s="397">
        <f>SUM(G11:G20)</f>
        <v>-35480</v>
      </c>
      <c r="H22" s="419"/>
      <c r="I22" s="397">
        <f>SUM(I11:I20)</f>
        <v>-93718.5</v>
      </c>
      <c r="J22" s="390"/>
      <c r="K22" s="397">
        <f>SUM(K11:K20)</f>
        <v>-160026.25</v>
      </c>
      <c r="L22" s="390"/>
      <c r="M22" s="397">
        <f>SUM(M11:M21)</f>
        <v>-162850.9166666667</v>
      </c>
      <c r="N22" s="390"/>
      <c r="O22" s="450">
        <f>SUM(O11:O20)</f>
        <v>-162850.91666666663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406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407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408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409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8" t="s">
        <v>410</v>
      </c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420"/>
      <c r="Q33" s="420"/>
      <c r="R33" s="420"/>
      <c r="S33" s="420"/>
    </row>
    <row r="34" spans="1:19" ht="12.75">
      <c r="A34" s="527" t="s">
        <v>411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420"/>
      <c r="Q34" s="420"/>
      <c r="R34" s="420"/>
      <c r="S34" s="420"/>
    </row>
    <row r="35" spans="1:19" ht="12.75">
      <c r="A35" s="527" t="s">
        <v>432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420"/>
      <c r="Q35" s="420"/>
      <c r="R35" s="420"/>
      <c r="S35" s="420"/>
    </row>
    <row r="36" spans="1:19" ht="12.75">
      <c r="A36" s="527" t="s">
        <v>412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420"/>
      <c r="Q36" s="420"/>
      <c r="R36" s="420"/>
      <c r="S36" s="420"/>
    </row>
    <row r="37" spans="1:19" ht="12.75">
      <c r="A37" s="437" t="s">
        <v>372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373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413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414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415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416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417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418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419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420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421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418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422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423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424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425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426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382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427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428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384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383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385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429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430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431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7" t="s">
        <v>461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</row>
    <row r="75" spans="1:15" ht="12.75">
      <c r="A75" s="434" t="s">
        <v>374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2012-02-06T21:56:04Z</cp:lastPrinted>
  <dcterms:created xsi:type="dcterms:W3CDTF">2001-11-07T16:15:53Z</dcterms:created>
  <dcterms:modified xsi:type="dcterms:W3CDTF">2012-02-06T23:39:11Z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