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<sst xmlns="http://schemas.openxmlformats.org/spreadsheetml/2006/main" count="877" uniqueCount="503">
  <si>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</si>
  <si>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</si>
  <si>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</si>
  <si>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</si>
  <si>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</si>
  <si>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</si>
  <si>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</si>
  <si>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</si>
  <si>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</si>
  <si>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</si>
  <si>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</si>
  <si>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</si>
  <si>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</si>
  <si>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</si>
  <si>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</si>
  <si>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</si>
  <si>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</si>
  <si>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</si>
  <si>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</si>
  <si>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</si>
  <si>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</si>
  <si>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</si>
  <si>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</si>
  <si>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</si>
  <si>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</si>
  <si>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</si>
  <si>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</si>
  <si>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</si>
  <si>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</si>
  <si>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</si>
  <si>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</si>
  <si>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</si>
  <si>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</si>
  <si>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</si>
  <si>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</si>
  <si>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</si>
  <si>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</si>
  <si>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</si>
  <si>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</si>
  <si>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</si>
  <si>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</si>
  <si>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</si>
  <si>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</si>
  <si>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</si>
  <si>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</si>
  <si>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</si>
  <si>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</si>
  <si>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</si>
  <si>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</si>
  <si>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</si>
  <si>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</si>
  <si>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</si>
  <si>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</si>
  <si>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</si>
  <si>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</si>
  <si>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</si>
  <si>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</si>
  <si>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</si>
  <si>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</si>
  <si>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</si>
  <si>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</si>
  <si>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</si>
  <si>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</si>
  <si>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</si>
  <si>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</si>
  <si>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</si>
  <si>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</si>
  <si>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</si>
  <si>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</si>
  <si>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</si>
  <si>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</si>
  <si>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</si>
  <si>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</si>
  <si>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</si>
  <si>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</si>
  <si>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</si>
  <si>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</si>
  <si>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</si>
  <si>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</si>
  <si>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</si>
  <si>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</si>
  <si>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</si>
  <si>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</si>
  <si>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</si>
  <si>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</si>
  <si>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</si>
  <si>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</si>
  <si>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</si>
  <si>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</si>
  <si>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</si>
  <si>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</si>
  <si>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</si>
  <si>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</si>
  <si>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</si>
  <si>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</si>
  <si>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</si>
  <si>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</si>
  <si>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</si>
  <si>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</si>
  <si>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</si>
  <si>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</si>
  <si>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</si>
  <si>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</si>
  <si>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</si>
  <si>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</si>
  <si>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</si>
  <si>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</si>
  <si>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</si>
  <si>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</si>
  <si>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</si>
  <si>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</si>
  <si>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</si>
  <si>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</si>
  <si>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</si>
  <si>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</si>
  <si>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</si>
  <si>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</si>
  <si>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</si>
  <si>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</si>
  <si>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</si>
  <si>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</si>
  <si>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</si>
  <si>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</si>
  <si>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</si>
  <si>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</si>
  <si>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</si>
  <si>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</si>
  <si>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</si>
  <si>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</si>
  <si>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</si>
  <si>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</si>
  <si>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</si>
  <si>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</si>
  <si>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</si>
  <si>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</si>
  <si>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</si>
  <si>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</si>
  <si>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</si>
  <si>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</si>
  <si>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</si>
  <si>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</si>
  <si>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</si>
  <si>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</si>
  <si>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</si>
  <si>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</si>
  <si>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</si>
  <si>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</si>
  <si>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</si>
  <si>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</si>
  <si>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</si>
  <si>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</si>
  <si>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</si>
  <si>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</si>
  <si>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</si>
  <si>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</si>
  <si>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</si>
  <si>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</si>
  <si>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</si>
  <si>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</si>
  <si>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</si>
  <si>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</si>
  <si>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</si>
  <si>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</si>
  <si>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</si>
  <si>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</si>
  <si>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</si>
  <si>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</si>
  <si>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</si>
  <si>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</si>
  <si>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</si>
  <si>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</si>
  <si>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</si>
  <si>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</si>
  <si>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</si>
  <si>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</si>
  <si>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</si>
  <si>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</si>
  <si>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</si>
  <si>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</si>
  <si>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</si>
  <si>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</si>
  <si>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</si>
  <si>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</si>
  <si>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</si>
  <si>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</si>
  <si>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</si>
  <si>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</si>
  <si>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</si>
  <si>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</si>
  <si>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</si>
  <si>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</si>
  <si>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</si>
  <si>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</si>
  <si>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</si>
  <si>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</si>
  <si>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</si>
  <si>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</si>
  <si>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</si>
  <si>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</si>
  <si>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</si>
  <si>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</si>
  <si>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</si>
  <si>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</si>
  <si>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</si>
  <si>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</si>
  <si>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</si>
  <si>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</si>
  <si>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</si>
  <si>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</si>
  <si>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</si>
  <si>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</si>
  <si>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</si>
  <si>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</si>
  <si>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</si>
  <si>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</si>
  <si>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</si>
  <si>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</si>
  <si>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</si>
  <si>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</si>
  <si>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</si>
  <si>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</si>
  <si>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</si>
  <si>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</si>
  <si>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</si>
  <si>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</si>
  <si>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</si>
  <si>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</si>
  <si>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</si>
  <si>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</si>
  <si>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</si>
  <si>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</si>
  <si>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</si>
  <si>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</si>
  <si>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</si>
  <si>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</si>
  <si>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</si>
  <si>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</si>
  <si>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</si>
  <si>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</si>
  <si>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</si>
  <si>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</si>
  <si>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</si>
  <si>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</si>
  <si>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</si>
  <si>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</si>
  <si>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</si>
  <si>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</si>
  <si>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</si>
  <si>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</si>
  <si>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</si>
  <si>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</si>
  <si>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</si>
  <si>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</si>
  <si>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</si>
  <si>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</si>
  <si>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</si>
  <si>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</si>
  <si>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</si>
  <si>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</si>
  <si>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</si>
  <si>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</si>
  <si>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</si>
  <si>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</si>
  <si>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</si>
  <si>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</si>
  <si>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</si>
  <si>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</si>
  <si>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</si>
  <si>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</si>
  <si>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</si>
  <si>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</si>
  <si>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</si>
  <si>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</si>
  <si>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</si>
  <si>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</si>
  <si>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</si>
  <si>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</si>
  <si>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</si>
  <si>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</si>
  <si>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</si>
  <si>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</si>
  <si>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</si>
  <si>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</si>
  <si>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</si>
  <si>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</si>
  <si>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</si>
  <si>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</si>
  <si>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</si>
  <si>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</si>
  <si>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</si>
  <si>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</si>
  <si>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</si>
  <si>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</si>
  <si>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</si>
  <si>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</si>
  <si>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</si>
  <si>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</si>
  <si>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</si>
  <si>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</si>
  <si>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</si>
  <si>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</si>
  <si>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</si>
  <si>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</si>
  <si>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</si>
  <si>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</si>
  <si>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</si>
  <si>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</si>
  <si>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</si>
  <si>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</si>
  <si>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</si>
  <si>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</si>
  <si>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</si>
  <si>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</si>
  <si>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</si>
  <si>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</si>
  <si>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</si>
  <si>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</si>
  <si>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</si>
  <si>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</si>
  <si>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</si>
  <si>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</si>
  <si>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</si>
  <si>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</si>
  <si>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</si>
  <si>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</si>
  <si>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</si>
  <si>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</si>
  <si>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</si>
  <si>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</si>
  <si>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</si>
  <si>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</si>
  <si>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</si>
  <si>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</si>
  <si>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</si>
  <si>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</si>
  <si>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</si>
  <si>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</si>
  <si>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</si>
  <si>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</si>
  <si>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</si>
  <si>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</si>
  <si>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</si>
  <si>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</si>
  <si>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</si>
  <si>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</si>
  <si>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</si>
  <si>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</si>
  <si>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</si>
  <si>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</si>
  <si>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</si>
  <si>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</si>
  <si>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</si>
  <si>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</si>
  <si>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</si>
  <si>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</si>
  <si>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</si>
  <si>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</si>
  <si>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</si>
  <si>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</si>
  <si>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</si>
  <si>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</si>
  <si>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</si>
  <si>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</si>
  <si>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</si>
  <si>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</si>
  <si>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</si>
  <si>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</si>
  <si>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</si>
  <si>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</si>
  <si>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</si>
  <si>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</si>
  <si>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</si>
  <si>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</si>
  <si>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</si>
  <si>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</si>
  <si>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</si>
  <si>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</si>
  <si>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</si>
  <si>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</si>
  <si>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</si>
  <si>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</si>
  <si>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</si>
  <si>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</si>
  <si>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</si>
  <si>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</si>
  <si>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</si>
  <si>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</si>
  <si>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</si>
  <si>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</si>
  <si>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</si>
  <si>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</si>
  <si>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</si>
  <si>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</si>
  <si>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</si>
  <si>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</si>
  <si>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</si>
  <si>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</si>
  <si>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</si>
  <si>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</si>
  <si>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</si>
  <si>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</si>
  <si>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</si>
  <si>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</si>
  <si>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</si>
  <si>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</si>
  <si>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</si>
  <si>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</si>
  <si>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</si>
  <si>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</si>
  <si>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</si>
  <si>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</si>
  <si>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</si>
  <si>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</si>
  <si>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</si>
  <si>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</si>
  <si>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</si>
  <si>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</si>
  <si>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</si>
  <si>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</si>
  <si>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</si>
  <si>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</si>
  <si>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</si>
  <si>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</si>
  <si>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</si>
  <si>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</si>
  <si>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</si>
  <si>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</si>
  <si>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</si>
  <si>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</si>
  <si>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</si>
  <si>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</si>
  <si>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</si>
  <si>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</si>
  <si>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</si>
  <si>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</si>
  <si>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</si>
  <si>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</si>
  <si>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</si>
  <si>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</si>
  <si>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</si>
  <si>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</si>
  <si>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</si>
  <si>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</si>
  <si>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</si>
  <si>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</si>
  <si>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</si>
  <si>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</si>
  <si>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</si>
  <si>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</si>
  <si>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</si>
  <si>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</si>
  <si>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</si>
  <si>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</si>
  <si>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</si>
  <si>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</si>
  <si>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</si>
  <si>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</si>
  <si>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</si>
  <si>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</si>
  <si>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</si>
  <si>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</si>
  <si>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</si>
  <si>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</si>
  <si>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</si>
  <si>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</si>
  <si>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</si>
  <si>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</si>
  <si>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</si>
  <si>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</si>
  <si>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</si>
  <si>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</si>
  <si>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</si>
  <si>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</si>
  <si>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</si>
  <si>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</si>
  <si>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</si>
  <si>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</si>
  <si>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</si>
  <si>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</si>
  <si>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</si>
  <si>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</si>
  <si>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</si>
  <si>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</si>
  <si>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</si>
  <si>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</si>
  <si>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</si>
  <si>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</si>
  <si>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</si>
  <si>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</si>
  <si>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</si>
  <si>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</si>
  <si>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</si>
  <si>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</si>
  <si>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</si>
  <si>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 xml:space="preserve">     Community Relations</t>
  </si>
  <si>
    <t>Post Employment Benefits</t>
  </si>
  <si>
    <t>Total Deemed Interest (REGINFO Cell D62)</t>
  </si>
  <si>
    <t>Less: Federal LCT reported in the initial estimate column  (Cell C84)</t>
  </si>
  <si>
    <t>Vested Sick leave</t>
  </si>
  <si>
    <t>PILs TAXES - EB-2011-0198</t>
  </si>
  <si>
    <t>Utility Name: Tillsonburg Hydro Inc.</t>
  </si>
  <si>
    <t>Y</t>
  </si>
  <si>
    <t>N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</si>
</sst>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3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3" fillId="45" borderId="60" xfId="0" applyFont="1" applyFill="1" applyBorder="1" applyAlignment="1">
      <alignment vertical="top"/>
    </xf>
    <xf numFmtId="0" fontId="3" fillId="45" borderId="60" xfId="0" applyFont="1" applyFill="1" applyBorder="1" applyAlignment="1" applyProtection="1">
      <alignment vertical="top"/>
      <protection locked="0"/>
    </xf>
    <xf numFmtId="0" fontId="3" fillId="45" borderId="50" xfId="0" applyFont="1" applyFill="1" applyBorder="1" applyAlignment="1">
      <alignment vertical="top"/>
    </xf>
    <xf numFmtId="0" fontId="0" fillId="45" borderId="61" xfId="0" applyFill="1" applyBorder="1" applyAlignment="1" applyProtection="1">
      <alignment horizontal="center" vertical="top"/>
      <protection locked="0"/>
    </xf>
    <xf numFmtId="0" fontId="0" fillId="45" borderId="22" xfId="0" applyFill="1" applyBorder="1" applyAlignment="1" applyProtection="1">
      <alignment horizontal="center" vertical="top"/>
      <protection locked="0"/>
    </xf>
    <xf numFmtId="0" fontId="0" fillId="45" borderId="61" xfId="0" applyFill="1" applyBorder="1" applyAlignment="1">
      <alignment vertical="top"/>
    </xf>
    <xf numFmtId="0" fontId="0" fillId="45" borderId="22" xfId="0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19" fillId="0" borderId="0" xfId="0" applyFont="1" applyFill="1" applyAlignment="1">
      <alignment vertical="top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I%201%20Tillsonburg_2003_PILs%20Model_Updated%2012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1">
          <cell r="E181">
            <v>-52055.575318862895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499</v>
      </c>
      <c r="C1" s="8"/>
      <c r="E1" s="2" t="s">
        <v>459</v>
      </c>
      <c r="H1" s="8"/>
    </row>
    <row r="2" spans="1:8" ht="13.5" thickBot="1">
      <c r="A2" s="2" t="s">
        <v>59</v>
      </c>
      <c r="B2" s="8"/>
      <c r="C2" s="8"/>
      <c r="E2" s="21"/>
      <c r="H2" s="8"/>
    </row>
    <row r="3" spans="1:8" ht="13.5" thickBot="1">
      <c r="A3" s="491" t="s">
        <v>500</v>
      </c>
      <c r="C3" s="8"/>
      <c r="D3" s="456" t="s">
        <v>445</v>
      </c>
      <c r="E3" s="8"/>
      <c r="F3" s="8"/>
      <c r="G3" s="8"/>
      <c r="H3" s="8"/>
    </row>
    <row r="4" spans="1:8" ht="13.5" thickBot="1">
      <c r="A4" s="501" t="s">
        <v>482</v>
      </c>
      <c r="C4" s="8"/>
      <c r="D4" s="455" t="s">
        <v>440</v>
      </c>
      <c r="E4" s="429"/>
      <c r="H4" s="8"/>
    </row>
    <row r="5" spans="1:8" ht="12.75">
      <c r="A5" s="52"/>
      <c r="C5" s="8"/>
      <c r="D5" s="454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45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45"/>
      <c r="F12" s="3"/>
      <c r="G12" s="3"/>
      <c r="H12" s="3"/>
    </row>
    <row r="13" spans="1:7" ht="6.75" customHeight="1">
      <c r="A13" s="3"/>
      <c r="C13" s="20"/>
      <c r="D13" s="20"/>
      <c r="E13" s="45"/>
      <c r="F13" s="3"/>
      <c r="G13" s="3"/>
    </row>
    <row r="14" spans="1:7" ht="12.75">
      <c r="A14" s="3" t="s">
        <v>65</v>
      </c>
      <c r="C14" s="20"/>
      <c r="D14" s="20"/>
      <c r="E14" s="45"/>
      <c r="F14" s="3"/>
      <c r="G14" s="3"/>
    </row>
    <row r="15" spans="1:5" ht="13.5" customHeight="1" thickBot="1">
      <c r="A15" s="3" t="s">
        <v>66</v>
      </c>
      <c r="C15" s="8" t="s">
        <v>64</v>
      </c>
      <c r="D15" s="258" t="s">
        <v>502</v>
      </c>
      <c r="E15" s="34"/>
    </row>
    <row r="16" spans="1:5" ht="7.5" customHeight="1">
      <c r="A16" s="45"/>
      <c r="C16" s="8"/>
      <c r="D16" s="8"/>
      <c r="E16" s="34"/>
    </row>
    <row r="17" spans="1:5" ht="13.5" thickBot="1">
      <c r="A17" s="45" t="s">
        <v>185</v>
      </c>
      <c r="C17" s="8" t="s">
        <v>64</v>
      </c>
      <c r="D17" s="258" t="s">
        <v>502</v>
      </c>
      <c r="E17" s="34"/>
    </row>
    <row r="18" spans="1:5" ht="15" customHeight="1">
      <c r="A18" s="390" t="s">
        <v>315</v>
      </c>
      <c r="C18" s="8"/>
      <c r="D18" s="8"/>
      <c r="E18" s="34"/>
    </row>
    <row r="19" spans="1:5" ht="15" customHeight="1">
      <c r="A19" s="518" t="s">
        <v>316</v>
      </c>
      <c r="B19" s="8" t="s">
        <v>313</v>
      </c>
      <c r="C19" s="8" t="s">
        <v>64</v>
      </c>
      <c r="D19" s="389" t="s">
        <v>502</v>
      </c>
      <c r="E19" s="34"/>
    </row>
    <row r="20" spans="1:5" ht="13.5" thickBot="1">
      <c r="A20" s="519"/>
      <c r="B20" s="8" t="s">
        <v>314</v>
      </c>
      <c r="C20" s="8" t="s">
        <v>64</v>
      </c>
      <c r="D20" s="258" t="s">
        <v>502</v>
      </c>
      <c r="E20" s="34"/>
    </row>
    <row r="21" spans="1:4" ht="12.75">
      <c r="A21" s="518" t="s">
        <v>312</v>
      </c>
      <c r="B21" s="8" t="s">
        <v>313</v>
      </c>
      <c r="C21" s="8"/>
      <c r="D21" s="424">
        <v>1</v>
      </c>
    </row>
    <row r="22" spans="1:4" ht="12.75">
      <c r="A22" s="518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8683112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743708.5428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247903</v>
      </c>
      <c r="E47" s="388">
        <f aca="true" t="shared" si="0" ref="E47:E53">D47</f>
        <v>247903</v>
      </c>
      <c r="H47" s="40"/>
      <c r="J47" s="5"/>
      <c r="K47" s="5"/>
    </row>
    <row r="48" spans="1:11" ht="12.75">
      <c r="A48" t="s">
        <v>290</v>
      </c>
      <c r="D48" s="427">
        <v>247903</v>
      </c>
      <c r="E48" s="388">
        <f>D48</f>
        <v>247903</v>
      </c>
      <c r="F48" s="22"/>
      <c r="H48" s="40"/>
      <c r="J48" s="5"/>
      <c r="K48" s="5"/>
    </row>
    <row r="49" spans="1:11" ht="12.75">
      <c r="A49" t="s">
        <v>291</v>
      </c>
      <c r="D49" s="428">
        <v>247903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495806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209842.0023350846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157">
      <selection activeCell="E176" sqref="E17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EB-2011-0198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3.5" thickBot="1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3.5" thickBot="1">
      <c r="A6" s="493" t="str">
        <f>REGINFO!A3</f>
        <v>Utility Name: Tillsonburg Hydro Inc.</v>
      </c>
      <c r="B6" s="492"/>
      <c r="D6" s="137"/>
      <c r="E6" s="115"/>
      <c r="G6" s="115"/>
      <c r="H6" s="466"/>
    </row>
    <row r="7" spans="1:8" ht="13.5" thickBot="1">
      <c r="A7" s="502" t="str">
        <f>REGINFO!A4</f>
        <v>Reporting period:  2004</v>
      </c>
      <c r="B7" s="492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495806</v>
      </c>
      <c r="D16" s="17"/>
      <c r="E16" s="267">
        <f>G16-C16</f>
        <v>-509761</v>
      </c>
      <c r="F16" s="3"/>
      <c r="G16" s="267">
        <f>TAXREC!E50</f>
        <v>-13955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415594</v>
      </c>
      <c r="D20" s="18"/>
      <c r="E20" s="267">
        <f>G20-C20</f>
        <v>-131336</v>
      </c>
      <c r="F20" s="6"/>
      <c r="G20" s="267">
        <f>TAXREC!E61</f>
        <v>284258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1" t="s">
        <v>393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424488</v>
      </c>
      <c r="D33" s="132"/>
      <c r="E33" s="267">
        <f aca="true" t="shared" si="0" ref="E33:E42">G33-C33</f>
        <v>-174512.9999999</v>
      </c>
      <c r="F33" s="6"/>
      <c r="G33" s="267">
        <f>TAXREC!E97+TAXREC!E98</f>
        <v>249975.0000001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209842.0023350846</v>
      </c>
      <c r="D37" s="132"/>
      <c r="E37" s="267">
        <f t="shared" si="0"/>
        <v>-189514.0023350846</v>
      </c>
      <c r="F37" s="6"/>
      <c r="G37" s="267">
        <f>TAXREC!E51</f>
        <v>20328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393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277069.9976649154</v>
      </c>
      <c r="D50" s="102"/>
      <c r="E50" s="263">
        <f>E16+SUM(E20:E30)-SUM(E33:E48)</f>
        <v>-277069.9976650154</v>
      </c>
      <c r="F50" s="432"/>
      <c r="G50" s="263">
        <f>G16+SUM(G20:G30)-SUM(G33:G48)</f>
        <v>-1.00000761449337E-07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-0.3412</v>
      </c>
      <c r="F53" s="114"/>
      <c r="G53" s="474">
        <f>TAXREC!E151</f>
        <v>0</v>
      </c>
      <c r="H53" s="151"/>
      <c r="I53" s="47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94536.28320326914</v>
      </c>
      <c r="D55" s="102"/>
      <c r="E55" s="267">
        <f>G55-C55</f>
        <v>-94536.28320326914</v>
      </c>
      <c r="F55" s="432" t="s">
        <v>366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366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94536.28320326914</v>
      </c>
      <c r="D60" s="133"/>
      <c r="E60" s="269">
        <f>+E55-E58</f>
        <v>-94536.28320326914</v>
      </c>
      <c r="F60" s="432" t="s">
        <v>366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8683112</v>
      </c>
      <c r="D66" s="102"/>
      <c r="E66" s="267">
        <f>G66-C66</f>
        <v>-1295515</v>
      </c>
      <c r="F66" s="6"/>
      <c r="G66" s="476">
        <v>7387597</v>
      </c>
      <c r="H66" s="151"/>
      <c r="I66" s="477" t="s">
        <v>472</v>
      </c>
    </row>
    <row r="67" spans="1:10" ht="12.75">
      <c r="A67" s="152" t="s">
        <v>359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1"/>
      <c r="I67" s="477" t="s">
        <v>472</v>
      </c>
      <c r="J67" s="509"/>
    </row>
    <row r="68" spans="1:8" ht="12.75">
      <c r="A68" s="152" t="s">
        <v>42</v>
      </c>
      <c r="B68" s="125"/>
      <c r="C68" s="264">
        <f>IF((C66-C67)&gt;0,C66-C67,0)</f>
        <v>3683112</v>
      </c>
      <c r="D68" s="102"/>
      <c r="E68" s="267">
        <f>SUM(E66:E67)</f>
        <v>-1295515</v>
      </c>
      <c r="F68" s="114"/>
      <c r="G68" s="264">
        <f>IF((G66-G67)&gt;0,G66-G67,0)</f>
        <v>2387597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11049.336</v>
      </c>
      <c r="D72" s="101"/>
      <c r="E72" s="267">
        <f>+G72-C72</f>
        <v>-3886.544999999999</v>
      </c>
      <c r="F72" s="478"/>
      <c r="G72" s="264">
        <f>IF(G68&gt;0,G68*G70,0)*REGINFO!$B$6/REGINFO!$B$7</f>
        <v>7162.791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8683112</v>
      </c>
      <c r="D75" s="102"/>
      <c r="E75" s="267">
        <f>+G75-C75</f>
        <v>-1295515</v>
      </c>
      <c r="F75" s="6"/>
      <c r="G75" s="476">
        <v>7387597</v>
      </c>
      <c r="H75" s="151"/>
      <c r="I75" s="477" t="s">
        <v>472</v>
      </c>
    </row>
    <row r="76" spans="1:9" ht="12.75">
      <c r="A76" s="152" t="s">
        <v>359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477" t="s">
        <v>472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+G77-C77</f>
        <v>0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141098.93015413306</v>
      </c>
      <c r="D90" s="20"/>
      <c r="E90" s="139"/>
      <c r="F90" s="431" t="s">
        <v>485</v>
      </c>
      <c r="G90" s="270">
        <f>TAXREC!E156</f>
        <v>0</v>
      </c>
      <c r="H90" s="151"/>
    </row>
    <row r="91" spans="1:8" ht="12.75">
      <c r="A91" s="158" t="s">
        <v>368</v>
      </c>
      <c r="B91" s="127">
        <v>23</v>
      </c>
      <c r="C91" s="264">
        <f>C84/(1-C88)</f>
        <v>0</v>
      </c>
      <c r="D91" s="20"/>
      <c r="E91" s="139"/>
      <c r="F91" s="431" t="s">
        <v>485</v>
      </c>
      <c r="G91" s="270">
        <f>TAXREC!E158</f>
        <v>0</v>
      </c>
      <c r="H91" s="151"/>
    </row>
    <row r="92" spans="1:8" ht="12.75">
      <c r="A92" s="158" t="s">
        <v>347</v>
      </c>
      <c r="B92" s="127">
        <v>24</v>
      </c>
      <c r="C92" s="264">
        <f>C72</f>
        <v>11049.336</v>
      </c>
      <c r="D92" s="20"/>
      <c r="E92" s="139"/>
      <c r="F92" s="431" t="s">
        <v>485</v>
      </c>
      <c r="G92" s="270">
        <f>TAXREC!E157</f>
        <v>7163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476</v>
      </c>
      <c r="B95" s="125">
        <v>25</v>
      </c>
      <c r="C95" s="269">
        <f>SUM(C90:C93)</f>
        <v>152148.26615413307</v>
      </c>
      <c r="D95" s="6"/>
      <c r="E95" s="139"/>
      <c r="F95" s="431" t="s">
        <v>485</v>
      </c>
      <c r="G95" s="414">
        <f>SUM(G90:G94)</f>
        <v>7163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480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484</v>
      </c>
      <c r="B122" s="127"/>
      <c r="C122" s="112"/>
      <c r="D122" s="3" t="s">
        <v>231</v>
      </c>
      <c r="E122" s="470">
        <v>0.1862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5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277069.9976649154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51590.43356520725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51590.43356520725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94536.28320326914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-42945.84963806189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8683112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264">
        <f>IF((E151-E152)&gt;0,E151-E152,0)</f>
        <v>3683112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11049.336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11049.336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8683112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264">
        <f>IF((E162-E163)&gt;0,E162-E163,0)</f>
        <v>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497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v>0.175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-52055.575318862895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484">
        <f>SUM(E177:E179)</f>
        <v>-52055.575318862895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479</v>
      </c>
      <c r="B183" s="130"/>
      <c r="C183" s="112"/>
      <c r="D183" s="119" t="s">
        <v>187</v>
      </c>
      <c r="E183" s="484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484">
        <f>E181+E183</f>
        <v>-52055.575318862895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314762.81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209842.0023350846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104920.8076649154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20328</v>
      </c>
      <c r="F201" s="3"/>
      <c r="G201" s="489"/>
      <c r="H201" s="164"/>
    </row>
    <row r="202" spans="1:8" ht="12.75">
      <c r="A202" s="500" t="s">
        <v>496</v>
      </c>
      <c r="B202" s="127"/>
      <c r="C202" s="112"/>
      <c r="D202" s="120"/>
      <c r="E202" s="308">
        <f>+E193</f>
        <v>314762.81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481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104920.8076649154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47" r:id="rId1"/>
  <headerFooter alignWithMargins="0">
    <oddHeader>&amp;C&amp;F &amp;A&amp;R&amp;9Tillsonburg Hydro Inc.
EB-2011-0198
Filed: December 9, 2011
Updated: February 8, 2012</oddHeader>
    <oddFooter>&amp;R&amp;"Arial,Bold"&amp;9Page &amp;P of &amp;N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48">
      <selection activeCell="D73" sqref="D7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4.25" thickBot="1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491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501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15661269</v>
      </c>
      <c r="D31" s="286"/>
      <c r="E31" s="284">
        <f>C31-D31</f>
        <v>15661269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1534107</v>
      </c>
      <c r="D32" s="286"/>
      <c r="E32" s="284">
        <f>C32-D32</f>
        <v>1534107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11012</v>
      </c>
      <c r="D33" s="286"/>
      <c r="E33" s="284">
        <f>C33-D33</f>
        <v>11012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72470</v>
      </c>
      <c r="D34" s="286"/>
      <c r="E34" s="284">
        <f>C34-D34</f>
        <v>72470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15661269</v>
      </c>
      <c r="D39" s="286"/>
      <c r="E39" s="284">
        <f>C39-D39</f>
        <v>15661269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461586</v>
      </c>
      <c r="D40" s="286"/>
      <c r="E40" s="284">
        <f aca="true" t="shared" si="0" ref="E40:E48">C40-D40</f>
        <v>461586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327047</v>
      </c>
      <c r="D41" s="286"/>
      <c r="E41" s="284">
        <f t="shared" si="0"/>
        <v>327047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548809</v>
      </c>
      <c r="D42" s="286"/>
      <c r="E42" s="284">
        <f t="shared" si="0"/>
        <v>548809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284258</v>
      </c>
      <c r="D43" s="286"/>
      <c r="E43" s="284">
        <f t="shared" si="0"/>
        <v>284258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9844</v>
      </c>
      <c r="D44" s="286"/>
      <c r="E44" s="284">
        <f t="shared" si="0"/>
        <v>9844</v>
      </c>
      <c r="F44" s="11"/>
      <c r="G44" s="11"/>
      <c r="H44" s="6"/>
      <c r="I44" s="6"/>
    </row>
    <row r="45" spans="1:11" ht="12.75">
      <c r="A45" s="4" t="s">
        <v>494</v>
      </c>
      <c r="B45" s="23" t="s">
        <v>188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-13955</v>
      </c>
      <c r="D50" s="281">
        <f>SUM(D31:D36)-SUM(D39:D49)</f>
        <v>0</v>
      </c>
      <c r="E50" s="281">
        <f>SUM(E31:E35)-SUM(E39:E48)</f>
        <v>-13955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20328</v>
      </c>
      <c r="D51" s="285"/>
      <c r="E51" s="282">
        <f>+C51-D51</f>
        <v>20328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0</v>
      </c>
      <c r="D52" s="285"/>
      <c r="E52" s="283">
        <f>+C52-D52</f>
        <v>0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-34283</v>
      </c>
      <c r="D53" s="281">
        <f>D50-D51-D52</f>
        <v>0</v>
      </c>
      <c r="E53" s="281">
        <f>E50-E51-E52</f>
        <v>-34283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416"/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+C43</f>
        <v>284258</v>
      </c>
      <c r="D61" s="287">
        <f>D43</f>
        <v>0</v>
      </c>
      <c r="E61" s="272">
        <f>+C61-D61</f>
        <v>284258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393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284258</v>
      </c>
      <c r="D70" s="272">
        <f>SUM(D59:D68)</f>
        <v>0</v>
      </c>
      <c r="E70" s="272">
        <f>SUM(E59:E68)</f>
        <v>284258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4"/>
      <c r="E76" s="51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284258</v>
      </c>
      <c r="D82" s="251">
        <f>D70+D80</f>
        <v>0</v>
      </c>
      <c r="E82" s="251">
        <f>E70+E80</f>
        <v>284258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249975.0000001</v>
      </c>
      <c r="D97" s="294"/>
      <c r="E97" s="272">
        <f>+C97-D97</f>
        <v>249975.0000001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393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249975.0000001</v>
      </c>
      <c r="D113" s="251">
        <f>SUM(D97:D111)</f>
        <v>0</v>
      </c>
      <c r="E113" s="251">
        <f>SUM(E97:E111)</f>
        <v>249975.0000001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249975.0000001</v>
      </c>
      <c r="D122" s="251">
        <f>D113+D120</f>
        <v>0</v>
      </c>
      <c r="E122" s="251">
        <f>+E113+E120</f>
        <v>249975.0000001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-1.00000761449337E-07</v>
      </c>
      <c r="D134" s="251">
        <f>D53+D82-D122</f>
        <v>0</v>
      </c>
      <c r="E134" s="251">
        <f>E53+E82-E122</f>
        <v>-1.00000761449337E-07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-1.00000761449337E-07</v>
      </c>
      <c r="D139" s="252">
        <f>D134-D136-D137-D138</f>
        <v>0</v>
      </c>
      <c r="E139" s="252">
        <f>E134-E136-E137-E138</f>
        <v>-1.00000761449337E-07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0</v>
      </c>
      <c r="D142" s="486">
        <f>D139*C149</f>
        <v>0</v>
      </c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0</v>
      </c>
      <c r="D143" s="486">
        <f>D139*C150</f>
        <v>0</v>
      </c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6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</v>
      </c>
      <c r="D149" s="499"/>
      <c r="E149" s="406">
        <f>C149</f>
        <v>0</v>
      </c>
      <c r="F149" s="8"/>
      <c r="G149" s="483" t="s">
        <v>467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+C143/C139</f>
        <v>0</v>
      </c>
      <c r="D150" s="499"/>
      <c r="E150" s="406">
        <f>C150</f>
        <v>0</v>
      </c>
      <c r="F150" s="8"/>
      <c r="G150" s="483" t="s">
        <v>468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</v>
      </c>
      <c r="D151" s="5"/>
      <c r="E151" s="40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79">
        <v>7163</v>
      </c>
      <c r="D157" s="251"/>
      <c r="E157" s="251">
        <f>C157+D157</f>
        <v>7163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7163</v>
      </c>
      <c r="D160" s="251">
        <f>D156+D157+D158</f>
        <v>0</v>
      </c>
      <c r="E160" s="251">
        <f>E156+E157+E158</f>
        <v>7163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2">
      <selection activeCell="D73" sqref="D7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4.25" thickBot="1" thickTop="1">
      <c r="A6" s="7"/>
      <c r="B6" s="9"/>
      <c r="C6" s="24"/>
      <c r="D6" s="24"/>
      <c r="E6" s="24"/>
      <c r="F6" s="9"/>
    </row>
    <row r="7" spans="1:6" ht="13.5" thickBot="1">
      <c r="A7" s="491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501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311" t="s">
        <v>495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508" t="s">
        <v>498</v>
      </c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311" t="s">
        <v>495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 t="s">
        <v>498</v>
      </c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&amp;C&amp;F &amp;A&amp;R&amp;9Tillsonburg Hydro Inc.
EB-2011-0198
Filed: December 9, 2011</oddHeader>
    <oddFooter>&amp;R&amp;"Arial,Bold"&amp;9Page &amp;P of &amp;N]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73">
      <selection activeCell="D73" sqref="D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464</v>
      </c>
      <c r="B5" s="8"/>
      <c r="C5" s="8" t="s">
        <v>2</v>
      </c>
      <c r="D5" s="8"/>
      <c r="E5" s="8"/>
      <c r="F5" s="8"/>
    </row>
    <row r="6" spans="1:6" ht="12.75">
      <c r="A6" s="416" t="s">
        <v>444</v>
      </c>
      <c r="B6" s="8"/>
      <c r="C6" s="8"/>
      <c r="D6" s="8"/>
      <c r="E6" s="21" t="str">
        <f>REGINFO!E1</f>
        <v>Version 2009.1</v>
      </c>
      <c r="F6" s="8"/>
    </row>
    <row r="7" ht="13.5" thickBot="1">
      <c r="F7" s="20"/>
    </row>
    <row r="8" spans="1:6" ht="13.5" thickBot="1">
      <c r="A8" s="491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501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473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58">
      <selection activeCell="D73" sqref="D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383</v>
      </c>
      <c r="E3" s="92"/>
    </row>
    <row r="4" spans="1:6" ht="15.75">
      <c r="A4" s="465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3.5" thickBot="1">
      <c r="A7" s="2">
        <f>REGINFO!E2</f>
        <v>0</v>
      </c>
      <c r="B7" s="8"/>
      <c r="C7" s="8" t="s">
        <v>2</v>
      </c>
      <c r="D7" s="8"/>
      <c r="E7" s="8"/>
      <c r="F7" s="8"/>
    </row>
    <row r="8" spans="1:6" ht="13.5" thickBot="1">
      <c r="A8" s="491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501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295"/>
      <c r="D35" s="295"/>
      <c r="E35" s="313">
        <f t="shared" si="0"/>
        <v>0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395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386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452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387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435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443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455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451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454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392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385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493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394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3">
      <selection activeCell="D73" sqref="D7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EB-2011-0198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3.5" thickBot="1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3.5" thickBot="1">
      <c r="A4" s="494" t="str">
        <f>REGINFO!A3</f>
        <v>Utility Name: Tillsonburg Hydro Inc.</v>
      </c>
      <c r="B4" s="495"/>
      <c r="C4" s="496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3.5" thickBot="1">
      <c r="A5" s="503" t="str">
        <f>REGINFO!A4</f>
        <v>Reporting period:  2004</v>
      </c>
      <c r="B5" s="504"/>
      <c r="C5" s="505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6" t="s">
        <v>477</v>
      </c>
      <c r="B8" s="527"/>
      <c r="C8" s="527"/>
      <c r="D8" s="52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478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470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471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20" t="s">
        <v>492</v>
      </c>
      <c r="B23" s="521"/>
      <c r="C23" s="521"/>
      <c r="D23" s="521"/>
      <c r="E23" s="521"/>
      <c r="F23" s="521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6" t="s">
        <v>488</v>
      </c>
      <c r="B26" s="527"/>
      <c r="C26" s="527"/>
      <c r="D26" s="527"/>
      <c r="E26" s="527"/>
      <c r="F26" s="52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489</v>
      </c>
      <c r="B39" s="407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490</v>
      </c>
      <c r="B40" s="408" t="s">
        <v>487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22" t="s">
        <v>335</v>
      </c>
      <c r="B41" s="521"/>
      <c r="C41" s="521"/>
      <c r="D41" s="521"/>
      <c r="E41" s="521"/>
      <c r="F41" s="52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23"/>
      <c r="B42" s="523"/>
      <c r="C42" s="523"/>
      <c r="D42" s="523"/>
      <c r="E42" s="523"/>
      <c r="F42" s="52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486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0"/>
      <c r="I50" s="490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0"/>
      <c r="I51" s="490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0"/>
      <c r="I52" s="490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7" t="s">
        <v>470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8" t="s">
        <v>487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20" t="s">
        <v>350</v>
      </c>
      <c r="B59" s="524"/>
      <c r="C59" s="524"/>
      <c r="D59" s="524"/>
      <c r="E59" s="524"/>
      <c r="F59" s="52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5"/>
      <c r="B60" s="525"/>
      <c r="C60" s="525"/>
      <c r="D60" s="525"/>
      <c r="E60" s="525"/>
      <c r="F60" s="52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A7">
      <selection activeCell="E19" sqref="E19: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457</v>
      </c>
      <c r="B2" s="2"/>
    </row>
    <row r="3" spans="1:15" ht="13.5" thickBot="1">
      <c r="A3" s="494" t="str">
        <f>REGINFO!A3</f>
        <v>Utility Name: Tillsonburg Hydro Inc.</v>
      </c>
      <c r="B3" s="497"/>
      <c r="C3" s="498"/>
      <c r="O3" s="417" t="str">
        <f>REGINFO!E1</f>
        <v>Version 2009.1</v>
      </c>
    </row>
    <row r="4" spans="1:15" ht="13.5" thickBot="1">
      <c r="A4" s="503" t="str">
        <f>REGINFO!A4</f>
        <v>Reporting period:  2004</v>
      </c>
      <c r="B4" s="506"/>
      <c r="C4" s="507"/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47373</v>
      </c>
      <c r="F11" s="420"/>
      <c r="G11" s="397">
        <f>E22</f>
        <v>17483</v>
      </c>
      <c r="H11" s="420"/>
      <c r="I11" s="397">
        <f>G22</f>
        <v>-35480</v>
      </c>
      <c r="J11" s="391"/>
      <c r="K11" s="397">
        <f>I22</f>
        <v>-93718.5</v>
      </c>
      <c r="L11" s="391"/>
      <c r="M11" s="397">
        <f>K22</f>
        <v>-160026.25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>
        <v>47086</v>
      </c>
      <c r="D12" s="392"/>
      <c r="E12" s="511">
        <v>154547</v>
      </c>
      <c r="F12" s="512"/>
      <c r="G12" s="517">
        <f>C12+E12</f>
        <v>201633</v>
      </c>
      <c r="H12" s="515"/>
      <c r="I12" s="517">
        <f>+(G12*(3/12))+(E12*(9/12))</f>
        <v>166318.5</v>
      </c>
      <c r="J12" s="516"/>
      <c r="K12" s="419">
        <f>+(E12*(3/12))</f>
        <v>38636.75</v>
      </c>
      <c r="L12" s="392"/>
      <c r="M12" s="419">
        <f>+(94642*(4/12))</f>
        <v>31547.333333333332</v>
      </c>
      <c r="N12" s="392"/>
      <c r="O12" s="397">
        <f aca="true" t="shared" si="0" ref="O12:O20">SUM(C12:N12)</f>
        <v>639768.5833333334</v>
      </c>
    </row>
    <row r="13" spans="1:15" ht="27" customHeight="1">
      <c r="A13" s="81" t="s">
        <v>438</v>
      </c>
      <c r="B13" s="66"/>
      <c r="C13" s="419"/>
      <c r="D13" s="392"/>
      <c r="E13" s="513"/>
      <c r="F13" s="512"/>
      <c r="G13" s="419"/>
      <c r="H13" s="95"/>
      <c r="I13" s="419"/>
      <c r="J13" s="392"/>
      <c r="K13" s="396">
        <f>+(94642*(9/12))</f>
        <v>70981.5</v>
      </c>
      <c r="L13" s="392"/>
      <c r="M13" s="419"/>
      <c r="N13" s="392"/>
      <c r="O13" s="397">
        <f t="shared" si="0"/>
        <v>70981.5</v>
      </c>
    </row>
    <row r="14" spans="1:15" ht="25.5">
      <c r="A14" s="81" t="s">
        <v>397</v>
      </c>
      <c r="B14" s="66" t="s">
        <v>190</v>
      </c>
      <c r="C14" s="396"/>
      <c r="D14" s="392"/>
      <c r="E14" s="511"/>
      <c r="F14" s="512"/>
      <c r="G14" s="511"/>
      <c r="H14" s="512"/>
      <c r="I14" s="511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511"/>
      <c r="F15" s="512"/>
      <c r="G15" s="511"/>
      <c r="H15" s="512"/>
      <c r="I15" s="511"/>
      <c r="J15" s="392"/>
      <c r="K15" s="396">
        <f>ROUND(TAXCALC!E132,0)</f>
        <v>0</v>
      </c>
      <c r="L15" s="392"/>
      <c r="M15" s="419"/>
      <c r="N15" s="392"/>
      <c r="O15" s="397">
        <f t="shared" si="0"/>
        <v>0</v>
      </c>
    </row>
    <row r="16" spans="1:15" ht="27" customHeight="1">
      <c r="A16" s="81" t="s">
        <v>399</v>
      </c>
      <c r="B16" s="66"/>
      <c r="C16" s="396"/>
      <c r="D16" s="392"/>
      <c r="E16" s="514">
        <v>-15632</v>
      </c>
      <c r="F16" s="515"/>
      <c r="G16" s="514"/>
      <c r="H16" s="95"/>
      <c r="I16" s="396"/>
      <c r="J16" s="392"/>
      <c r="K16" s="396"/>
      <c r="L16" s="392"/>
      <c r="M16" s="396"/>
      <c r="N16" s="392"/>
      <c r="O16" s="397">
        <f t="shared" si="0"/>
        <v>-15632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514"/>
      <c r="F17" s="515"/>
      <c r="G17" s="396">
        <v>-50684</v>
      </c>
      <c r="H17" s="95"/>
      <c r="I17" s="396">
        <f>ROUND('[2]TAXCALC'!E181,0)</f>
        <v>-52056</v>
      </c>
      <c r="J17" s="392"/>
      <c r="K17" s="396">
        <f>ROUND(TAXCALC!E181,0)</f>
        <v>-52056</v>
      </c>
      <c r="L17" s="392"/>
      <c r="M17" s="419"/>
      <c r="N17" s="392"/>
      <c r="O17" s="397">
        <f t="shared" si="0"/>
        <v>-154796</v>
      </c>
    </row>
    <row r="18" spans="1:15" ht="25.5">
      <c r="A18" s="81" t="s">
        <v>401</v>
      </c>
      <c r="B18" s="66" t="s">
        <v>190</v>
      </c>
      <c r="C18" s="396"/>
      <c r="D18" s="392"/>
      <c r="E18" s="511"/>
      <c r="F18" s="512"/>
      <c r="G18" s="511"/>
      <c r="H18" s="512"/>
      <c r="I18" s="511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402</v>
      </c>
      <c r="B19" s="66" t="s">
        <v>190</v>
      </c>
      <c r="C19" s="396">
        <v>287</v>
      </c>
      <c r="D19" s="392"/>
      <c r="E19" s="514">
        <v>4173</v>
      </c>
      <c r="F19" s="515"/>
      <c r="G19" s="514">
        <v>-1368</v>
      </c>
      <c r="H19" s="515"/>
      <c r="I19" s="514">
        <v>-4970</v>
      </c>
      <c r="J19" s="516"/>
      <c r="K19" s="514">
        <v>-9058</v>
      </c>
      <c r="L19" s="516"/>
      <c r="M19" s="514">
        <v>-3582</v>
      </c>
      <c r="N19" s="392"/>
      <c r="O19" s="397">
        <f t="shared" si="0"/>
        <v>-14518</v>
      </c>
    </row>
    <row r="20" spans="1:15" ht="24.75" customHeight="1">
      <c r="A20" s="81" t="s">
        <v>469</v>
      </c>
      <c r="B20" s="66" t="s">
        <v>188</v>
      </c>
      <c r="C20" s="419">
        <v>0</v>
      </c>
      <c r="D20" s="392"/>
      <c r="E20" s="514">
        <v>-172978</v>
      </c>
      <c r="F20" s="95"/>
      <c r="G20" s="396">
        <v>-202544</v>
      </c>
      <c r="H20" s="95"/>
      <c r="I20" s="396">
        <v>-167531</v>
      </c>
      <c r="J20" s="392"/>
      <c r="K20" s="396">
        <v>-114812</v>
      </c>
      <c r="L20" s="392"/>
      <c r="M20" s="396">
        <v>-30790</v>
      </c>
      <c r="N20" s="392"/>
      <c r="O20" s="397">
        <f t="shared" si="0"/>
        <v>-688655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372</v>
      </c>
      <c r="B22" s="34"/>
      <c r="C22" s="398">
        <f>SUM(C11:C20)</f>
        <v>47373</v>
      </c>
      <c r="D22" s="420"/>
      <c r="E22" s="398">
        <f>SUM(E11:E20)</f>
        <v>17483</v>
      </c>
      <c r="F22" s="420"/>
      <c r="G22" s="398">
        <f>SUM(G11:G20)</f>
        <v>-35480</v>
      </c>
      <c r="H22" s="420"/>
      <c r="I22" s="398">
        <f>SUM(I11:I20)</f>
        <v>-93718.5</v>
      </c>
      <c r="J22" s="391"/>
      <c r="K22" s="398">
        <f>SUM(K11:K20)</f>
        <v>-160026.25</v>
      </c>
      <c r="L22" s="391"/>
      <c r="M22" s="398">
        <f>SUM(M11:M21)</f>
        <v>-162850.9166666667</v>
      </c>
      <c r="N22" s="391"/>
      <c r="O22" s="451">
        <f>SUM(O11:O20)</f>
        <v>-162850.91666666663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403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404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405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406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29" t="s">
        <v>407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421"/>
      <c r="Q33" s="421"/>
      <c r="R33" s="421"/>
      <c r="S33" s="421"/>
    </row>
    <row r="34" spans="1:19" ht="12.75">
      <c r="A34" s="528" t="s">
        <v>408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421"/>
      <c r="Q34" s="421"/>
      <c r="R34" s="421"/>
      <c r="S34" s="421"/>
    </row>
    <row r="35" spans="1:19" ht="12.75">
      <c r="A35" s="528" t="s">
        <v>429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421"/>
      <c r="Q35" s="421"/>
      <c r="R35" s="421"/>
      <c r="S35" s="421"/>
    </row>
    <row r="36" spans="1:19" ht="12.75">
      <c r="A36" s="528" t="s">
        <v>409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421"/>
      <c r="Q36" s="421"/>
      <c r="R36" s="421"/>
      <c r="S36" s="421"/>
    </row>
    <row r="37" spans="1:19" ht="12.75">
      <c r="A37" s="438" t="s">
        <v>369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410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411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412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413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414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415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416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417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418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415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419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420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422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423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379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424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425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381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380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382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426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427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428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28" t="s">
        <v>458</v>
      </c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</row>
    <row r="75" spans="1:15" ht="12.75">
      <c r="A75" s="435" t="s">
        <v>371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8"/>
      <c r="Q92" s="52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2012-02-06T21:58:49Z</cp:lastPrinted>
  <dcterms:created xsi:type="dcterms:W3CDTF">2001-11-07T16:15:53Z</dcterms:created>
  <dcterms:modified xsi:type="dcterms:W3CDTF">2012-02-06T23:39:22Z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