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<sst xmlns="http://schemas.openxmlformats.org/spreadsheetml/2006/main" count="821" uniqueCount="457">
  <si>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</si>
  <si>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</si>
  <si>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</si>
  <si>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</si>
  <si>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</si>
  <si>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</si>
  <si>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</si>
  <si>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</si>
  <si>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</si>
  <si>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</si>
  <si>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</si>
  <si>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</si>
  <si>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</si>
  <si>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</si>
  <si>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</si>
  <si>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</si>
  <si>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</si>
  <si>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</si>
  <si>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</si>
  <si>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</si>
  <si>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</si>
  <si>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</si>
  <si>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</si>
  <si>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</si>
  <si>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</si>
  <si>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</si>
  <si>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</si>
  <si>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</si>
  <si>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</si>
  <si>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</si>
  <si>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</si>
  <si>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</si>
  <si>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</si>
  <si>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</si>
  <si>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</si>
  <si>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</si>
  <si>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</si>
  <si>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</si>
  <si>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</si>
  <si>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</si>
  <si>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</si>
  <si>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</si>
  <si>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</si>
  <si>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</si>
  <si>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</si>
  <si>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</si>
  <si>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</si>
  <si>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</si>
  <si>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</si>
  <si>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</si>
  <si>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</si>
  <si>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</si>
  <si>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</si>
  <si>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</si>
  <si>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</si>
  <si>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</si>
  <si>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</si>
  <si>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</si>
  <si>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</si>
  <si>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</si>
  <si>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</si>
  <si>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</si>
  <si>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</si>
  <si>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</si>
  <si>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</si>
  <si>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</si>
  <si>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</si>
  <si>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</si>
  <si>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</si>
  <si>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</si>
  <si>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</si>
  <si>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</si>
  <si>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</si>
  <si>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</si>
  <si>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</si>
  <si>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</si>
  <si>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</si>
  <si>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</si>
  <si>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</si>
  <si>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</si>
  <si>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</si>
  <si>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</si>
  <si>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</si>
  <si>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</si>
  <si>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</si>
  <si>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</si>
  <si>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</si>
  <si>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</si>
  <si>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</si>
  <si>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</si>
  <si>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</si>
  <si>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</si>
  <si>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</si>
  <si>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</si>
  <si>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</si>
  <si>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</si>
  <si>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</si>
  <si>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</si>
  <si>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</si>
  <si>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</si>
  <si>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</si>
  <si>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</si>
  <si>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</si>
  <si>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</si>
  <si>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</si>
  <si>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</si>
  <si>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</si>
  <si>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</si>
  <si>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</si>
  <si>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</si>
  <si>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</si>
  <si>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</si>
  <si>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</si>
  <si>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</si>
  <si>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</si>
  <si>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</si>
  <si>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</si>
  <si>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</si>
  <si>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</si>
  <si>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</si>
  <si>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</si>
  <si>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</si>
  <si>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</si>
  <si>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</si>
  <si>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</si>
  <si>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</si>
  <si>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</si>
  <si>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</si>
  <si>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</si>
  <si>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</si>
  <si>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</si>
  <si>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</si>
  <si>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</si>
  <si>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</si>
  <si>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</si>
  <si>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</si>
  <si>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</si>
  <si>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</si>
  <si>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</si>
  <si>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</si>
  <si>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</si>
  <si>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</si>
  <si>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</si>
  <si>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</si>
  <si>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</si>
  <si>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</si>
  <si>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</si>
  <si>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</si>
  <si>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</si>
  <si>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</si>
  <si>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</si>
  <si>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</si>
  <si>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</si>
  <si>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</si>
  <si>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</si>
  <si>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</si>
  <si>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</si>
  <si>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</si>
  <si>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</si>
  <si>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</si>
  <si>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</si>
  <si>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</si>
  <si>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</si>
  <si>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</si>
  <si>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</si>
  <si>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</si>
  <si>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</si>
  <si>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</si>
  <si>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</si>
  <si>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</si>
  <si>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</si>
  <si>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</si>
  <si>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</si>
  <si>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</si>
  <si>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</si>
  <si>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</si>
  <si>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</si>
  <si>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</si>
  <si>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</si>
  <si>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</si>
  <si>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</si>
  <si>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</si>
  <si>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</si>
  <si>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</si>
  <si>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</si>
  <si>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</si>
  <si>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</si>
  <si>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</si>
  <si>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</si>
  <si>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</si>
  <si>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</si>
  <si>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</si>
  <si>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</si>
  <si>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</si>
  <si>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</si>
  <si>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</si>
  <si>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</si>
  <si>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</si>
  <si>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</si>
  <si>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</si>
  <si>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</si>
  <si>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</si>
  <si>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</si>
  <si>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</si>
  <si>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</si>
  <si>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</si>
  <si>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</si>
  <si>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</si>
  <si>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</si>
  <si>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</si>
  <si>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</si>
  <si>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</si>
  <si>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</si>
  <si>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</si>
  <si>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</si>
  <si>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</si>
  <si>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</si>
  <si>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</si>
  <si>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</si>
  <si>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</si>
  <si>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</si>
  <si>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</si>
  <si>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</si>
  <si>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</si>
  <si>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</si>
  <si>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</si>
  <si>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</si>
  <si>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</si>
  <si>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</si>
  <si>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</si>
  <si>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</si>
  <si>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</si>
  <si>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</si>
  <si>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</si>
  <si>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</si>
  <si>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</si>
  <si>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</si>
  <si>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</si>
  <si>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</si>
  <si>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</si>
  <si>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</si>
  <si>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</si>
  <si>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</si>
  <si>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</si>
  <si>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</si>
  <si>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</si>
  <si>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</si>
  <si>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</si>
  <si>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</si>
  <si>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</si>
  <si>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</si>
  <si>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</si>
  <si>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</si>
  <si>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</si>
  <si>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</si>
  <si>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</si>
  <si>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</si>
  <si>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</si>
  <si>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</si>
  <si>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</si>
  <si>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</si>
  <si>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</si>
  <si>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</si>
  <si>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</si>
  <si>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</si>
  <si>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</si>
  <si>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</si>
  <si>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</si>
  <si>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</si>
  <si>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</si>
  <si>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</si>
  <si>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</si>
  <si>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</si>
  <si>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</si>
  <si>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</si>
  <si>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</si>
  <si>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</si>
  <si>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</si>
  <si>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</si>
  <si>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</si>
  <si>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</si>
  <si>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</si>
  <si>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</si>
  <si>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</si>
  <si>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</si>
  <si>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</si>
  <si>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</si>
  <si>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</si>
  <si>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</si>
  <si>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</si>
  <si>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</si>
  <si>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</si>
  <si>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</si>
  <si>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</si>
  <si>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</si>
  <si>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</si>
  <si>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</si>
  <si>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</si>
  <si>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</si>
  <si>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</si>
  <si>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</si>
  <si>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</si>
  <si>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</si>
  <si>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</si>
  <si>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</si>
  <si>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</si>
  <si>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</si>
  <si>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</si>
  <si>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</si>
  <si>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</si>
  <si>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</si>
  <si>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</si>
  <si>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</si>
  <si>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</si>
  <si>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</si>
  <si>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</si>
  <si>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</si>
  <si>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</si>
  <si>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</si>
  <si>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</si>
  <si>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</si>
  <si>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</si>
  <si>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</si>
  <si>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</si>
  <si>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</si>
  <si>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</si>
  <si>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</si>
  <si>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</si>
  <si>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</si>
  <si>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</si>
  <si>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</si>
  <si>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</si>
  <si>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</si>
  <si>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</si>
  <si>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</si>
  <si>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</si>
  <si>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</si>
  <si>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</si>
  <si>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</si>
  <si>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</si>
  <si>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</si>
  <si>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</si>
  <si>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</si>
  <si>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</si>
  <si>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</si>
  <si>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</si>
  <si>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</si>
  <si>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</si>
  <si>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</si>
  <si>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</si>
  <si>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</si>
  <si>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</si>
  <si>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</si>
  <si>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</si>
  <si>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</si>
  <si>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</si>
  <si>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</si>
  <si>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</si>
  <si>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</si>
  <si>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</si>
  <si>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</si>
  <si>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</si>
  <si>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</si>
  <si>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</si>
  <si>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</si>
  <si>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</si>
  <si>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</si>
  <si>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</si>
  <si>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</si>
  <si>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</si>
  <si>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</si>
  <si>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</si>
  <si>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</si>
  <si>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</si>
  <si>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</si>
  <si>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</si>
  <si>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</si>
  <si>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</si>
  <si>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</si>
  <si>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</si>
  <si>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</si>
  <si>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</si>
  <si>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</si>
  <si>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</si>
  <si>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</si>
  <si>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</si>
  <si>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</si>
  <si>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</si>
  <si>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</si>
  <si>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</si>
  <si>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</si>
  <si>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</si>
  <si>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</si>
  <si>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</si>
  <si>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</si>
  <si>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</si>
  <si>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</si>
  <si>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</si>
  <si>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</si>
  <si>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</si>
  <si>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</si>
  <si>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</si>
  <si>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</si>
  <si>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</si>
  <si>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</si>
  <si>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</si>
  <si>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</si>
  <si>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</si>
  <si>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</si>
  <si>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</si>
  <si>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</si>
  <si>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</si>
  <si>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</si>
  <si>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</si>
  <si>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</si>
  <si>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</si>
  <si>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</si>
  <si>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</si>
  <si>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</si>
  <si>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</si>
  <si>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</si>
  <si>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</si>
  <si>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</si>
  <si>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MAX $5MM</t>
  </si>
  <si>
    <t>MAX $10MM</t>
  </si>
  <si>
    <t>Enter from tax return</t>
  </si>
  <si>
    <t>No entry on tax return</t>
  </si>
  <si>
    <t>Overpaid</t>
  </si>
  <si>
    <t>Provision for bad debts</t>
  </si>
  <si>
    <t>DEPRECIATION DIFFERENCE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</si>
  <si>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</si>
  <si>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</si>
  <si>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</si>
  <si>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</si>
  <si>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</si>
  <si>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</si>
  <si>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</si>
  <si>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</si>
  <si>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Y</t>
  </si>
  <si>
    <t>N</t>
  </si>
  <si>
    <t>Deferred and prepaid expenses</t>
  </si>
  <si>
    <t xml:space="preserve">Incorporation Costs </t>
  </si>
  <si>
    <t>Discontinued post retirement benefit plan</t>
  </si>
  <si>
    <t>Income from Enerconnect Limited Partnership</t>
  </si>
  <si>
    <r>
      <t xml:space="preserve">Income Tax Rate (excluding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  <family val="0"/>
      </rPr>
      <t xml:space="preserve"> Utility's tax return</t>
    </r>
  </si>
  <si>
    <t>Actual 2004</t>
  </si>
  <si>
    <t>Reporting period:  2004</t>
  </si>
  <si>
    <t>Expected Income Tax Rates for 2004 and Capital Tax Exemptions for 2004</t>
  </si>
  <si>
    <t>&gt;1,128,000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</si>
  <si>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</si>
  <si>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</si>
  <si>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MAX $50MM</t>
  </si>
  <si>
    <t xml:space="preserve">to </t>
  </si>
  <si>
    <t>Input Information from Utility's Actual 2004 Tax Returns</t>
  </si>
  <si>
    <t>Unrealized Interest recorded for Accounting Purpose</t>
  </si>
  <si>
    <t>Utility Name: Rideau St. Lawrence</t>
  </si>
  <si>
    <t>APPENDIX 10.15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</si>
</sst>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47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61" applyNumberFormat="1" applyFont="1" applyFill="1" applyBorder="1" applyAlignment="1" applyProtection="1" quotePrefix="1">
      <alignment vertical="top"/>
      <protection/>
    </xf>
    <xf numFmtId="3" fontId="0" fillId="36" borderId="47" xfId="61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6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41" borderId="13" xfId="0" applyNumberFormat="1" applyFont="1" applyFill="1" applyBorder="1" applyAlignment="1">
      <alignment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7" xfId="42" applyNumberFormat="1" applyFont="1" applyBorder="1" applyAlignment="1" applyProtection="1">
      <alignment vertical="top"/>
      <protection/>
    </xf>
    <xf numFmtId="10" fontId="0" fillId="35" borderId="0" xfId="69" applyFont="1" applyFill="1" applyBorder="1" applyAlignment="1" applyProtection="1">
      <alignment vertical="top"/>
      <protection locked="0"/>
    </xf>
    <xf numFmtId="3" fontId="0" fillId="40" borderId="13" xfId="66" applyNumberFormat="1" applyFill="1" applyBorder="1" applyAlignment="1">
      <alignment horizontal="right" vertical="top"/>
      <protection locked="0"/>
    </xf>
    <xf numFmtId="0" fontId="0" fillId="41" borderId="0" xfId="0" applyFont="1" applyFill="1" applyAlignment="1">
      <alignment horizontal="center" vertical="top"/>
    </xf>
    <xf numFmtId="0" fontId="0" fillId="41" borderId="16" xfId="0" applyFont="1" applyFill="1" applyBorder="1" applyAlignment="1">
      <alignment horizontal="center" vertical="top"/>
    </xf>
    <xf numFmtId="0" fontId="59" fillId="0" borderId="0" xfId="0" applyFont="1" applyBorder="1" applyAlignment="1">
      <alignment vertical="top"/>
    </xf>
    <xf numFmtId="3" fontId="0" fillId="40" borderId="13" xfId="65" applyNumberFormat="1" applyFill="1" applyBorder="1" applyAlignment="1">
      <alignment horizontal="right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3" xfId="0" applyFont="1" applyFill="1" applyBorder="1" applyAlignment="1" applyProtection="1">
      <alignment vertical="top"/>
      <protection/>
    </xf>
    <xf numFmtId="3" fontId="0" fillId="41" borderId="13" xfId="0" applyNumberFormat="1" applyFont="1" applyFill="1" applyBorder="1" applyAlignment="1" applyProtection="1">
      <alignment vertical="top"/>
      <protection/>
    </xf>
    <xf numFmtId="4" fontId="0" fillId="37" borderId="13" xfId="42" applyFont="1" applyFill="1" applyBorder="1" applyAlignment="1" applyProtection="1">
      <alignment/>
      <protection/>
    </xf>
    <xf numFmtId="3" fontId="0" fillId="37" borderId="0" xfId="0" applyNumberFormat="1" applyFill="1" applyBorder="1" applyAlignment="1" applyProtection="1">
      <alignment vertical="top"/>
      <protection locked="0"/>
    </xf>
    <xf numFmtId="0" fontId="60" fillId="0" borderId="0" xfId="65" applyFont="1" applyFill="1">
      <alignment vertical="top"/>
      <protection locked="0"/>
    </xf>
    <xf numFmtId="0" fontId="29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1 3" xfId="55"/>
    <cellStyle name="Heading 2" xfId="56"/>
    <cellStyle name="Heading 2 2" xfId="57"/>
    <cellStyle name="Heading 2 3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SL_SIMPIL_2002_PILs_Model_20110927%20Leg%20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definedNames>
      <definedName name="Ratebase" refersTo="=REGINFO!$D$31"/>
    </definedNames>
    <sheetDataSet>
      <sheetData sheetId="0">
        <row r="31">
          <cell r="D31">
            <v>4793601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8">
      <c r="A1" s="453"/>
      <c r="B1" s="462" t="s">
        <v>456</v>
      </c>
      <c r="C1" s="8"/>
      <c r="E1" s="2" t="s">
        <v>413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455</v>
      </c>
      <c r="C3" s="8"/>
      <c r="D3" s="425" t="s">
        <v>401</v>
      </c>
      <c r="E3" s="8"/>
      <c r="F3" s="8"/>
      <c r="G3" s="8"/>
      <c r="H3" s="8"/>
    </row>
    <row r="4" spans="1:8" ht="12.75">
      <c r="A4" s="2" t="s">
        <v>446</v>
      </c>
      <c r="C4" s="8"/>
      <c r="D4" s="424" t="s">
        <v>396</v>
      </c>
      <c r="E4" s="412"/>
      <c r="H4" s="8"/>
    </row>
    <row r="5" spans="1:8" ht="12.75">
      <c r="A5" s="49"/>
      <c r="C5" s="8"/>
      <c r="D5" s="423" t="s">
        <v>397</v>
      </c>
      <c r="E5" s="387"/>
      <c r="H5" s="8"/>
    </row>
    <row r="6" spans="1:8" ht="12.75">
      <c r="A6" s="2" t="s">
        <v>122</v>
      </c>
      <c r="B6" s="384">
        <v>366</v>
      </c>
      <c r="C6" s="8" t="s">
        <v>123</v>
      </c>
      <c r="D6" s="21"/>
      <c r="H6" s="8"/>
    </row>
    <row r="7" spans="1:8" ht="13.5" thickBot="1">
      <c r="A7" s="49" t="s">
        <v>250</v>
      </c>
      <c r="B7" s="245">
        <v>366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52" t="s">
        <v>438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52" t="s">
        <v>439</v>
      </c>
    </row>
    <row r="16" spans="1:4" ht="7.5" customHeight="1">
      <c r="A16" s="45"/>
      <c r="C16" s="8"/>
      <c r="D16" s="8"/>
    </row>
    <row r="17" spans="1:4" ht="13.5" thickBot="1">
      <c r="A17" s="45" t="s">
        <v>180</v>
      </c>
      <c r="C17" s="8" t="s">
        <v>64</v>
      </c>
      <c r="D17" s="452" t="s">
        <v>439</v>
      </c>
    </row>
    <row r="18" spans="1:4" ht="15" customHeight="1">
      <c r="A18" s="385" t="s">
        <v>309</v>
      </c>
      <c r="C18" s="8"/>
      <c r="D18" s="8"/>
    </row>
    <row r="19" spans="1:4" ht="15" customHeight="1">
      <c r="A19" s="463" t="s">
        <v>310</v>
      </c>
      <c r="B19" s="8" t="s">
        <v>307</v>
      </c>
      <c r="C19" s="8" t="s">
        <v>64</v>
      </c>
      <c r="D19" s="451" t="s">
        <v>439</v>
      </c>
    </row>
    <row r="20" spans="1:4" ht="13.5" thickBot="1">
      <c r="A20" s="464"/>
      <c r="B20" s="8" t="s">
        <v>308</v>
      </c>
      <c r="C20" s="8" t="s">
        <v>64</v>
      </c>
      <c r="D20" s="452" t="s">
        <v>439</v>
      </c>
    </row>
    <row r="21" spans="1:4" ht="12.75">
      <c r="A21" s="463" t="s">
        <v>306</v>
      </c>
      <c r="B21" s="8" t="s">
        <v>307</v>
      </c>
      <c r="C21" s="8"/>
      <c r="D21" s="408">
        <v>1</v>
      </c>
    </row>
    <row r="22" spans="1:4" ht="12.75">
      <c r="A22" s="463"/>
      <c r="B22" s="8" t="s">
        <v>308</v>
      </c>
      <c r="C22" s="8"/>
      <c r="D22" s="408">
        <v>1</v>
      </c>
    </row>
    <row r="23" spans="1:4" ht="7.5" customHeight="1">
      <c r="A23" s="45"/>
      <c r="C23" s="8"/>
      <c r="D23" s="384"/>
    </row>
    <row r="24" spans="1:4" ht="12.75">
      <c r="A24" s="45" t="s">
        <v>206</v>
      </c>
      <c r="C24" s="8" t="s">
        <v>207</v>
      </c>
      <c r="D24" s="409">
        <v>37986</v>
      </c>
    </row>
    <row r="25" ht="6.75" customHeight="1" thickBot="1">
      <c r="A25" s="12"/>
    </row>
    <row r="26" spans="1:5" ht="12.75">
      <c r="A26" s="251" t="s">
        <v>67</v>
      </c>
      <c r="C26" s="8"/>
      <c r="E26" s="417" t="s">
        <v>291</v>
      </c>
    </row>
    <row r="27" spans="1:5" ht="12.75">
      <c r="A27" s="252" t="s">
        <v>68</v>
      </c>
      <c r="C27" s="8"/>
      <c r="E27" s="418" t="s">
        <v>292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281</v>
      </c>
      <c r="D31" s="406">
        <f>[2]!Ratebase</f>
        <v>4793601</v>
      </c>
      <c r="H31" s="5"/>
    </row>
    <row r="32" ht="6" customHeight="1"/>
    <row r="33" spans="1:8" ht="12.75">
      <c r="A33" t="s">
        <v>71</v>
      </c>
      <c r="D33" s="407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7">
        <v>0.0988</v>
      </c>
      <c r="H37" s="41"/>
    </row>
    <row r="38" ht="4.5" customHeight="1">
      <c r="H38" s="34"/>
    </row>
    <row r="39" spans="1:8" ht="12.75">
      <c r="A39" t="s">
        <v>74</v>
      </c>
      <c r="D39" s="407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410571.92565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0">
        <v>46511</v>
      </c>
      <c r="E43" s="383">
        <f>D43</f>
        <v>46511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364060.92565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60">
        <v>172699</v>
      </c>
      <c r="E47" s="383">
        <f aca="true" t="shared" si="0" ref="E47:E53">D47</f>
        <v>172699</v>
      </c>
      <c r="H47" s="40"/>
      <c r="J47" s="5"/>
      <c r="K47" s="5"/>
    </row>
    <row r="48" spans="1:11" ht="12.75">
      <c r="A48" t="s">
        <v>284</v>
      </c>
      <c r="D48" s="460">
        <f>D45/3</f>
        <v>121353.64188333333</v>
      </c>
      <c r="E48" s="383">
        <f>D48</f>
        <v>121353.64188333333</v>
      </c>
      <c r="F48" s="22"/>
      <c r="H48" s="40"/>
      <c r="J48" s="5"/>
      <c r="K48" s="5"/>
    </row>
    <row r="49" spans="1:11" ht="12.75">
      <c r="A49" t="s">
        <v>285</v>
      </c>
      <c r="D49" s="411">
        <v>0</v>
      </c>
      <c r="E49" s="383">
        <v>0</v>
      </c>
      <c r="F49" s="22"/>
      <c r="H49" s="40"/>
      <c r="J49" s="5"/>
      <c r="K49" s="5"/>
    </row>
    <row r="50" spans="1:11" ht="12.75">
      <c r="A50" t="s">
        <v>286</v>
      </c>
      <c r="D50" s="412"/>
      <c r="E50" s="383">
        <f t="shared" si="0"/>
        <v>0</v>
      </c>
      <c r="H50" s="40"/>
      <c r="J50" s="5"/>
      <c r="K50" s="5"/>
    </row>
    <row r="51" spans="1:11" ht="12.75">
      <c r="A51" t="s">
        <v>394</v>
      </c>
      <c r="D51" s="412"/>
      <c r="E51" s="383">
        <f t="shared" si="0"/>
        <v>0</v>
      </c>
      <c r="H51" s="40"/>
      <c r="J51" s="5"/>
      <c r="K51" s="5"/>
    </row>
    <row r="52" spans="1:11" ht="12.75">
      <c r="A52" t="s">
        <v>414</v>
      </c>
      <c r="D52" s="412"/>
      <c r="E52" s="383">
        <f t="shared" si="0"/>
        <v>0</v>
      </c>
      <c r="H52" s="40"/>
      <c r="J52" s="5"/>
      <c r="K52" s="5"/>
    </row>
    <row r="53" spans="4:11" ht="12.75">
      <c r="D53" s="412"/>
      <c r="E53" s="383">
        <f t="shared" si="0"/>
        <v>0</v>
      </c>
      <c r="H53" s="40"/>
      <c r="J53" s="5"/>
      <c r="K53" s="5"/>
    </row>
    <row r="54" spans="1:11" ht="12.75">
      <c r="A54" s="2" t="s">
        <v>287</v>
      </c>
      <c r="E54" s="250">
        <f>SUM(E43:E53)</f>
        <v>340563.64188333333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Ratebase*D33</f>
        <v>2396800.5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236803.8894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Ratebase*D35</f>
        <v>2396800.5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48">
        <f>D60*D39</f>
        <v>173768.03624999998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49">
        <f>IF(D41&gt;0,(((D43+D47)/D41)*D62),0)</f>
        <v>92777.14535901924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49">
        <f>IF(D41&gt;0,(((D43+D47+D48)/D41)*D62),0)</f>
        <v>144138.14382102547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49">
        <f>IF(D41&gt;0,(((D43+D47+D48)/D41)*D62),0)</f>
        <v>144138.14382102547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402</v>
      </c>
      <c r="B70" s="5"/>
      <c r="C70" s="5"/>
      <c r="D70" s="249">
        <f>D62</f>
        <v>173768.03624999998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">
      <selection activeCell="E175" sqref="E17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>
        <f>REGINFO!A1</f>
        <v>0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416</v>
      </c>
      <c r="H1" s="206"/>
    </row>
    <row r="2" spans="1:8" ht="12.75">
      <c r="A2" s="207" t="s">
        <v>415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417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244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Utility Name: Rideau St. Lawrence</v>
      </c>
      <c r="B6" s="111"/>
      <c r="D6" s="133"/>
      <c r="E6" s="111"/>
      <c r="G6" s="111"/>
      <c r="H6" s="427"/>
    </row>
    <row r="7" spans="1:8" ht="12.75">
      <c r="A7" s="207" t="str">
        <f>REGINFO!A4</f>
        <v>Reporting period:  2004</v>
      </c>
      <c r="B7" s="111"/>
      <c r="D7" s="133"/>
      <c r="E7" s="111"/>
      <c r="G7" s="111"/>
      <c r="H7" s="427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13">
        <f>REGINFO!B6</f>
        <v>366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250</v>
      </c>
      <c r="B10" s="413">
        <f>REGINFO!B7</f>
        <v>366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336</v>
      </c>
      <c r="B16" s="121">
        <v>1</v>
      </c>
      <c r="C16" s="255">
        <f>REGINFO!E54</f>
        <v>340563.64188333333</v>
      </c>
      <c r="D16" s="17"/>
      <c r="E16" s="263">
        <f>G16-C16</f>
        <v>108833.35811666667</v>
      </c>
      <c r="F16" s="3"/>
      <c r="G16" s="263">
        <f>TAXREC!E50</f>
        <v>449397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202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7">
        <f>62059*4</f>
        <v>248236</v>
      </c>
      <c r="D20" s="18"/>
      <c r="E20" s="263">
        <f>G20-C20</f>
        <v>-103117</v>
      </c>
      <c r="F20" s="6"/>
      <c r="G20" s="263">
        <f>TAXREC!E61</f>
        <v>145119</v>
      </c>
      <c r="H20" s="147"/>
    </row>
    <row r="21" spans="1:8" ht="12.75">
      <c r="A21" s="154" t="s">
        <v>56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</row>
    <row r="22" spans="1:8" ht="12.75">
      <c r="A22" s="154" t="s">
        <v>258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</row>
    <row r="23" spans="1:8" ht="12.75">
      <c r="A23" s="154" t="s">
        <v>257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</row>
    <row r="24" spans="1:8" ht="12.75">
      <c r="A24" s="154" t="s">
        <v>259</v>
      </c>
      <c r="B24" s="123">
        <v>5</v>
      </c>
      <c r="C24" s="257"/>
      <c r="D24" s="18"/>
      <c r="E24" s="263">
        <v>0</v>
      </c>
      <c r="F24" s="6"/>
      <c r="G24" s="263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</row>
    <row r="27" spans="1:8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</row>
    <row r="28" spans="1:8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</row>
    <row r="29" spans="1:8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</row>
    <row r="30" spans="1:8" ht="15.75">
      <c r="A30" s="445" t="s">
        <v>384</v>
      </c>
      <c r="B30" s="123"/>
      <c r="C30" s="255"/>
      <c r="D30" s="18"/>
      <c r="E30" s="263">
        <f>G30-C30</f>
        <v>0</v>
      </c>
      <c r="F30" s="6"/>
      <c r="G30" s="263">
        <f>TAXREC!E66</f>
        <v>0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337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7">
        <v>154193</v>
      </c>
      <c r="D33" s="128"/>
      <c r="E33" s="263">
        <f aca="true" t="shared" si="0" ref="E33:E42">G33-C33</f>
        <v>86436</v>
      </c>
      <c r="F33" s="6"/>
      <c r="G33" s="263">
        <f>TAXREC!E97+TAXREC!E98</f>
        <v>240629</v>
      </c>
      <c r="H33" s="147"/>
    </row>
    <row r="34" spans="1:8" ht="12.75">
      <c r="A34" s="154" t="s">
        <v>57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</row>
    <row r="35" spans="1:8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</row>
    <row r="36" spans="1:8" ht="12.75">
      <c r="A36" s="154" t="s">
        <v>260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</row>
    <row r="37" spans="1:9" ht="12.75">
      <c r="A37" s="151" t="s">
        <v>86</v>
      </c>
      <c r="B37" s="121">
        <v>11</v>
      </c>
      <c r="C37" s="256">
        <f>REGINFO!D66</f>
        <v>144138.14382102547</v>
      </c>
      <c r="D37" s="128"/>
      <c r="E37" s="263">
        <f t="shared" si="0"/>
        <v>-55555.14382102547</v>
      </c>
      <c r="F37" s="6"/>
      <c r="G37" s="263">
        <f>TAXREC!E51</f>
        <v>88583</v>
      </c>
      <c r="H37" s="147"/>
      <c r="I37" s="22"/>
    </row>
    <row r="38" spans="1:9" ht="12.75">
      <c r="A38" s="151" t="s">
        <v>256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I38" s="22"/>
    </row>
    <row r="39" spans="1:8" ht="12.75">
      <c r="A39" s="151" t="s">
        <v>255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</row>
    <row r="40" spans="1:8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</row>
    <row r="41" spans="1:8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</row>
    <row r="42" spans="1:8" ht="12.75">
      <c r="A42" s="151" t="s">
        <v>179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</row>
    <row r="48" spans="1:8" ht="15.75">
      <c r="A48" s="445" t="s">
        <v>384</v>
      </c>
      <c r="B48" s="123"/>
      <c r="C48" s="255"/>
      <c r="D48" s="128"/>
      <c r="E48" s="263">
        <f>G48-C48</f>
        <v>134510</v>
      </c>
      <c r="F48" s="6"/>
      <c r="G48" s="247">
        <f>TAXREC!E108</f>
        <v>134510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323</v>
      </c>
      <c r="B50" s="121"/>
      <c r="C50" s="259">
        <f>C16+SUM(C20:C30)-SUM(C33:C48)</f>
        <v>290468.49806230783</v>
      </c>
      <c r="D50" s="98"/>
      <c r="E50" s="259">
        <f>E16+SUM(E20:E30)-SUM(E33:E48)</f>
        <v>-159674.49806230786</v>
      </c>
      <c r="F50" s="415" t="s">
        <v>364</v>
      </c>
      <c r="G50" s="259">
        <f>G16+SUM(G20:G30)-SUM(G33:G48)</f>
        <v>130794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331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335</v>
      </c>
      <c r="B53" s="123">
        <v>13</v>
      </c>
      <c r="C53" s="258">
        <f>IF($C$50&gt;'Tax Rates'!$E$11,'Tax Rates'!$F$16,IF($C$50&gt;'Tax Rates'!$C$11,'Tax Rates'!$E$16,'Tax Rates'!$C$16))</f>
        <v>0.3412</v>
      </c>
      <c r="D53" s="98"/>
      <c r="E53" s="264">
        <f>+G53-C53</f>
        <v>0.020000000000000018</v>
      </c>
      <c r="F53" s="110"/>
      <c r="G53" s="435">
        <v>0.3612</v>
      </c>
      <c r="H53" s="147"/>
      <c r="I53" s="432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0">
        <f>IF(C50&gt;0,C50*C53,0)</f>
        <v>99107.85153885944</v>
      </c>
      <c r="D55" s="98"/>
      <c r="E55" s="263">
        <f>G55-C55</f>
        <v>-81946.85153885944</v>
      </c>
      <c r="F55" s="415" t="s">
        <v>365</v>
      </c>
      <c r="G55" s="260">
        <f>TAXREC!E144</f>
        <v>17161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1"/>
      <c r="D58" s="128"/>
      <c r="E58" s="263">
        <f>+G58-C58</f>
        <v>0</v>
      </c>
      <c r="F58" s="415" t="s">
        <v>365</v>
      </c>
      <c r="G58" s="266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2">
        <f>+C55-C58</f>
        <v>99107.85153885944</v>
      </c>
      <c r="D60" s="129"/>
      <c r="E60" s="265">
        <f>+E55-E58</f>
        <v>-81946.85153885944</v>
      </c>
      <c r="F60" s="415" t="s">
        <v>365</v>
      </c>
      <c r="G60" s="265">
        <f>+G55-G58</f>
        <v>17161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0">
        <f>Ratebase</f>
        <v>4793601</v>
      </c>
      <c r="D66" s="98"/>
      <c r="E66" s="263">
        <f>G66-C66</f>
        <v>629082</v>
      </c>
      <c r="F66" s="6"/>
      <c r="G66" s="437">
        <v>5422683</v>
      </c>
      <c r="H66" s="147"/>
      <c r="I66" s="438" t="s">
        <v>425</v>
      </c>
    </row>
    <row r="67" spans="1:10" ht="12.75">
      <c r="A67" s="148" t="s">
        <v>357</v>
      </c>
      <c r="B67" s="121">
        <v>16</v>
      </c>
      <c r="C67" s="256">
        <f>IF(C66&gt;0,'Tax Rates'!C21,0)</f>
        <v>5000000</v>
      </c>
      <c r="D67" s="98"/>
      <c r="E67" s="263">
        <f>G67-C67</f>
        <v>-842698</v>
      </c>
      <c r="F67" s="6"/>
      <c r="G67" s="437">
        <v>4157302</v>
      </c>
      <c r="H67" s="147"/>
      <c r="I67" s="438" t="s">
        <v>425</v>
      </c>
      <c r="J67" s="439" t="s">
        <v>426</v>
      </c>
    </row>
    <row r="68" spans="1:8" ht="12.75">
      <c r="A68" s="148" t="s">
        <v>42</v>
      </c>
      <c r="B68" s="121"/>
      <c r="C68" s="260">
        <f>IF((C66-C67)&gt;0,C66-C67,0)</f>
        <v>0</v>
      </c>
      <c r="D68" s="98"/>
      <c r="E68" s="263">
        <f>SUM(E66:E67)</f>
        <v>-213616</v>
      </c>
      <c r="F68" s="110"/>
      <c r="G68" s="260">
        <f>G66-G67</f>
        <v>1265381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358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311</v>
      </c>
      <c r="B72" s="121"/>
      <c r="C72" s="260">
        <f>IF(C68&gt;0,C68*C70,0)*REGINFO!$B$6/REGINFO!$B$7</f>
        <v>0</v>
      </c>
      <c r="D72" s="97"/>
      <c r="E72" s="263">
        <f>+G72-C72</f>
        <v>3796.143</v>
      </c>
      <c r="F72" s="440" t="s">
        <v>427</v>
      </c>
      <c r="G72" s="260">
        <f>IF(G68&gt;0,G68*G70,0)*REGINFO!$B$6/REGINFO!$B$7</f>
        <v>3796.143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212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0">
        <f>Ratebase</f>
        <v>4793601</v>
      </c>
      <c r="D75" s="98"/>
      <c r="E75" s="263">
        <f>+G75-C75</f>
        <v>-4793601</v>
      </c>
      <c r="F75" s="6"/>
      <c r="G75" s="437"/>
      <c r="H75" s="147"/>
      <c r="I75" s="438" t="s">
        <v>425</v>
      </c>
    </row>
    <row r="76" spans="1:9" ht="12.75">
      <c r="A76" s="148" t="s">
        <v>357</v>
      </c>
      <c r="B76" s="121">
        <v>19</v>
      </c>
      <c r="C76" s="256">
        <f>IF(C75&gt;0,'Tax Rates'!C22,0)</f>
        <v>10000000</v>
      </c>
      <c r="D76" s="18"/>
      <c r="E76" s="263">
        <f>+G76-C76</f>
        <v>-10000000</v>
      </c>
      <c r="F76" s="6"/>
      <c r="G76" s="437"/>
      <c r="H76" s="147"/>
      <c r="I76" s="438" t="s">
        <v>425</v>
      </c>
    </row>
    <row r="77" spans="1:8" ht="12.75">
      <c r="A77" s="148" t="s">
        <v>42</v>
      </c>
      <c r="B77" s="121"/>
      <c r="C77" s="260">
        <f>IF((C75-C76)&gt;0,C75-C76,0)</f>
        <v>0</v>
      </c>
      <c r="D77" s="19"/>
      <c r="E77" s="263">
        <f>SUM(E75:E76)</f>
        <v>-14793601</v>
      </c>
      <c r="F77" s="110"/>
      <c r="G77" s="260">
        <f>IF((G75-G76)&gt;0,G75-G76,0)</f>
        <v>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358</v>
      </c>
      <c r="B79" s="121">
        <v>20</v>
      </c>
      <c r="C79" s="297">
        <f>'Tax Rates'!C19</f>
        <v>0.00225</v>
      </c>
      <c r="D79" s="98"/>
      <c r="E79" s="264">
        <f>G79-C79</f>
        <v>-0.0002499999999999998</v>
      </c>
      <c r="F79" s="6"/>
      <c r="G79" s="264">
        <f>'Tax Rates'!C55</f>
        <v>0.002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312</v>
      </c>
      <c r="B81" s="121"/>
      <c r="C81" s="260">
        <f>IF(C77&gt;0,C77*C79,0)*REGINFO!$B$6/REGINFO!$B$7</f>
        <v>0</v>
      </c>
      <c r="D81" s="98"/>
      <c r="E81" s="263">
        <f>+G81-C81</f>
        <v>0</v>
      </c>
      <c r="F81" s="6"/>
      <c r="G81" s="260">
        <f>G77*G79*B9/B10</f>
        <v>0</v>
      </c>
      <c r="H81" s="147"/>
    </row>
    <row r="82" spans="1:8" ht="12.75">
      <c r="A82" s="148" t="s">
        <v>313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0">
        <f>C81-C82</f>
        <v>0</v>
      </c>
      <c r="D84" s="16"/>
      <c r="E84" s="263">
        <f>E81-E82</f>
        <v>0</v>
      </c>
      <c r="F84" s="99"/>
      <c r="G84" s="260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221</v>
      </c>
      <c r="B88" s="121"/>
      <c r="C88" s="258">
        <f>IF($C$50&gt;'Tax Rates'!$E$11,'Tax Rates'!$F$16,IF(AND($C$50&gt;='Tax Rates'!$C$11,$C$50&lt;='Tax Rates'!E11),'Tax Rates'!$E$16,'Tax Rates'!$C$16))-1.12%</f>
        <v>0.33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366</v>
      </c>
      <c r="B90" s="123">
        <v>22</v>
      </c>
      <c r="C90" s="260">
        <f>C60/(1-C53)</f>
        <v>150436.93311909446</v>
      </c>
      <c r="D90" s="20"/>
      <c r="E90" s="135"/>
      <c r="F90" s="414" t="s">
        <v>445</v>
      </c>
      <c r="G90" s="266">
        <f>TAXREC!E156</f>
        <v>17161</v>
      </c>
      <c r="H90" s="147"/>
    </row>
    <row r="91" spans="1:8" ht="12.75">
      <c r="A91" s="154" t="s">
        <v>367</v>
      </c>
      <c r="B91" s="123">
        <v>23</v>
      </c>
      <c r="C91" s="260">
        <f>C84/(1-C88)</f>
        <v>0</v>
      </c>
      <c r="D91" s="20"/>
      <c r="E91" s="135"/>
      <c r="F91" s="414" t="s">
        <v>445</v>
      </c>
      <c r="G91" s="266">
        <f>TAXREC!E158</f>
        <v>0</v>
      </c>
      <c r="H91" s="147"/>
    </row>
    <row r="92" spans="1:8" ht="12.75">
      <c r="A92" s="154" t="s">
        <v>345</v>
      </c>
      <c r="B92" s="123">
        <v>24</v>
      </c>
      <c r="C92" s="260">
        <f>C72</f>
        <v>0</v>
      </c>
      <c r="D92" s="20"/>
      <c r="E92" s="135"/>
      <c r="F92" s="414" t="s">
        <v>445</v>
      </c>
      <c r="G92" s="266">
        <f>TAXREC!E157</f>
        <v>3796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8" ht="13.5" thickBot="1">
      <c r="A95" s="152" t="s">
        <v>431</v>
      </c>
      <c r="B95" s="121">
        <v>25</v>
      </c>
      <c r="C95" s="265">
        <f>SUM(C90:C93)</f>
        <v>150436.93311909446</v>
      </c>
      <c r="D95" s="6"/>
      <c r="E95" s="135"/>
      <c r="F95" s="414" t="s">
        <v>445</v>
      </c>
      <c r="G95" s="402">
        <f>SUM(G90:G94)</f>
        <v>20957</v>
      </c>
      <c r="H95" s="160"/>
    </row>
    <row r="96" spans="1:8" ht="12.75">
      <c r="A96" s="392" t="s">
        <v>302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299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241</v>
      </c>
      <c r="B100" s="119"/>
      <c r="C100" s="108"/>
      <c r="D100" s="3"/>
      <c r="E100" s="139" t="s">
        <v>243</v>
      </c>
      <c r="F100" s="37"/>
      <c r="G100" s="196"/>
      <c r="H100" s="160"/>
    </row>
    <row r="101" spans="1:8" ht="12.75">
      <c r="A101" s="152" t="s">
        <v>343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</row>
    <row r="106" spans="1:8" ht="12.75">
      <c r="A106" s="154" t="s">
        <v>360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361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359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</row>
    <row r="112" spans="1:8" ht="12.75">
      <c r="A112" s="151" t="s">
        <v>316</v>
      </c>
      <c r="B112" s="123">
        <v>11</v>
      </c>
      <c r="C112" s="108"/>
      <c r="D112" s="3"/>
      <c r="E112" s="434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362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363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214</v>
      </c>
      <c r="B120" s="123">
        <v>26</v>
      </c>
      <c r="C120" s="108"/>
      <c r="D120" s="113" t="s">
        <v>184</v>
      </c>
      <c r="E120" s="260">
        <f>SUM(E102:E107)-SUM(E109:E118)</f>
        <v>0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457" t="s">
        <v>444</v>
      </c>
      <c r="B122" s="123"/>
      <c r="C122" s="108"/>
      <c r="D122" s="3" t="s">
        <v>225</v>
      </c>
      <c r="E122" s="431">
        <v>0.3412</v>
      </c>
      <c r="F122" s="432"/>
      <c r="G122" s="197" t="s">
        <v>100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240</v>
      </c>
      <c r="B124" s="123"/>
      <c r="C124" s="108"/>
      <c r="D124" s="3" t="s">
        <v>184</v>
      </c>
      <c r="E124" s="260">
        <f>E120*E122</f>
        <v>0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110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60">
        <f>E124-E126</f>
        <v>0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190</v>
      </c>
      <c r="B130" s="123"/>
      <c r="C130" s="108"/>
      <c r="D130" s="3"/>
      <c r="E130" s="431">
        <f>+E122-1.12%</f>
        <v>0.33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349</v>
      </c>
      <c r="B132" s="126"/>
      <c r="C132" s="108"/>
      <c r="D132" s="3"/>
      <c r="E132" s="259">
        <f>E128/(1-E130)</f>
        <v>0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352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229</v>
      </c>
      <c r="B136" s="126"/>
      <c r="C136" s="108"/>
      <c r="D136" s="114" t="s">
        <v>184</v>
      </c>
      <c r="E136" s="298">
        <f>C50</f>
        <v>290468.49806230783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231</v>
      </c>
      <c r="B138" s="126"/>
      <c r="C138" s="108"/>
      <c r="D138" s="115" t="s">
        <v>225</v>
      </c>
      <c r="E138" s="431">
        <v>0.3412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223</v>
      </c>
      <c r="B140" s="126"/>
      <c r="C140" s="108"/>
      <c r="D140" s="114" t="s">
        <v>184</v>
      </c>
      <c r="E140" s="299">
        <f>IF(E136&gt;0,E136*E138,0)</f>
        <v>99107.85153885944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232</v>
      </c>
      <c r="B142" s="126"/>
      <c r="C142" s="108"/>
      <c r="D142" s="114" t="s">
        <v>183</v>
      </c>
      <c r="E142" s="300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224</v>
      </c>
      <c r="B144" s="126"/>
      <c r="C144" s="108"/>
      <c r="D144" s="115" t="s">
        <v>184</v>
      </c>
      <c r="E144" s="298">
        <f>E140-E142</f>
        <v>99107.85153885944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233</v>
      </c>
      <c r="B146" s="126"/>
      <c r="C146" s="108"/>
      <c r="D146" s="114" t="s">
        <v>183</v>
      </c>
      <c r="E146" s="298">
        <f>C60</f>
        <v>99107.85153885944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226</v>
      </c>
      <c r="B148" s="126"/>
      <c r="C148" s="108"/>
      <c r="D148" s="114" t="s">
        <v>184</v>
      </c>
      <c r="E148" s="298">
        <f>E144-E146</f>
        <v>0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2" t="s">
        <v>20</v>
      </c>
      <c r="B150" s="126"/>
      <c r="C150" s="108"/>
      <c r="D150" s="115"/>
      <c r="E150" s="444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184</v>
      </c>
      <c r="E151" s="298">
        <f>C66</f>
        <v>4793601</v>
      </c>
      <c r="F151" s="37"/>
      <c r="G151" s="197"/>
      <c r="H151" s="160"/>
    </row>
    <row r="152" spans="1:8" ht="12.75">
      <c r="A152" s="167" t="s">
        <v>355</v>
      </c>
      <c r="B152" s="126"/>
      <c r="C152" s="108"/>
      <c r="D152" s="114" t="s">
        <v>183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227</v>
      </c>
      <c r="B153" s="126"/>
      <c r="C153" s="108"/>
      <c r="D153" s="114" t="s">
        <v>184</v>
      </c>
      <c r="E153" s="298">
        <f>E151-E152</f>
        <v>-206399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356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228</v>
      </c>
      <c r="B157" s="126"/>
      <c r="C157" s="108"/>
      <c r="D157" s="115" t="s">
        <v>184</v>
      </c>
      <c r="E157" s="298">
        <f>IF(E153&gt;0,E153*E155*B9/B10,0)</f>
        <v>0</v>
      </c>
      <c r="F157" s="37"/>
      <c r="G157" s="197"/>
      <c r="H157" s="160"/>
    </row>
    <row r="158" spans="1:8" ht="25.5">
      <c r="A158" s="167" t="s">
        <v>303</v>
      </c>
      <c r="B158" s="126"/>
      <c r="C158" s="108"/>
      <c r="D158" s="114" t="s">
        <v>183</v>
      </c>
      <c r="E158" s="301">
        <f>C72</f>
        <v>0</v>
      </c>
      <c r="F158" s="37"/>
      <c r="G158" s="197"/>
      <c r="H158" s="160"/>
    </row>
    <row r="159" spans="1:8" ht="12.75" customHeight="1">
      <c r="A159" s="168" t="s">
        <v>238</v>
      </c>
      <c r="B159" s="126"/>
      <c r="C159" s="108"/>
      <c r="D159" s="114" t="s">
        <v>184</v>
      </c>
      <c r="E159" s="436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2" t="s">
        <v>230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8">
        <f>C75</f>
        <v>4793601</v>
      </c>
      <c r="F162" s="37"/>
      <c r="G162" s="197"/>
      <c r="H162" s="160"/>
    </row>
    <row r="163" spans="1:8" ht="12.75">
      <c r="A163" s="167" t="s">
        <v>354</v>
      </c>
      <c r="B163" s="126"/>
      <c r="C163" s="108"/>
      <c r="D163" s="114" t="s">
        <v>183</v>
      </c>
      <c r="E163" s="301">
        <f>IF(E162&gt;0,'Tax Rates'!C40,0)</f>
        <v>50000000</v>
      </c>
      <c r="F163" s="37"/>
      <c r="G163" s="197"/>
      <c r="H163" s="160"/>
    </row>
    <row r="164" spans="1:8" ht="12.75">
      <c r="A164" s="167" t="s">
        <v>234</v>
      </c>
      <c r="B164" s="126"/>
      <c r="C164" s="108"/>
      <c r="D164" s="115" t="s">
        <v>184</v>
      </c>
      <c r="E164" s="298">
        <f>E162-E163</f>
        <v>-45206399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304</v>
      </c>
      <c r="B166" s="126"/>
      <c r="C166" s="108"/>
      <c r="D166" s="115"/>
      <c r="E166" s="302">
        <f>'Tax Rates'!C55</f>
        <v>0.002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235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314</v>
      </c>
      <c r="B169" s="126"/>
      <c r="C169" s="108"/>
      <c r="D169" s="114" t="s">
        <v>183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236</v>
      </c>
      <c r="B170" s="126"/>
      <c r="C170" s="108"/>
      <c r="D170" s="115" t="s">
        <v>184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3" t="s">
        <v>344</v>
      </c>
      <c r="B172" s="126"/>
      <c r="C172" s="108"/>
      <c r="D172" s="114" t="s">
        <v>183</v>
      </c>
      <c r="E172" s="301">
        <f>C84</f>
        <v>0</v>
      </c>
      <c r="F172" s="37"/>
      <c r="G172" s="197"/>
      <c r="H172" s="160"/>
    </row>
    <row r="173" spans="1:8" ht="12.75">
      <c r="A173" s="151" t="s">
        <v>239</v>
      </c>
      <c r="B173" s="126"/>
      <c r="C173" s="108"/>
      <c r="D173" s="115" t="s">
        <v>184</v>
      </c>
      <c r="E173" s="436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341</v>
      </c>
      <c r="B175" s="126"/>
      <c r="C175" s="108"/>
      <c r="D175" s="115"/>
      <c r="E175" s="431">
        <f>+E138-1.12%</f>
        <v>0.33</v>
      </c>
      <c r="F175" s="432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237</v>
      </c>
      <c r="B177" s="126"/>
      <c r="C177" s="108"/>
      <c r="D177" s="115" t="s">
        <v>182</v>
      </c>
      <c r="E177" s="298">
        <f>E148/(1-E175)</f>
        <v>0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182</v>
      </c>
      <c r="E178" s="298">
        <f>E173/(1-E175)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182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350</v>
      </c>
      <c r="B181" s="126"/>
      <c r="C181" s="108"/>
      <c r="D181" s="115" t="s">
        <v>184</v>
      </c>
      <c r="E181" s="298">
        <f>SUM(E177:E179)</f>
        <v>0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342</v>
      </c>
      <c r="B183" s="126"/>
      <c r="C183" s="108"/>
      <c r="D183" s="115" t="s">
        <v>182</v>
      </c>
      <c r="E183" s="298">
        <f>E132</f>
        <v>0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351</v>
      </c>
      <c r="B185" s="126"/>
      <c r="C185" s="108"/>
      <c r="D185" s="115" t="s">
        <v>184</v>
      </c>
      <c r="E185" s="459">
        <f>E181+E183</f>
        <v>0</v>
      </c>
      <c r="F185" s="37"/>
      <c r="G185" s="197"/>
      <c r="H185" s="160"/>
    </row>
    <row r="186" spans="1:8" ht="12.75">
      <c r="A186" s="158" t="s">
        <v>242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218</v>
      </c>
      <c r="B193" s="123"/>
      <c r="C193" s="108"/>
      <c r="D193" s="116"/>
      <c r="E193" s="304">
        <f>REGINFO!D62</f>
        <v>173768.03624999998</v>
      </c>
      <c r="F193" s="3"/>
      <c r="G193" s="119"/>
      <c r="H193" s="160"/>
    </row>
    <row r="194" spans="1:8" ht="12.75">
      <c r="A194" s="151" t="s">
        <v>245</v>
      </c>
      <c r="B194" s="123"/>
      <c r="C194" s="108"/>
      <c r="D194" s="116"/>
      <c r="E194" s="304">
        <f>REGINFO!D66</f>
        <v>144138.14382102547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338</v>
      </c>
      <c r="B196" s="123"/>
      <c r="C196" s="108"/>
      <c r="D196" s="116"/>
      <c r="E196" s="304">
        <f>E193-E194</f>
        <v>29629.892428974505</v>
      </c>
      <c r="F196" s="3"/>
      <c r="G196" s="119"/>
      <c r="H196" s="160"/>
    </row>
    <row r="197" spans="1:8" ht="12.75">
      <c r="A197" s="151" t="s">
        <v>339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251</v>
      </c>
      <c r="B199" s="123"/>
      <c r="C199" s="108"/>
      <c r="D199" s="116"/>
      <c r="E199" s="143"/>
      <c r="F199" s="3"/>
      <c r="G199" s="448"/>
      <c r="H199" s="160"/>
    </row>
    <row r="200" spans="1:8" ht="12.75">
      <c r="A200" s="172" t="s">
        <v>85</v>
      </c>
      <c r="B200" s="123"/>
      <c r="C200" s="108"/>
      <c r="D200" s="116"/>
      <c r="E200" s="143"/>
      <c r="F200" s="3"/>
      <c r="G200" s="448"/>
      <c r="H200" s="160"/>
    </row>
    <row r="201" spans="1:8" ht="12.75">
      <c r="A201" s="151" t="s">
        <v>246</v>
      </c>
      <c r="B201" s="123"/>
      <c r="C201" s="108"/>
      <c r="D201" s="116"/>
      <c r="E201" s="304">
        <f>G37+G42</f>
        <v>88583</v>
      </c>
      <c r="F201" s="3"/>
      <c r="G201" s="448"/>
      <c r="H201" s="160"/>
    </row>
    <row r="202" spans="1:8" ht="12.75">
      <c r="A202" s="151" t="s">
        <v>340</v>
      </c>
      <c r="B202" s="123"/>
      <c r="C202" s="108"/>
      <c r="D202" s="116"/>
      <c r="E202" s="304">
        <f>REGINFO!D62</f>
        <v>173768.03624999998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315</v>
      </c>
      <c r="B206" s="123"/>
      <c r="C206" s="108"/>
      <c r="D206" s="116"/>
      <c r="E206" s="433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219</v>
      </c>
      <c r="B208" s="174"/>
      <c r="C208" s="175"/>
      <c r="D208" s="176"/>
      <c r="E208" s="305">
        <f>+E196-E204</f>
        <v>29629.892428974505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workbookViewId="0" topLeftCell="A99">
      <selection activeCell="C110" sqref="C1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Rideau St. Lawrence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209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210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19">
        <f>REGINFO!B6</f>
        <v>366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211</v>
      </c>
      <c r="C13" s="254">
        <v>0</v>
      </c>
      <c r="D13" s="79" t="s">
        <v>181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5" t="s">
        <v>222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64</v>
      </c>
      <c r="C17" s="8"/>
      <c r="E17" s="26"/>
      <c r="F17" s="8"/>
    </row>
    <row r="18" spans="1:6" ht="12.75">
      <c r="A18" s="52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8" t="s">
        <v>321</v>
      </c>
      <c r="B23" s="389"/>
      <c r="C23" s="390"/>
      <c r="D23" s="391"/>
      <c r="E23" s="28"/>
      <c r="F23" s="11"/>
      <c r="G23" s="11"/>
      <c r="H23" s="6"/>
      <c r="I23" s="6"/>
    </row>
    <row r="24" spans="1:9" ht="12.75">
      <c r="A24" s="388" t="s">
        <v>253</v>
      </c>
      <c r="B24" s="389"/>
      <c r="C24" s="390"/>
      <c r="D24" s="391"/>
      <c r="E24" s="28"/>
      <c r="F24" s="11"/>
      <c r="G24" s="11"/>
      <c r="H24" s="6"/>
      <c r="I24" s="6"/>
    </row>
    <row r="25" spans="1:9" ht="12.75">
      <c r="A25" s="388" t="s">
        <v>217</v>
      </c>
      <c r="B25" s="389"/>
      <c r="C25" s="390"/>
      <c r="D25" s="391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8" t="s">
        <v>319</v>
      </c>
      <c r="B27" s="389"/>
      <c r="C27" s="390"/>
      <c r="D27" s="391"/>
      <c r="E27" s="28"/>
      <c r="F27" s="11"/>
      <c r="G27" s="11"/>
      <c r="H27" s="6"/>
      <c r="I27" s="6"/>
    </row>
    <row r="28" spans="1:9" ht="12.75">
      <c r="A28" s="388" t="s">
        <v>320</v>
      </c>
      <c r="B28" s="389"/>
      <c r="C28" s="390"/>
      <c r="D28" s="39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268</v>
      </c>
      <c r="B31" s="23" t="s">
        <v>182</v>
      </c>
      <c r="C31" s="450">
        <v>8703016</v>
      </c>
      <c r="D31" s="282"/>
      <c r="E31" s="280">
        <f>C31-D31</f>
        <v>8703016</v>
      </c>
      <c r="F31" s="11"/>
      <c r="G31" s="11"/>
      <c r="H31" s="6"/>
      <c r="I31" s="6"/>
    </row>
    <row r="32" spans="1:9" ht="12.75">
      <c r="A32" s="4" t="s">
        <v>215</v>
      </c>
      <c r="B32" s="23" t="s">
        <v>182</v>
      </c>
      <c r="C32" s="450">
        <v>1559011</v>
      </c>
      <c r="D32" s="282"/>
      <c r="E32" s="280">
        <f>C32-D32</f>
        <v>1559011</v>
      </c>
      <c r="F32" s="11"/>
      <c r="G32" s="11"/>
      <c r="H32" s="6"/>
      <c r="I32" s="6"/>
    </row>
    <row r="33" spans="1:9" ht="12.75">
      <c r="A33" s="4" t="s">
        <v>205</v>
      </c>
      <c r="B33" s="23" t="s">
        <v>182</v>
      </c>
      <c r="C33" s="450">
        <v>264595</v>
      </c>
      <c r="D33" s="282"/>
      <c r="E33" s="280">
        <f>C33-D33</f>
        <v>264595</v>
      </c>
      <c r="F33" s="11"/>
      <c r="G33" s="11"/>
      <c r="H33" s="6"/>
      <c r="I33" s="6"/>
    </row>
    <row r="34" spans="1:9" ht="12.75">
      <c r="A34" s="4" t="s">
        <v>220</v>
      </c>
      <c r="B34" s="23" t="s">
        <v>182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182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203</v>
      </c>
      <c r="B39" s="23" t="s">
        <v>183</v>
      </c>
      <c r="C39" s="454">
        <v>8703016</v>
      </c>
      <c r="D39" s="282"/>
      <c r="E39" s="280">
        <f>C39-D39</f>
        <v>8703016</v>
      </c>
      <c r="F39" s="11"/>
      <c r="G39" s="11"/>
      <c r="H39" s="6"/>
      <c r="I39" s="6"/>
    </row>
    <row r="40" spans="1:9" ht="12.75">
      <c r="A40" s="46" t="s">
        <v>204</v>
      </c>
      <c r="B40" s="23" t="s">
        <v>183</v>
      </c>
      <c r="C40" s="454">
        <v>533981</v>
      </c>
      <c r="D40" s="282"/>
      <c r="E40" s="280">
        <f aca="true" t="shared" si="0" ref="E40:E48">C40-D40</f>
        <v>533981</v>
      </c>
      <c r="F40" s="11"/>
      <c r="G40" s="11"/>
      <c r="H40" s="6"/>
      <c r="I40" s="6"/>
    </row>
    <row r="41" spans="1:9" ht="12.75">
      <c r="A41" s="4" t="s">
        <v>269</v>
      </c>
      <c r="B41" s="23" t="s">
        <v>183</v>
      </c>
      <c r="C41" s="454">
        <v>357937</v>
      </c>
      <c r="D41" s="282"/>
      <c r="E41" s="280">
        <f t="shared" si="0"/>
        <v>357937</v>
      </c>
      <c r="F41" s="11"/>
      <c r="G41" s="11"/>
      <c r="H41" s="6"/>
      <c r="I41" s="6"/>
    </row>
    <row r="42" spans="1:9" ht="12.75">
      <c r="A42" s="4" t="s">
        <v>270</v>
      </c>
      <c r="B42" s="23" t="s">
        <v>183</v>
      </c>
      <c r="C42" s="454">
        <v>337172</v>
      </c>
      <c r="D42" s="282"/>
      <c r="E42" s="280">
        <f t="shared" si="0"/>
        <v>337172</v>
      </c>
      <c r="F42" s="11"/>
      <c r="G42" s="11"/>
      <c r="H42" s="6"/>
      <c r="I42" s="6"/>
    </row>
    <row r="43" spans="1:9" ht="12.75">
      <c r="A43" s="4" t="s">
        <v>271</v>
      </c>
      <c r="B43" s="23" t="s">
        <v>183</v>
      </c>
      <c r="C43" s="454">
        <v>145119</v>
      </c>
      <c r="D43" s="282"/>
      <c r="E43" s="280">
        <f t="shared" si="0"/>
        <v>145119</v>
      </c>
      <c r="F43" s="11"/>
      <c r="G43" s="11"/>
      <c r="H43" s="6"/>
      <c r="I43" s="6"/>
    </row>
    <row r="44" spans="1:9" ht="12.75">
      <c r="A44" s="4" t="s">
        <v>272</v>
      </c>
      <c r="B44" s="23" t="s">
        <v>183</v>
      </c>
      <c r="C44" s="454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" t="s">
        <v>436</v>
      </c>
      <c r="B45" s="23" t="s">
        <v>183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183</v>
      </c>
      <c r="C46" s="281"/>
      <c r="D46" s="282"/>
      <c r="E46" s="280">
        <f t="shared" si="0"/>
        <v>0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183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183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184</v>
      </c>
      <c r="C50" s="277">
        <f>SUM(C31:C36)-SUM(C39:C49)</f>
        <v>449397</v>
      </c>
      <c r="D50" s="277">
        <f>SUM(D31:D36)-SUM(D39:D49)</f>
        <v>0</v>
      </c>
      <c r="E50" s="277">
        <f>SUM(E31:E35)-SUM(E39:E48)</f>
        <v>449397</v>
      </c>
      <c r="F50" s="11"/>
      <c r="G50" s="11"/>
      <c r="H50" s="6"/>
      <c r="I50" s="6"/>
    </row>
    <row r="51" spans="1:9" ht="12.75">
      <c r="A51" s="4" t="s">
        <v>91</v>
      </c>
      <c r="B51" s="23" t="s">
        <v>183</v>
      </c>
      <c r="C51" s="281">
        <v>88583</v>
      </c>
      <c r="D51" s="281"/>
      <c r="E51" s="278">
        <f>+C51-D51</f>
        <v>88583</v>
      </c>
      <c r="F51" s="11"/>
      <c r="G51" s="11"/>
      <c r="H51" s="6"/>
      <c r="I51" s="6"/>
    </row>
    <row r="52" spans="1:6" ht="12.75">
      <c r="A52" t="s">
        <v>178</v>
      </c>
      <c r="B52" s="8" t="s">
        <v>183</v>
      </c>
      <c r="C52" s="281">
        <v>31586</v>
      </c>
      <c r="D52" s="281"/>
      <c r="E52" s="279">
        <f>+C52-D52</f>
        <v>31586</v>
      </c>
      <c r="F52" s="8"/>
    </row>
    <row r="53" spans="1:6" ht="12.75">
      <c r="A53" s="2" t="s">
        <v>127</v>
      </c>
      <c r="B53" s="8" t="s">
        <v>184</v>
      </c>
      <c r="C53" s="277">
        <f>C50-C51-C52</f>
        <v>329228</v>
      </c>
      <c r="D53" s="277">
        <f>D50-D51-D52</f>
        <v>0</v>
      </c>
      <c r="E53" s="277">
        <f>E50-E51-E52</f>
        <v>329228</v>
      </c>
      <c r="F53" s="8"/>
    </row>
    <row r="54" spans="1:6" ht="24">
      <c r="A54" s="83" t="s">
        <v>208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6" ht="12.75">
      <c r="A59" s="4" t="s">
        <v>96</v>
      </c>
      <c r="B59" s="8" t="s">
        <v>182</v>
      </c>
      <c r="C59" s="283">
        <f>+C52</f>
        <v>31586</v>
      </c>
      <c r="D59" s="283">
        <f>D52</f>
        <v>0</v>
      </c>
      <c r="E59" s="268">
        <f>+C59-D59</f>
        <v>31586</v>
      </c>
      <c r="F59" s="8"/>
    </row>
    <row r="60" spans="1:6" ht="12.75">
      <c r="A60" s="4" t="s">
        <v>322</v>
      </c>
      <c r="B60" s="8" t="s">
        <v>182</v>
      </c>
      <c r="C60" s="313"/>
      <c r="D60" s="313"/>
      <c r="E60" s="268">
        <f>+C60-D60</f>
        <v>0</v>
      </c>
      <c r="F60" s="8"/>
    </row>
    <row r="61" spans="1:7" ht="12.75">
      <c r="A61" t="s">
        <v>4</v>
      </c>
      <c r="B61" s="8" t="s">
        <v>182</v>
      </c>
      <c r="C61" s="313">
        <f>+C43</f>
        <v>145119</v>
      </c>
      <c r="D61" s="283">
        <f>D43</f>
        <v>0</v>
      </c>
      <c r="E61" s="268">
        <f>+C61-D61</f>
        <v>145119</v>
      </c>
      <c r="F61" s="8"/>
      <c r="G61" s="404"/>
    </row>
    <row r="62" spans="1:6" ht="12.75">
      <c r="A62" t="s">
        <v>6</v>
      </c>
      <c r="B62" s="8" t="s">
        <v>182</v>
      </c>
      <c r="C62" s="313"/>
      <c r="D62" s="283">
        <v>0</v>
      </c>
      <c r="E62" s="268">
        <f>+C62-D62</f>
        <v>0</v>
      </c>
      <c r="F62" s="8"/>
    </row>
    <row r="63" spans="1:6" ht="12.75">
      <c r="A63" s="31" t="s">
        <v>273</v>
      </c>
      <c r="B63" s="8" t="s">
        <v>182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182</v>
      </c>
      <c r="C64" s="311">
        <f>+'Tax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398</v>
      </c>
      <c r="B65" s="8" t="s">
        <v>182</v>
      </c>
      <c r="C65" s="282"/>
      <c r="D65" s="282"/>
      <c r="E65" s="268">
        <f>+C65-D65</f>
        <v>0</v>
      </c>
      <c r="F65" s="8"/>
    </row>
    <row r="66" spans="1:6" ht="15">
      <c r="A66" s="429" t="s">
        <v>384</v>
      </c>
      <c r="B66" s="8"/>
      <c r="C66" s="420">
        <f>'TAXREC 3 No True-up'!C47</f>
        <v>0</v>
      </c>
      <c r="D66" s="420">
        <f>'TAXREC 3 No True-up'!D47</f>
        <v>0</v>
      </c>
      <c r="E66" s="268">
        <f>+C66-D66</f>
        <v>0</v>
      </c>
      <c r="F66" s="8"/>
    </row>
    <row r="67" spans="1:6" ht="12.75">
      <c r="A67" t="s">
        <v>156</v>
      </c>
      <c r="B67" s="8" t="s">
        <v>182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157</v>
      </c>
      <c r="B68" s="8" t="s">
        <v>182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8">
        <f>SUM(C59:C68)</f>
        <v>176705</v>
      </c>
      <c r="D70" s="268">
        <f>SUM(D59:D68)</f>
        <v>0</v>
      </c>
      <c r="E70" s="268">
        <f>SUM(E59:E68)</f>
        <v>176705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201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182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182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182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 t="s">
        <v>429</v>
      </c>
      <c r="B76" s="8" t="s">
        <v>182</v>
      </c>
      <c r="C76" s="441"/>
      <c r="D76" s="290"/>
      <c r="E76" s="442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 t="s">
        <v>441</v>
      </c>
      <c r="B77" s="8" t="s">
        <v>182</v>
      </c>
      <c r="C77" s="290"/>
      <c r="D77" s="290"/>
      <c r="E77" s="268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182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182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184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184</v>
      </c>
      <c r="C82" s="247">
        <f>C70+C80</f>
        <v>176705</v>
      </c>
      <c r="D82" s="247">
        <f>D70+D80</f>
        <v>0</v>
      </c>
      <c r="E82" s="247">
        <f>E70+E80</f>
        <v>176705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387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191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183</v>
      </c>
      <c r="C97" s="290">
        <v>240629</v>
      </c>
      <c r="D97" s="290"/>
      <c r="E97" s="268">
        <f>+C97-D97</f>
        <v>240629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183</v>
      </c>
      <c r="C98" s="290"/>
      <c r="D98" s="290"/>
      <c r="E98" s="268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183</v>
      </c>
      <c r="C99" s="290">
        <v>0</v>
      </c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183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183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183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183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183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183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183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183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29" t="s">
        <v>384</v>
      </c>
      <c r="B108" s="8"/>
      <c r="C108" s="250">
        <f>'TAXREC 3 No True-up'!C73</f>
        <v>134510</v>
      </c>
      <c r="D108" s="250">
        <f>'TAXREC 3 No True-up'!D73</f>
        <v>0</v>
      </c>
      <c r="E108" s="268">
        <f t="shared" si="5"/>
        <v>134510</v>
      </c>
      <c r="F108" s="8"/>
      <c r="G108" s="45"/>
      <c r="H108" s="45"/>
      <c r="I108" s="45"/>
      <c r="J108" s="45"/>
      <c r="K108" s="45"/>
    </row>
    <row r="109" spans="1:11" ht="12.75">
      <c r="A109" s="461" t="s">
        <v>454</v>
      </c>
      <c r="B109" s="8" t="s">
        <v>183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183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183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184</v>
      </c>
      <c r="C113" s="247">
        <f>SUM(C97:C111)</f>
        <v>375139</v>
      </c>
      <c r="D113" s="247">
        <f>SUM(D97:D111)</f>
        <v>0</v>
      </c>
      <c r="E113" s="247">
        <f>SUM(E97:E111)</f>
        <v>375139</v>
      </c>
      <c r="F113" s="8"/>
      <c r="G113" s="45"/>
      <c r="H113" s="45"/>
      <c r="I113" s="23"/>
      <c r="J113" s="45"/>
      <c r="K113" s="23"/>
    </row>
    <row r="114" spans="1:11" ht="12.75">
      <c r="A114" s="10" t="s">
        <v>200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183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216</v>
      </c>
      <c r="B116" s="8" t="s">
        <v>183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 t="s">
        <v>440</v>
      </c>
      <c r="B117" s="8" t="s">
        <v>183</v>
      </c>
      <c r="C117" s="290"/>
      <c r="D117" s="290"/>
      <c r="E117" s="268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183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184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184</v>
      </c>
      <c r="C122" s="247">
        <f>C113+C120</f>
        <v>375139</v>
      </c>
      <c r="D122" s="247">
        <f>D113+D120</f>
        <v>0</v>
      </c>
      <c r="E122" s="247">
        <f>+E113+E120</f>
        <v>375139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193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194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192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130794</v>
      </c>
      <c r="J133" s="45"/>
      <c r="K133" s="45"/>
    </row>
    <row r="134" spans="1:11" ht="12.75">
      <c r="A134" s="13" t="s">
        <v>81</v>
      </c>
      <c r="B134" s="8" t="s">
        <v>184</v>
      </c>
      <c r="C134" s="247">
        <f>+C53+C82-C122</f>
        <v>130794</v>
      </c>
      <c r="D134" s="247">
        <f>D53+D82-D122</f>
        <v>0</v>
      </c>
      <c r="E134" s="247">
        <f>E53+E82-E122</f>
        <v>130794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47">
        <f>I133-I134</f>
        <v>-1416000</v>
      </c>
      <c r="J135" s="45" t="s">
        <v>308</v>
      </c>
      <c r="K135" s="45"/>
    </row>
    <row r="136" spans="1:11" ht="12.75">
      <c r="A136" s="12" t="s">
        <v>368</v>
      </c>
      <c r="B136" s="8" t="s">
        <v>183</v>
      </c>
      <c r="C136" s="290"/>
      <c r="D136" s="290"/>
      <c r="E136" s="260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369</v>
      </c>
      <c r="B137" s="8" t="s">
        <v>183</v>
      </c>
      <c r="C137" s="306"/>
      <c r="D137" s="306"/>
      <c r="E137" s="38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184</v>
      </c>
      <c r="C139" s="248">
        <f>C134-C136-C137-C138</f>
        <v>130794</v>
      </c>
      <c r="D139" s="248">
        <f>D134-D136-D137-D138</f>
        <v>0</v>
      </c>
      <c r="E139" s="248">
        <f>E134-E136-E137-E138</f>
        <v>130794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182</v>
      </c>
      <c r="C142" s="294">
        <v>17161</v>
      </c>
      <c r="D142" s="294"/>
      <c r="E142" s="248">
        <f>C142-D142</f>
        <v>17161</v>
      </c>
      <c r="F142" s="8"/>
      <c r="G142" s="45" t="s">
        <v>437</v>
      </c>
      <c r="H142" s="45"/>
      <c r="I142" s="45"/>
      <c r="J142" s="45"/>
      <c r="K142" s="45"/>
    </row>
    <row r="143" spans="1:11" ht="12.75">
      <c r="A143" s="46" t="s">
        <v>317</v>
      </c>
      <c r="B143" s="8" t="s">
        <v>182</v>
      </c>
      <c r="C143" s="294">
        <v>0</v>
      </c>
      <c r="D143" s="294"/>
      <c r="E143" s="288">
        <f>C143-D143</f>
        <v>0</v>
      </c>
      <c r="F143" s="8"/>
      <c r="G143" s="45" t="s">
        <v>437</v>
      </c>
      <c r="H143" s="45"/>
      <c r="I143" s="45"/>
      <c r="J143" s="45"/>
      <c r="K143" s="45"/>
    </row>
    <row r="144" spans="1:11" ht="12.75">
      <c r="A144" s="46" t="s">
        <v>169</v>
      </c>
      <c r="B144" s="8" t="s">
        <v>184</v>
      </c>
      <c r="C144" s="248">
        <f>C142+C143</f>
        <v>17161</v>
      </c>
      <c r="D144" s="248">
        <f>D142+D143</f>
        <v>0</v>
      </c>
      <c r="E144" s="248">
        <f>E142+E143</f>
        <v>17161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183</v>
      </c>
      <c r="C145" s="294"/>
      <c r="D145" s="294"/>
      <c r="E145" s="289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5" t="s">
        <v>97</v>
      </c>
      <c r="B146" s="8" t="s">
        <v>184</v>
      </c>
      <c r="C146" s="248">
        <f>C144-C145</f>
        <v>17161</v>
      </c>
      <c r="D146" s="248">
        <f>D144-D145</f>
        <v>0</v>
      </c>
      <c r="E146" s="248">
        <f>E144-E145</f>
        <v>17161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300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93">
        <f>C142/C139</f>
        <v>0.13120632444913374</v>
      </c>
      <c r="D149" s="5"/>
      <c r="E149" s="394">
        <f>C149</f>
        <v>0.13120632444913374</v>
      </c>
      <c r="F149" s="8"/>
      <c r="G149" s="45" t="s">
        <v>421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93">
        <f>C143/C139</f>
        <v>0</v>
      </c>
      <c r="D150" s="5"/>
      <c r="E150" s="394">
        <f>C150</f>
        <v>0</v>
      </c>
      <c r="F150" s="8"/>
      <c r="G150" s="45" t="s">
        <v>422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4">
        <f>SUM(C149:C150)</f>
        <v>0.13120632444913374</v>
      </c>
      <c r="D151" s="446" t="s">
        <v>432</v>
      </c>
      <c r="E151" s="394">
        <f>SUM(E149:E150)</f>
        <v>0.13120632444913374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430</v>
      </c>
      <c r="B155" s="8"/>
    </row>
    <row r="156" spans="1:5" ht="12.75">
      <c r="A156" t="s">
        <v>213</v>
      </c>
      <c r="B156" s="82" t="s">
        <v>182</v>
      </c>
      <c r="C156" s="247">
        <f>C146</f>
        <v>17161</v>
      </c>
      <c r="D156" s="247">
        <f>D146</f>
        <v>0</v>
      </c>
      <c r="E156" s="247">
        <f>E146</f>
        <v>17161</v>
      </c>
    </row>
    <row r="157" spans="1:5" ht="12.75">
      <c r="A157" t="s">
        <v>20</v>
      </c>
      <c r="B157" s="82" t="s">
        <v>182</v>
      </c>
      <c r="C157" s="458">
        <v>3796</v>
      </c>
      <c r="D157" s="247"/>
      <c r="E157" s="247">
        <f>C157+D157</f>
        <v>3796</v>
      </c>
    </row>
    <row r="158" spans="1:5" ht="12.75">
      <c r="A158" t="s">
        <v>212</v>
      </c>
      <c r="B158" s="82" t="s">
        <v>182</v>
      </c>
      <c r="C158" s="443"/>
      <c r="D158" s="247"/>
      <c r="E158" s="247">
        <f>C158+D158</f>
        <v>0</v>
      </c>
    </row>
    <row r="159" ht="12.75">
      <c r="B159" s="8"/>
    </row>
    <row r="160" spans="1:5" ht="12.75">
      <c r="A160" s="2" t="s">
        <v>297</v>
      </c>
      <c r="B160" s="63" t="s">
        <v>184</v>
      </c>
      <c r="C160" s="247">
        <f>C156+C157+C158</f>
        <v>20957</v>
      </c>
      <c r="D160" s="247">
        <f>D156+D157+D158</f>
        <v>0</v>
      </c>
      <c r="E160" s="247">
        <f>E156+E157+E158</f>
        <v>20957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90" zoomScaleNormal="90" zoomScalePageLayoutView="0" workbookViewId="0" topLeftCell="A40">
      <selection activeCell="C70" sqref="C7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Rideau St. Lawrence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267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275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276</v>
      </c>
      <c r="B15" s="58"/>
      <c r="C15" s="290"/>
      <c r="D15" s="290"/>
      <c r="E15" s="247">
        <f t="shared" si="0"/>
        <v>0</v>
      </c>
    </row>
    <row r="16" spans="1:5" ht="12.75">
      <c r="A16" s="58" t="s">
        <v>277</v>
      </c>
      <c r="B16" s="58"/>
      <c r="C16" s="290"/>
      <c r="D16" s="290"/>
      <c r="E16" s="247">
        <f t="shared" si="0"/>
        <v>0</v>
      </c>
    </row>
    <row r="17" spans="1:5" ht="12.75">
      <c r="A17" s="58" t="s">
        <v>278</v>
      </c>
      <c r="B17" s="58"/>
      <c r="C17" s="290"/>
      <c r="D17" s="290"/>
      <c r="E17" s="247">
        <f t="shared" si="0"/>
        <v>0</v>
      </c>
    </row>
    <row r="18" spans="1:5" ht="12.75">
      <c r="A18" s="58" t="s">
        <v>403</v>
      </c>
      <c r="B18" s="58"/>
      <c r="C18" s="290"/>
      <c r="D18" s="290"/>
      <c r="E18" s="247">
        <f t="shared" si="0"/>
        <v>0</v>
      </c>
    </row>
    <row r="19" spans="1:5" ht="12.75">
      <c r="A19" s="58" t="s">
        <v>403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266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275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276</v>
      </c>
      <c r="B27" s="58"/>
      <c r="C27" s="290"/>
      <c r="D27" s="290"/>
      <c r="E27" s="247">
        <f t="shared" si="1"/>
        <v>0</v>
      </c>
    </row>
    <row r="28" spans="1:5" ht="12.75">
      <c r="A28" s="58" t="s">
        <v>277</v>
      </c>
      <c r="B28" s="58"/>
      <c r="C28" s="290"/>
      <c r="D28" s="290"/>
      <c r="E28" s="247">
        <f t="shared" si="1"/>
        <v>0</v>
      </c>
    </row>
    <row r="29" spans="1:5" ht="12.75">
      <c r="A29" s="58" t="s">
        <v>278</v>
      </c>
      <c r="B29" s="58"/>
      <c r="C29" s="290"/>
      <c r="D29" s="290"/>
      <c r="E29" s="247">
        <f t="shared" si="1"/>
        <v>0</v>
      </c>
    </row>
    <row r="30" spans="1:5" ht="12.75">
      <c r="A30" s="58" t="s">
        <v>403</v>
      </c>
      <c r="B30" s="58"/>
      <c r="C30" s="290"/>
      <c r="D30" s="290"/>
      <c r="E30" s="247">
        <f t="shared" si="1"/>
        <v>0</v>
      </c>
    </row>
    <row r="31" spans="1:5" ht="12.75">
      <c r="A31" s="58" t="s">
        <v>403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128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267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261</v>
      </c>
      <c r="B43" s="58"/>
      <c r="C43" s="290"/>
      <c r="D43" s="290"/>
      <c r="E43" s="247">
        <f t="shared" si="2"/>
        <v>0</v>
      </c>
    </row>
    <row r="44" spans="1:5" ht="12.75">
      <c r="A44" s="58" t="s">
        <v>262</v>
      </c>
      <c r="B44" s="58"/>
      <c r="C44" s="290"/>
      <c r="D44" s="290"/>
      <c r="E44" s="247">
        <f t="shared" si="2"/>
        <v>0</v>
      </c>
    </row>
    <row r="45" spans="1:5" ht="12.75">
      <c r="A45" s="58" t="s">
        <v>263</v>
      </c>
      <c r="B45" s="58"/>
      <c r="C45" s="290"/>
      <c r="D45" s="290"/>
      <c r="E45" s="247">
        <f t="shared" si="2"/>
        <v>0</v>
      </c>
    </row>
    <row r="46" spans="1:5" ht="12.75">
      <c r="A46" s="58" t="s">
        <v>264</v>
      </c>
      <c r="B46" s="58"/>
      <c r="C46" s="290"/>
      <c r="D46" s="290"/>
      <c r="E46" s="247">
        <f t="shared" si="2"/>
        <v>0</v>
      </c>
    </row>
    <row r="47" spans="1:5" ht="12.75">
      <c r="A47" s="58" t="s">
        <v>403</v>
      </c>
      <c r="B47" s="58"/>
      <c r="C47" s="290"/>
      <c r="D47" s="290"/>
      <c r="E47" s="247">
        <f t="shared" si="2"/>
        <v>0</v>
      </c>
    </row>
    <row r="48" spans="1:5" ht="12.75">
      <c r="A48" s="58" t="s">
        <v>403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266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261</v>
      </c>
      <c r="B55" s="58"/>
      <c r="C55" s="290"/>
      <c r="D55" s="290"/>
      <c r="E55" s="247">
        <f t="shared" si="3"/>
        <v>0</v>
      </c>
    </row>
    <row r="56" spans="1:5" ht="12.75">
      <c r="A56" s="242" t="s">
        <v>262</v>
      </c>
      <c r="B56" s="58"/>
      <c r="C56" s="290"/>
      <c r="D56" s="290"/>
      <c r="E56" s="247">
        <f t="shared" si="3"/>
        <v>0</v>
      </c>
    </row>
    <row r="57" spans="1:5" ht="12.75">
      <c r="A57" s="242" t="s">
        <v>263</v>
      </c>
      <c r="B57" s="58"/>
      <c r="C57" s="290"/>
      <c r="D57" s="290"/>
      <c r="E57" s="247">
        <f t="shared" si="3"/>
        <v>0</v>
      </c>
    </row>
    <row r="58" spans="1:5" ht="12.75">
      <c r="A58" s="242" t="s">
        <v>264</v>
      </c>
      <c r="B58" s="58"/>
      <c r="C58" s="290"/>
      <c r="D58" s="290"/>
      <c r="E58" s="247">
        <f t="shared" si="3"/>
        <v>0</v>
      </c>
    </row>
    <row r="59" spans="1:5" ht="12.75">
      <c r="A59" s="58" t="s">
        <v>403</v>
      </c>
      <c r="B59" s="58"/>
      <c r="C59" s="290"/>
      <c r="D59" s="290"/>
      <c r="E59" s="247">
        <f t="shared" si="3"/>
        <v>0</v>
      </c>
    </row>
    <row r="60" spans="1:5" ht="12.75">
      <c r="A60" s="58" t="s">
        <v>403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128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10" sqref="C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4" t="s">
        <v>418</v>
      </c>
      <c r="B5" s="8"/>
      <c r="C5" s="8" t="s">
        <v>2</v>
      </c>
      <c r="D5" s="8"/>
      <c r="E5" s="8"/>
      <c r="F5" s="8"/>
    </row>
    <row r="6" spans="1:6" ht="12.75">
      <c r="A6" s="404" t="s">
        <v>400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Rideau St. Lawrence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267">
        <f>TAXREC!C11</f>
        <v>366</v>
      </c>
      <c r="D10" s="57"/>
      <c r="E10" s="25"/>
      <c r="F10" s="20"/>
    </row>
    <row r="11" spans="1:6" ht="12.75">
      <c r="A11" s="2" t="s">
        <v>115</v>
      </c>
      <c r="B11" s="20"/>
      <c r="C11" s="26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182</v>
      </c>
      <c r="C17" s="291"/>
      <c r="D17" s="291"/>
      <c r="E17" s="308">
        <f>C17-D17</f>
        <v>0</v>
      </c>
    </row>
    <row r="18" spans="1:5" ht="12.75">
      <c r="A18" s="64" t="s">
        <v>247</v>
      </c>
      <c r="B18" t="s">
        <v>182</v>
      </c>
      <c r="C18" s="291"/>
      <c r="D18" s="291"/>
      <c r="E18" s="308">
        <f aca="true" t="shared" si="0" ref="E18:E44">C18-D18</f>
        <v>0</v>
      </c>
    </row>
    <row r="19" spans="1:5" ht="12.75">
      <c r="A19" s="64" t="s">
        <v>131</v>
      </c>
      <c r="B19" t="s">
        <v>182</v>
      </c>
      <c r="C19" s="291"/>
      <c r="D19" s="291"/>
      <c r="E19" s="308">
        <f t="shared" si="0"/>
        <v>0</v>
      </c>
    </row>
    <row r="20" spans="1:5" ht="12.75">
      <c r="A20" s="64" t="s">
        <v>404</v>
      </c>
      <c r="B20" t="s">
        <v>182</v>
      </c>
      <c r="C20" s="291"/>
      <c r="D20" s="309"/>
      <c r="E20" s="308">
        <f t="shared" si="0"/>
        <v>0</v>
      </c>
    </row>
    <row r="21" spans="1:5" ht="12.75">
      <c r="A21" s="64" t="s">
        <v>8</v>
      </c>
      <c r="B21" t="s">
        <v>182</v>
      </c>
      <c r="C21" s="291"/>
      <c r="D21" s="291"/>
      <c r="E21" s="308">
        <f t="shared" si="0"/>
        <v>0</v>
      </c>
    </row>
    <row r="22" spans="1:5" ht="12.75">
      <c r="A22" s="64"/>
      <c r="B22" t="s">
        <v>182</v>
      </c>
      <c r="C22" s="291"/>
      <c r="D22" s="291"/>
      <c r="E22" s="308">
        <f t="shared" si="0"/>
        <v>0</v>
      </c>
    </row>
    <row r="23" spans="1:5" ht="12.75">
      <c r="A23" s="64" t="s">
        <v>133</v>
      </c>
      <c r="B23" t="s">
        <v>182</v>
      </c>
      <c r="C23" s="291"/>
      <c r="D23" s="291"/>
      <c r="E23" s="308">
        <f t="shared" si="0"/>
        <v>0</v>
      </c>
    </row>
    <row r="24" spans="1:5" ht="12.75">
      <c r="A24" s="64" t="s">
        <v>134</v>
      </c>
      <c r="B24" t="s">
        <v>182</v>
      </c>
      <c r="C24" s="291"/>
      <c r="D24" s="291"/>
      <c r="E24" s="308">
        <f t="shared" si="0"/>
        <v>0</v>
      </c>
    </row>
    <row r="25" spans="1:5" ht="12.75">
      <c r="A25" s="64" t="s">
        <v>9</v>
      </c>
      <c r="B25" t="s">
        <v>182</v>
      </c>
      <c r="C25" s="291"/>
      <c r="D25" s="291"/>
      <c r="E25" s="308">
        <f t="shared" si="0"/>
        <v>0</v>
      </c>
    </row>
    <row r="26" spans="1:5" ht="12.75">
      <c r="A26" s="64" t="s">
        <v>185</v>
      </c>
      <c r="B26" t="s">
        <v>182</v>
      </c>
      <c r="C26" s="291"/>
      <c r="D26" s="291"/>
      <c r="E26" s="308">
        <f t="shared" si="0"/>
        <v>0</v>
      </c>
    </row>
    <row r="27" spans="1:5" ht="12.75">
      <c r="A27" s="64" t="s">
        <v>7</v>
      </c>
      <c r="B27" t="s">
        <v>182</v>
      </c>
      <c r="C27" s="291"/>
      <c r="D27" s="291"/>
      <c r="E27" s="308">
        <f t="shared" si="0"/>
        <v>0</v>
      </c>
    </row>
    <row r="28" spans="1:5" ht="12.75">
      <c r="A28" s="64" t="s">
        <v>120</v>
      </c>
      <c r="B28" t="s">
        <v>182</v>
      </c>
      <c r="C28" s="291"/>
      <c r="D28" s="291"/>
      <c r="E28" s="308">
        <f t="shared" si="0"/>
        <v>0</v>
      </c>
    </row>
    <row r="29" spans="1:5" ht="12.75">
      <c r="A29" s="64" t="s">
        <v>135</v>
      </c>
      <c r="B29" t="s">
        <v>182</v>
      </c>
      <c r="C29" s="291"/>
      <c r="D29" s="291"/>
      <c r="E29" s="308">
        <f t="shared" si="0"/>
        <v>0</v>
      </c>
    </row>
    <row r="30" spans="1:5" ht="12.75">
      <c r="A30" s="64" t="s">
        <v>136</v>
      </c>
      <c r="B30" t="s">
        <v>182</v>
      </c>
      <c r="C30" s="291"/>
      <c r="D30" s="291"/>
      <c r="E30" s="308">
        <f t="shared" si="0"/>
        <v>0</v>
      </c>
    </row>
    <row r="31" spans="1:5" ht="12.75">
      <c r="A31" s="64" t="s">
        <v>248</v>
      </c>
      <c r="B31" t="s">
        <v>182</v>
      </c>
      <c r="C31" s="291"/>
      <c r="D31" s="291"/>
      <c r="E31" s="308">
        <f t="shared" si="0"/>
        <v>0</v>
      </c>
    </row>
    <row r="32" spans="1:5" ht="12.75">
      <c r="A32" s="64" t="s">
        <v>137</v>
      </c>
      <c r="B32" t="s">
        <v>182</v>
      </c>
      <c r="C32" s="291"/>
      <c r="D32" s="291"/>
      <c r="E32" s="308">
        <f t="shared" si="0"/>
        <v>0</v>
      </c>
    </row>
    <row r="33" spans="1:5" ht="12.75">
      <c r="A33" s="64" t="s">
        <v>138</v>
      </c>
      <c r="B33" t="s">
        <v>182</v>
      </c>
      <c r="C33" s="291"/>
      <c r="D33" s="291"/>
      <c r="E33" s="308">
        <f t="shared" si="0"/>
        <v>0</v>
      </c>
    </row>
    <row r="34" spans="1:5" ht="12.75">
      <c r="A34" s="64" t="s">
        <v>139</v>
      </c>
      <c r="B34" t="s">
        <v>182</v>
      </c>
      <c r="C34" s="291"/>
      <c r="D34" s="291"/>
      <c r="E34" s="308">
        <f t="shared" si="0"/>
        <v>0</v>
      </c>
    </row>
    <row r="35" spans="1:5" ht="12.75">
      <c r="A35" s="64" t="s">
        <v>187</v>
      </c>
      <c r="B35" t="s">
        <v>182</v>
      </c>
      <c r="C35" s="291"/>
      <c r="D35" s="291"/>
      <c r="E35" s="308">
        <f t="shared" si="0"/>
        <v>0</v>
      </c>
    </row>
    <row r="36" spans="1:5" ht="12.75">
      <c r="A36" s="64" t="s">
        <v>428</v>
      </c>
      <c r="B36" t="s">
        <v>182</v>
      </c>
      <c r="C36" s="291"/>
      <c r="D36" s="291"/>
      <c r="E36" s="308">
        <f t="shared" si="0"/>
        <v>0</v>
      </c>
    </row>
    <row r="37" spans="1:5" ht="12.75">
      <c r="A37" s="64"/>
      <c r="B37" t="s">
        <v>182</v>
      </c>
      <c r="C37" s="291"/>
      <c r="D37" s="291"/>
      <c r="E37" s="308">
        <f t="shared" si="0"/>
        <v>0</v>
      </c>
    </row>
    <row r="38" spans="2:5" ht="12.75">
      <c r="B38" t="s">
        <v>182</v>
      </c>
      <c r="C38" s="291"/>
      <c r="D38" s="291"/>
      <c r="E38" s="247">
        <f t="shared" si="0"/>
        <v>0</v>
      </c>
    </row>
    <row r="39" spans="2:5" ht="12.75">
      <c r="B39" t="s">
        <v>182</v>
      </c>
      <c r="C39" s="290"/>
      <c r="D39" s="291"/>
      <c r="E39" s="247">
        <f t="shared" si="0"/>
        <v>0</v>
      </c>
    </row>
    <row r="40" spans="1:5" ht="12.75">
      <c r="A40" s="65" t="s">
        <v>198</v>
      </c>
      <c r="B40" t="s">
        <v>182</v>
      </c>
      <c r="C40" s="290"/>
      <c r="D40" s="290"/>
      <c r="E40" s="247">
        <f t="shared" si="0"/>
        <v>0</v>
      </c>
    </row>
    <row r="41" spans="1:5" ht="12.75">
      <c r="A41" s="456" t="s">
        <v>443</v>
      </c>
      <c r="B41" t="s">
        <v>182</v>
      </c>
      <c r="C41" s="290"/>
      <c r="D41" s="290"/>
      <c r="E41" s="247">
        <f t="shared" si="0"/>
        <v>0</v>
      </c>
    </row>
    <row r="42" spans="1:5" ht="12.75">
      <c r="A42" s="64"/>
      <c r="B42" t="s">
        <v>182</v>
      </c>
      <c r="C42" s="290"/>
      <c r="D42" s="290"/>
      <c r="E42" s="247">
        <f t="shared" si="0"/>
        <v>0</v>
      </c>
    </row>
    <row r="43" spans="1:5" ht="12.75">
      <c r="A43" s="64"/>
      <c r="B43" t="s">
        <v>182</v>
      </c>
      <c r="C43" s="290"/>
      <c r="D43" s="290"/>
      <c r="E43" s="247">
        <f t="shared" si="0"/>
        <v>0</v>
      </c>
    </row>
    <row r="44" spans="1:5" ht="12.75">
      <c r="A44" s="64"/>
      <c r="B44" t="s">
        <v>182</v>
      </c>
      <c r="C44" s="290"/>
      <c r="D44" s="290"/>
      <c r="E44" s="247">
        <f t="shared" si="0"/>
        <v>0</v>
      </c>
    </row>
    <row r="45" spans="1:5" ht="12.75">
      <c r="A45" s="64"/>
      <c r="B45" t="s">
        <v>182</v>
      </c>
      <c r="C45" s="290"/>
      <c r="D45" s="290"/>
      <c r="E45" s="275"/>
    </row>
    <row r="46" spans="1:5" ht="12.75">
      <c r="A46" s="67" t="s">
        <v>166</v>
      </c>
      <c r="B46" t="s">
        <v>184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140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197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166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183</v>
      </c>
      <c r="C82" s="290"/>
      <c r="D82" s="290"/>
      <c r="E82" s="247">
        <f>C82-D82</f>
        <v>0</v>
      </c>
    </row>
    <row r="83" spans="1:5" ht="12.75">
      <c r="A83" s="68" t="s">
        <v>148</v>
      </c>
      <c r="B83" s="8" t="s">
        <v>183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143</v>
      </c>
      <c r="B84" s="8" t="s">
        <v>183</v>
      </c>
      <c r="C84" s="290"/>
      <c r="D84" s="290"/>
      <c r="E84" s="247">
        <f t="shared" si="5"/>
        <v>0</v>
      </c>
    </row>
    <row r="85" spans="1:5" ht="12.75">
      <c r="A85" s="68" t="s">
        <v>249</v>
      </c>
      <c r="B85" s="8" t="s">
        <v>183</v>
      </c>
      <c r="C85" s="290"/>
      <c r="D85" s="290"/>
      <c r="E85" s="247">
        <f t="shared" si="5"/>
        <v>0</v>
      </c>
    </row>
    <row r="86" spans="1:5" ht="12.75">
      <c r="A86" s="64" t="s">
        <v>188</v>
      </c>
      <c r="B86" s="8" t="s">
        <v>183</v>
      </c>
      <c r="C86" s="290"/>
      <c r="D86" s="290"/>
      <c r="E86" s="247">
        <f t="shared" si="5"/>
        <v>0</v>
      </c>
    </row>
    <row r="87" spans="1:5" ht="12.75">
      <c r="A87" s="64" t="s">
        <v>370</v>
      </c>
      <c r="B87" s="8" t="s">
        <v>183</v>
      </c>
      <c r="C87" s="290"/>
      <c r="D87" s="290"/>
      <c r="E87" s="247">
        <f t="shared" si="5"/>
        <v>0</v>
      </c>
    </row>
    <row r="88" spans="1:5" ht="12.75">
      <c r="A88" s="64" t="s">
        <v>189</v>
      </c>
      <c r="B88" s="8" t="s">
        <v>183</v>
      </c>
      <c r="C88" s="290"/>
      <c r="D88" s="290"/>
      <c r="E88" s="247">
        <f t="shared" si="5"/>
        <v>0</v>
      </c>
    </row>
    <row r="89" spans="1:5" ht="12.75">
      <c r="A89" s="64" t="s">
        <v>163</v>
      </c>
      <c r="B89" s="8" t="s">
        <v>183</v>
      </c>
      <c r="C89" s="290"/>
      <c r="D89" s="290"/>
      <c r="E89" s="247">
        <f t="shared" si="5"/>
        <v>0</v>
      </c>
    </row>
    <row r="90" spans="1:5" ht="12.75">
      <c r="A90" s="64" t="s">
        <v>164</v>
      </c>
      <c r="B90" s="8" t="s">
        <v>183</v>
      </c>
      <c r="C90" s="290"/>
      <c r="D90" s="290"/>
      <c r="E90" s="247">
        <f t="shared" si="5"/>
        <v>0</v>
      </c>
    </row>
    <row r="91" spans="1:5" ht="12.75">
      <c r="A91" s="64" t="s">
        <v>165</v>
      </c>
      <c r="B91" s="8" t="s">
        <v>183</v>
      </c>
      <c r="C91" s="290"/>
      <c r="D91" s="290"/>
      <c r="E91" s="247">
        <f t="shared" si="5"/>
        <v>0</v>
      </c>
    </row>
    <row r="92" spans="2:5" ht="12.75">
      <c r="B92" s="8" t="s">
        <v>183</v>
      </c>
      <c r="C92" s="290"/>
      <c r="D92" s="290"/>
      <c r="E92" s="247"/>
    </row>
    <row r="93" spans="1:5" ht="12.75">
      <c r="A93" s="64"/>
      <c r="B93" s="8" t="s">
        <v>183</v>
      </c>
      <c r="C93" s="290"/>
      <c r="D93" s="290"/>
      <c r="E93" s="247">
        <f t="shared" si="5"/>
        <v>0</v>
      </c>
    </row>
    <row r="94" spans="1:5" ht="12.75">
      <c r="A94" s="64"/>
      <c r="B94" s="8" t="s">
        <v>183</v>
      </c>
      <c r="C94" s="290"/>
      <c r="D94" s="290"/>
      <c r="E94" s="247">
        <f t="shared" si="5"/>
        <v>0</v>
      </c>
    </row>
    <row r="95" spans="1:5" ht="12.75">
      <c r="A95" s="65" t="s">
        <v>199</v>
      </c>
      <c r="B95" s="8" t="s">
        <v>183</v>
      </c>
      <c r="C95" s="290"/>
      <c r="D95" s="290"/>
      <c r="E95" s="247">
        <f t="shared" si="5"/>
        <v>0</v>
      </c>
    </row>
    <row r="96" spans="1:5" ht="12.75">
      <c r="A96" s="456" t="s">
        <v>442</v>
      </c>
      <c r="B96" s="8" t="s">
        <v>183</v>
      </c>
      <c r="C96" s="290"/>
      <c r="D96" s="290"/>
      <c r="E96" s="247">
        <f t="shared" si="5"/>
        <v>0</v>
      </c>
    </row>
    <row r="97" spans="1:5" ht="12.75">
      <c r="A97" s="64"/>
      <c r="B97" s="8" t="s">
        <v>183</v>
      </c>
      <c r="C97" s="290"/>
      <c r="D97" s="290"/>
      <c r="E97" s="247">
        <f t="shared" si="5"/>
        <v>0</v>
      </c>
    </row>
    <row r="98" spans="1:5" ht="12.75">
      <c r="A98" s="64"/>
      <c r="B98" s="8" t="s">
        <v>183</v>
      </c>
      <c r="C98" s="290"/>
      <c r="D98" s="290"/>
      <c r="E98" s="247">
        <f t="shared" si="5"/>
        <v>0</v>
      </c>
    </row>
    <row r="99" spans="1:5" ht="12.75">
      <c r="A99" s="64" t="s">
        <v>167</v>
      </c>
      <c r="B99" s="8" t="s">
        <v>184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196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195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80" zoomScaleNormal="80" zoomScalePageLayoutView="0" workbookViewId="0" topLeftCell="A1">
      <pane xSplit="1" ySplit="8" topLeftCell="B3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7" sqref="C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374</v>
      </c>
      <c r="E3" s="88"/>
    </row>
    <row r="4" spans="1:6" ht="15.75">
      <c r="A4" s="426" t="s">
        <v>400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28" t="s">
        <v>375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Rideau St. Lawrence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267">
        <f>TAXREC!C11</f>
        <v>366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182</v>
      </c>
      <c r="C19" s="291"/>
      <c r="D19" s="291"/>
      <c r="E19" s="308">
        <f aca="true" t="shared" si="0" ref="E19:E46">C19-D19</f>
        <v>0</v>
      </c>
    </row>
    <row r="20" spans="1:5" ht="12.75">
      <c r="A20" t="s">
        <v>377</v>
      </c>
      <c r="B20" t="s">
        <v>182</v>
      </c>
      <c r="C20" s="291"/>
      <c r="D20" s="291"/>
      <c r="E20" s="308">
        <f t="shared" si="0"/>
        <v>0</v>
      </c>
    </row>
    <row r="21" spans="1:5" ht="12.75">
      <c r="A21" t="s">
        <v>408</v>
      </c>
      <c r="B21" t="s">
        <v>182</v>
      </c>
      <c r="C21" s="291"/>
      <c r="D21" s="291"/>
      <c r="E21" s="308">
        <f t="shared" si="0"/>
        <v>0</v>
      </c>
    </row>
    <row r="22" spans="1:5" ht="12.75">
      <c r="A22" s="64" t="s">
        <v>380</v>
      </c>
      <c r="B22" t="s">
        <v>182</v>
      </c>
      <c r="C22" s="291"/>
      <c r="D22" s="309"/>
      <c r="E22" s="308">
        <f t="shared" si="0"/>
        <v>0</v>
      </c>
    </row>
    <row r="23" spans="1:5" ht="12.75">
      <c r="A23" s="64" t="s">
        <v>381</v>
      </c>
      <c r="B23" t="s">
        <v>182</v>
      </c>
      <c r="C23" s="291"/>
      <c r="D23" s="291"/>
      <c r="E23" s="308">
        <f t="shared" si="0"/>
        <v>0</v>
      </c>
    </row>
    <row r="24" spans="1:5" ht="12.75">
      <c r="A24" s="64" t="s">
        <v>409</v>
      </c>
      <c r="B24" t="s">
        <v>182</v>
      </c>
      <c r="C24" s="291"/>
      <c r="D24" s="291"/>
      <c r="E24" s="308">
        <f t="shared" si="0"/>
        <v>0</v>
      </c>
    </row>
    <row r="25" spans="1:5" ht="12.75">
      <c r="A25" s="64" t="s">
        <v>121</v>
      </c>
      <c r="B25" t="s">
        <v>182</v>
      </c>
      <c r="C25" s="291"/>
      <c r="D25" s="291"/>
      <c r="E25" s="308">
        <f t="shared" si="0"/>
        <v>0</v>
      </c>
    </row>
    <row r="26" spans="1:5" ht="12.75">
      <c r="A26" s="64" t="s">
        <v>130</v>
      </c>
      <c r="B26" t="s">
        <v>182</v>
      </c>
      <c r="C26" s="291"/>
      <c r="D26" s="291"/>
      <c r="E26" s="308">
        <f t="shared" si="0"/>
        <v>0</v>
      </c>
    </row>
    <row r="27" spans="1:5" ht="12.75">
      <c r="A27" s="64" t="s">
        <v>393</v>
      </c>
      <c r="B27" t="s">
        <v>182</v>
      </c>
      <c r="C27" s="291"/>
      <c r="D27" s="291"/>
      <c r="E27" s="308">
        <f t="shared" si="0"/>
        <v>0</v>
      </c>
    </row>
    <row r="28" spans="1:5" ht="12.75">
      <c r="A28" s="64" t="s">
        <v>379</v>
      </c>
      <c r="B28" t="s">
        <v>182</v>
      </c>
      <c r="C28" s="291"/>
      <c r="D28" s="291"/>
      <c r="E28" s="308">
        <f t="shared" si="0"/>
        <v>0</v>
      </c>
    </row>
    <row r="29" spans="1:5" ht="12.75">
      <c r="A29" s="64" t="s">
        <v>132</v>
      </c>
      <c r="B29" t="s">
        <v>182</v>
      </c>
      <c r="C29" s="291"/>
      <c r="D29" s="291"/>
      <c r="E29" s="308">
        <f t="shared" si="0"/>
        <v>0</v>
      </c>
    </row>
    <row r="30" spans="1:5" ht="12.75">
      <c r="A30" s="64" t="s">
        <v>378</v>
      </c>
      <c r="B30" t="s">
        <v>182</v>
      </c>
      <c r="C30" s="291"/>
      <c r="D30" s="291"/>
      <c r="E30" s="308">
        <f t="shared" si="0"/>
        <v>0</v>
      </c>
    </row>
    <row r="31" spans="1:5" ht="12.75">
      <c r="A31" s="64" t="s">
        <v>186</v>
      </c>
      <c r="B31" t="s">
        <v>182</v>
      </c>
      <c r="C31" s="291"/>
      <c r="D31" s="291"/>
      <c r="E31" s="308">
        <f t="shared" si="0"/>
        <v>0</v>
      </c>
    </row>
    <row r="32" spans="1:5" ht="12.75">
      <c r="A32" s="64" t="s">
        <v>388</v>
      </c>
      <c r="B32" t="s">
        <v>182</v>
      </c>
      <c r="C32" s="291"/>
      <c r="D32" s="291"/>
      <c r="E32" s="308">
        <f t="shared" si="0"/>
        <v>0</v>
      </c>
    </row>
    <row r="33" spans="1:5" ht="12.75">
      <c r="A33" s="64" t="s">
        <v>389</v>
      </c>
      <c r="B33" t="s">
        <v>182</v>
      </c>
      <c r="C33" s="291"/>
      <c r="D33" s="291"/>
      <c r="E33" s="308">
        <f t="shared" si="0"/>
        <v>0</v>
      </c>
    </row>
    <row r="34" spans="1:5" ht="12.75">
      <c r="A34" s="64" t="s">
        <v>405</v>
      </c>
      <c r="B34" t="s">
        <v>182</v>
      </c>
      <c r="C34" s="291"/>
      <c r="D34" s="291"/>
      <c r="E34" s="308">
        <f t="shared" si="0"/>
        <v>0</v>
      </c>
    </row>
    <row r="35" spans="1:5" ht="12.75">
      <c r="A35" s="77" t="s">
        <v>406</v>
      </c>
      <c r="C35" s="291"/>
      <c r="D35" s="291"/>
      <c r="E35" s="308">
        <f t="shared" si="0"/>
        <v>0</v>
      </c>
    </row>
    <row r="36" spans="1:5" ht="12.75">
      <c r="A36" s="64" t="s">
        <v>390</v>
      </c>
      <c r="C36" s="291"/>
      <c r="D36" s="291"/>
      <c r="E36" s="308">
        <f t="shared" si="0"/>
        <v>0</v>
      </c>
    </row>
    <row r="37" spans="1:5" ht="12.75">
      <c r="A37" s="64" t="s">
        <v>391</v>
      </c>
      <c r="C37" s="291"/>
      <c r="D37" s="291"/>
      <c r="E37" s="308">
        <f t="shared" si="0"/>
        <v>0</v>
      </c>
    </row>
    <row r="38" spans="1:5" ht="12.75">
      <c r="A38" s="64" t="s">
        <v>412</v>
      </c>
      <c r="C38" s="291"/>
      <c r="D38" s="291"/>
      <c r="E38" s="308">
        <f t="shared" si="0"/>
        <v>0</v>
      </c>
    </row>
    <row r="39" spans="2:5" ht="12.75">
      <c r="B39" t="s">
        <v>182</v>
      </c>
      <c r="C39" s="291"/>
      <c r="D39" s="291"/>
      <c r="E39" s="308">
        <f t="shared" si="0"/>
        <v>0</v>
      </c>
    </row>
    <row r="40" spans="1:5" ht="12.75">
      <c r="A40" s="77" t="s">
        <v>382</v>
      </c>
      <c r="B40" t="s">
        <v>182</v>
      </c>
      <c r="C40" s="291"/>
      <c r="D40" s="291"/>
      <c r="E40" s="308">
        <f t="shared" si="0"/>
        <v>0</v>
      </c>
    </row>
    <row r="41" spans="1:5" ht="12.75">
      <c r="A41" s="77"/>
      <c r="B41" t="s">
        <v>182</v>
      </c>
      <c r="C41" s="291"/>
      <c r="D41" s="291"/>
      <c r="E41" s="308">
        <f t="shared" si="0"/>
        <v>0</v>
      </c>
    </row>
    <row r="42" spans="2:5" ht="12.75">
      <c r="B42" t="s">
        <v>182</v>
      </c>
      <c r="C42" s="291"/>
      <c r="D42" s="291"/>
      <c r="E42" s="308">
        <f t="shared" si="0"/>
        <v>0</v>
      </c>
    </row>
    <row r="43" spans="1:5" ht="12.75">
      <c r="A43" s="65" t="s">
        <v>198</v>
      </c>
      <c r="B43" t="s">
        <v>182</v>
      </c>
      <c r="C43" s="291"/>
      <c r="D43" s="291"/>
      <c r="E43" s="308">
        <f t="shared" si="0"/>
        <v>0</v>
      </c>
    </row>
    <row r="44" spans="1:5" ht="12.75">
      <c r="A44" s="455"/>
      <c r="B44" t="s">
        <v>182</v>
      </c>
      <c r="C44" s="290"/>
      <c r="D44" s="290"/>
      <c r="E44" s="247">
        <f t="shared" si="0"/>
        <v>0</v>
      </c>
    </row>
    <row r="45" spans="2:5" ht="12.75">
      <c r="B45" t="s">
        <v>182</v>
      </c>
      <c r="C45" s="290"/>
      <c r="D45" s="290"/>
      <c r="E45" s="247">
        <f t="shared" si="0"/>
        <v>0</v>
      </c>
    </row>
    <row r="46" spans="1:5" ht="12.75">
      <c r="A46" s="456"/>
      <c r="B46" t="s">
        <v>182</v>
      </c>
      <c r="C46" s="290"/>
      <c r="D46" s="290"/>
      <c r="E46" s="247">
        <f t="shared" si="0"/>
        <v>0</v>
      </c>
    </row>
    <row r="47" spans="1:5" ht="12.75">
      <c r="A47" s="422" t="s">
        <v>386</v>
      </c>
      <c r="B47" t="s">
        <v>184</v>
      </c>
      <c r="C47" s="247">
        <f>SUM(C19:C46)</f>
        <v>0</v>
      </c>
      <c r="D47" s="247">
        <f>SUM(D19:D46)</f>
        <v>0</v>
      </c>
      <c r="E47" s="247">
        <f>SUM(E19:E46)</f>
        <v>0</v>
      </c>
    </row>
    <row r="48" ht="12.75">
      <c r="A48" s="64"/>
    </row>
    <row r="49" ht="12.75">
      <c r="A49" s="77" t="s">
        <v>141</v>
      </c>
    </row>
    <row r="51" spans="1:5" ht="12.75">
      <c r="A51" s="68" t="s">
        <v>377</v>
      </c>
      <c r="B51" s="8" t="s">
        <v>183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408</v>
      </c>
      <c r="B52" s="8" t="s">
        <v>183</v>
      </c>
      <c r="C52" s="290"/>
      <c r="D52" s="290"/>
      <c r="E52" s="247">
        <f t="shared" si="1"/>
        <v>0</v>
      </c>
    </row>
    <row r="53" spans="1:5" ht="12.75">
      <c r="A53" t="s">
        <v>378</v>
      </c>
      <c r="B53" s="8" t="s">
        <v>183</v>
      </c>
      <c r="C53" s="290"/>
      <c r="D53" s="290"/>
      <c r="E53" s="247">
        <f t="shared" si="1"/>
        <v>0</v>
      </c>
    </row>
    <row r="54" spans="1:5" ht="12.75">
      <c r="A54" t="s">
        <v>392</v>
      </c>
      <c r="B54" s="8" t="s">
        <v>183</v>
      </c>
      <c r="C54" s="290"/>
      <c r="D54" s="290"/>
      <c r="E54" s="247">
        <f t="shared" si="1"/>
        <v>0</v>
      </c>
    </row>
    <row r="55" spans="1:5" ht="12.75">
      <c r="A55" s="64" t="s">
        <v>399</v>
      </c>
      <c r="B55" s="8" t="s">
        <v>183</v>
      </c>
      <c r="C55" s="290"/>
      <c r="D55" s="290"/>
      <c r="E55" s="247">
        <f t="shared" si="1"/>
        <v>0</v>
      </c>
    </row>
    <row r="56" spans="1:5" ht="12.75">
      <c r="A56" s="64" t="s">
        <v>411</v>
      </c>
      <c r="B56" s="8" t="s">
        <v>183</v>
      </c>
      <c r="C56" s="290">
        <v>134510</v>
      </c>
      <c r="D56" s="290"/>
      <c r="E56" s="247">
        <f t="shared" si="1"/>
        <v>134510</v>
      </c>
    </row>
    <row r="57" spans="1:5" ht="12.75">
      <c r="A57" s="2" t="s">
        <v>407</v>
      </c>
      <c r="B57" s="8" t="s">
        <v>183</v>
      </c>
      <c r="C57" s="290"/>
      <c r="D57" s="290"/>
      <c r="E57" s="247">
        <f t="shared" si="1"/>
        <v>0</v>
      </c>
    </row>
    <row r="58" spans="1:5" ht="12.75">
      <c r="A58" s="64" t="s">
        <v>410</v>
      </c>
      <c r="B58" s="8" t="s">
        <v>183</v>
      </c>
      <c r="C58" s="290"/>
      <c r="D58" s="290"/>
      <c r="E58" s="247">
        <f t="shared" si="1"/>
        <v>0</v>
      </c>
    </row>
    <row r="59" spans="1:5" ht="12.75">
      <c r="A59" s="64"/>
      <c r="B59" s="8" t="s">
        <v>183</v>
      </c>
      <c r="C59" s="290"/>
      <c r="D59" s="290"/>
      <c r="E59" s="247">
        <f t="shared" si="1"/>
        <v>0</v>
      </c>
    </row>
    <row r="60" spans="2:5" ht="12.75">
      <c r="B60" s="8" t="s">
        <v>183</v>
      </c>
      <c r="C60" s="290"/>
      <c r="D60" s="290"/>
      <c r="E60" s="247">
        <f t="shared" si="1"/>
        <v>0</v>
      </c>
    </row>
    <row r="61" spans="2:5" ht="12.75">
      <c r="B61" s="8" t="s">
        <v>183</v>
      </c>
      <c r="C61" s="290"/>
      <c r="D61" s="290"/>
      <c r="E61" s="247">
        <f t="shared" si="1"/>
        <v>0</v>
      </c>
    </row>
    <row r="62" spans="2:5" ht="12.75">
      <c r="B62" s="8" t="s">
        <v>183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183</v>
      </c>
      <c r="C63" s="290"/>
      <c r="D63" s="290"/>
      <c r="E63" s="247">
        <f t="shared" si="2"/>
        <v>0</v>
      </c>
    </row>
    <row r="64" spans="1:5" ht="12.75">
      <c r="A64" s="430" t="s">
        <v>383</v>
      </c>
      <c r="B64" s="8" t="s">
        <v>183</v>
      </c>
      <c r="C64" s="290"/>
      <c r="D64" s="290"/>
      <c r="E64" s="247">
        <f t="shared" si="2"/>
        <v>0</v>
      </c>
    </row>
    <row r="65" spans="2:5" ht="12.75">
      <c r="B65" s="8" t="s">
        <v>183</v>
      </c>
      <c r="C65" s="290"/>
      <c r="D65" s="290"/>
      <c r="E65" s="247">
        <f t="shared" si="2"/>
        <v>0</v>
      </c>
    </row>
    <row r="66" spans="1:5" ht="12.75">
      <c r="A66" s="430" t="s">
        <v>376</v>
      </c>
      <c r="B66" s="8" t="s">
        <v>183</v>
      </c>
      <c r="C66" s="290"/>
      <c r="D66" s="290"/>
      <c r="E66" s="247">
        <f t="shared" si="2"/>
        <v>0</v>
      </c>
    </row>
    <row r="67" spans="1:5" ht="12.75">
      <c r="A67" s="64"/>
      <c r="B67" s="8" t="s">
        <v>183</v>
      </c>
      <c r="C67" s="290"/>
      <c r="D67" s="290"/>
      <c r="E67" s="247">
        <f t="shared" si="2"/>
        <v>0</v>
      </c>
    </row>
    <row r="68" spans="1:5" ht="12.75">
      <c r="A68" s="65" t="s">
        <v>199</v>
      </c>
      <c r="B68" s="8" t="s">
        <v>183</v>
      </c>
      <c r="C68" s="290"/>
      <c r="D68" s="290"/>
      <c r="E68" s="247">
        <f t="shared" si="2"/>
        <v>0</v>
      </c>
    </row>
    <row r="69" spans="1:5" ht="12.75">
      <c r="A69" s="456"/>
      <c r="B69" s="8" t="s">
        <v>183</v>
      </c>
      <c r="C69" s="290"/>
      <c r="D69" s="290"/>
      <c r="E69" s="247">
        <f t="shared" si="2"/>
        <v>0</v>
      </c>
    </row>
    <row r="70" spans="1:5" ht="12.75">
      <c r="A70" s="456" t="s">
        <v>442</v>
      </c>
      <c r="B70" s="8" t="s">
        <v>183</v>
      </c>
      <c r="C70" s="290"/>
      <c r="D70" s="290"/>
      <c r="E70" s="247">
        <f t="shared" si="2"/>
        <v>0</v>
      </c>
    </row>
    <row r="71" spans="1:5" ht="12.75">
      <c r="A71" s="64"/>
      <c r="B71" s="8" t="s">
        <v>183</v>
      </c>
      <c r="C71" s="290"/>
      <c r="D71" s="290"/>
      <c r="E71" s="247">
        <f t="shared" si="2"/>
        <v>0</v>
      </c>
    </row>
    <row r="72" spans="1:5" ht="12.75">
      <c r="A72" s="64"/>
      <c r="B72" s="8" t="s">
        <v>183</v>
      </c>
      <c r="C72" s="290"/>
      <c r="D72" s="290"/>
      <c r="E72" s="275">
        <f t="shared" si="2"/>
        <v>0</v>
      </c>
    </row>
    <row r="73" spans="1:5" ht="12.75">
      <c r="A73" s="421" t="s">
        <v>385</v>
      </c>
      <c r="B73" s="8" t="s">
        <v>184</v>
      </c>
      <c r="C73" s="247">
        <f>SUM(C51:C72)</f>
        <v>134510</v>
      </c>
      <c r="D73" s="247">
        <f>SUM(D51:D72)</f>
        <v>0</v>
      </c>
      <c r="E73" s="247">
        <f>SUM(E51:E72)</f>
        <v>134510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8">
      <selection activeCell="F16" sqref="F1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2.574218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>
        <f>REGINFO!A1</f>
        <v>0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103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301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Rideau St. Lawrence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2004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399" t="s">
        <v>332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71" t="s">
        <v>433</v>
      </c>
      <c r="B8" s="472"/>
      <c r="C8" s="472"/>
      <c r="D8" s="472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108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420</v>
      </c>
      <c r="B10" s="322"/>
      <c r="C10" s="371" t="s">
        <v>107</v>
      </c>
      <c r="D10" s="371"/>
      <c r="E10" s="371" t="s">
        <v>107</v>
      </c>
      <c r="F10" s="372" t="s">
        <v>434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112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294</v>
      </c>
      <c r="B13" s="398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293</v>
      </c>
      <c r="B14" s="241"/>
      <c r="C14" s="323">
        <v>0.1312</v>
      </c>
      <c r="D14" s="323"/>
      <c r="E14" s="324">
        <v>0.2612</v>
      </c>
      <c r="F14" s="324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298</v>
      </c>
      <c r="B15" s="241"/>
      <c r="C15" s="325">
        <v>0.06</v>
      </c>
      <c r="D15" s="325"/>
      <c r="E15" s="326">
        <v>0.06</v>
      </c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254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105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106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109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327</v>
      </c>
      <c r="B21" s="395" t="s">
        <v>423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328</v>
      </c>
      <c r="B22" s="396" t="s">
        <v>424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5" t="s">
        <v>435</v>
      </c>
      <c r="B23" s="466"/>
      <c r="C23" s="466"/>
      <c r="D23" s="466"/>
      <c r="E23" s="466"/>
      <c r="F23" s="466"/>
      <c r="G23" s="416"/>
      <c r="H23" s="405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0"/>
      <c r="B24" s="401"/>
      <c r="C24" s="401"/>
      <c r="D24" s="401"/>
      <c r="E24" s="401"/>
      <c r="F24" s="401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399" t="s">
        <v>333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73" t="s">
        <v>447</v>
      </c>
      <c r="B26" s="474"/>
      <c r="C26" s="474"/>
      <c r="D26" s="474"/>
      <c r="E26" s="474"/>
      <c r="F26" s="474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108</v>
      </c>
      <c r="B27" s="321"/>
      <c r="C27" s="363">
        <v>0</v>
      </c>
      <c r="D27" s="363">
        <v>250001</v>
      </c>
      <c r="E27" s="363">
        <v>400001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395</v>
      </c>
      <c r="B28" s="322"/>
      <c r="C28" s="365" t="s">
        <v>107</v>
      </c>
      <c r="D28" s="365" t="s">
        <v>107</v>
      </c>
      <c r="E28" s="365" t="s">
        <v>107</v>
      </c>
      <c r="F28" s="366" t="s">
        <v>448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112</v>
      </c>
      <c r="C29" s="367">
        <v>250000</v>
      </c>
      <c r="D29" s="367">
        <v>400000</v>
      </c>
      <c r="E29" s="367">
        <v>1128000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111</v>
      </c>
      <c r="B31" s="398">
        <v>2004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293</v>
      </c>
      <c r="B32" s="398">
        <v>2004</v>
      </c>
      <c r="C32" s="323">
        <v>0.1312</v>
      </c>
      <c r="D32" s="323">
        <v>0.2212</v>
      </c>
      <c r="E32" s="324">
        <v>0.2212</v>
      </c>
      <c r="F32" s="324">
        <v>0.2212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29</v>
      </c>
      <c r="B33" s="398">
        <v>2004</v>
      </c>
      <c r="C33" s="325">
        <v>0.055</v>
      </c>
      <c r="D33" s="325">
        <v>0.055</v>
      </c>
      <c r="E33" s="326">
        <v>0.0975</v>
      </c>
      <c r="F33" s="326">
        <v>0.14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254</v>
      </c>
      <c r="B34" s="398">
        <v>2004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105</v>
      </c>
      <c r="B36" s="398">
        <v>2004</v>
      </c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106</v>
      </c>
      <c r="B37" s="398">
        <v>2004</v>
      </c>
      <c r="C37" s="330">
        <v>0.002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109</v>
      </c>
      <c r="B38" s="398">
        <v>2004</v>
      </c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449</v>
      </c>
      <c r="B39" s="395" t="s">
        <v>423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450</v>
      </c>
      <c r="B40" s="396" t="s">
        <v>451</v>
      </c>
      <c r="C40" s="358">
        <v>50000000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7" t="s">
        <v>330</v>
      </c>
      <c r="B41" s="466"/>
      <c r="C41" s="466"/>
      <c r="D41" s="466"/>
      <c r="E41" s="466"/>
      <c r="F41" s="466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8"/>
      <c r="B42" s="468"/>
      <c r="C42" s="468"/>
      <c r="D42" s="468"/>
      <c r="E42" s="468"/>
      <c r="F42" s="468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399" t="s">
        <v>334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7" t="s">
        <v>453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108</v>
      </c>
      <c r="B45" s="321"/>
      <c r="C45" s="363">
        <v>0</v>
      </c>
      <c r="D45" s="363">
        <v>250001</v>
      </c>
      <c r="E45" s="363">
        <v>400001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107</v>
      </c>
      <c r="D46" s="365" t="s">
        <v>452</v>
      </c>
      <c r="E46" s="365" t="s">
        <v>107</v>
      </c>
      <c r="F46" s="366" t="s">
        <v>448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112</v>
      </c>
      <c r="C47" s="367">
        <v>250000</v>
      </c>
      <c r="D47" s="367">
        <v>400000</v>
      </c>
      <c r="E47" s="367">
        <v>1128000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111</v>
      </c>
      <c r="B49" s="398">
        <v>2004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293</v>
      </c>
      <c r="B50" s="241"/>
      <c r="C50" s="347">
        <v>0.1312</v>
      </c>
      <c r="D50" s="347">
        <v>0.2212</v>
      </c>
      <c r="E50" s="348">
        <v>0.2212</v>
      </c>
      <c r="F50" s="348">
        <v>0.2212</v>
      </c>
      <c r="G50" s="190"/>
      <c r="H50" s="449">
        <v>0.2612</v>
      </c>
      <c r="I50" s="449">
        <f>+H50-F50</f>
        <v>0.03999999999999998</v>
      </c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29</v>
      </c>
      <c r="B51" s="241"/>
      <c r="C51" s="349">
        <v>0.055</v>
      </c>
      <c r="D51" s="349">
        <v>0.055</v>
      </c>
      <c r="E51" s="350">
        <v>0.0975</v>
      </c>
      <c r="F51" s="350">
        <v>0.14</v>
      </c>
      <c r="G51" s="190"/>
      <c r="H51" s="449">
        <v>0.125</v>
      </c>
      <c r="I51" s="449">
        <f>+H51-F51</f>
        <v>-0.015000000000000013</v>
      </c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254</v>
      </c>
      <c r="B52" s="241"/>
      <c r="C52" s="327">
        <f>SUM(C50:C51)</f>
        <v>0.1862</v>
      </c>
      <c r="D52" s="327">
        <f>SUM(D50:D51)</f>
        <v>0.2762</v>
      </c>
      <c r="E52" s="328">
        <f>SUM(E50:E51)</f>
        <v>0.3187</v>
      </c>
      <c r="F52" s="328">
        <f>SUM(F50:F51)</f>
        <v>0.3612</v>
      </c>
      <c r="G52" s="190"/>
      <c r="H52" s="449">
        <f>+H51+H50</f>
        <v>0.3862</v>
      </c>
      <c r="I52" s="449">
        <f>+H52-F52</f>
        <v>0.024999999999999967</v>
      </c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105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106</v>
      </c>
      <c r="B55" s="234"/>
      <c r="C55" s="352">
        <v>0.002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109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346</v>
      </c>
      <c r="B57" s="395" t="s">
        <v>423</v>
      </c>
      <c r="C57" s="357">
        <v>4668892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44.25" customHeight="1" thickBot="1">
      <c r="A58" s="320" t="s">
        <v>347</v>
      </c>
      <c r="B58" s="396" t="s">
        <v>451</v>
      </c>
      <c r="C58" s="358">
        <v>50000000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5" t="s">
        <v>348</v>
      </c>
      <c r="B59" s="469"/>
      <c r="C59" s="469"/>
      <c r="D59" s="469"/>
      <c r="E59" s="469"/>
      <c r="F59" s="469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70"/>
      <c r="B60" s="470"/>
      <c r="C60" s="470"/>
      <c r="D60" s="470"/>
      <c r="E60" s="470"/>
      <c r="F60" s="470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Allan Beckstead</cp:lastModifiedBy>
  <cp:lastPrinted>2012-01-31T16:24:46Z</cp:lastPrinted>
  <dcterms:created xsi:type="dcterms:W3CDTF">2001-11-07T16:15:53Z</dcterms:created>
  <dcterms:modified xsi:type="dcterms:W3CDTF">2012-02-09T11:27:51Z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