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firstSheet="1" activeTab="1"/>
  </bookViews>
  <sheets>
    <sheet name="Cover" sheetId="1" r:id="rId1"/>
    <sheet name="Rates" sheetId="2" r:id="rId2"/>
    <sheet name="Residential R1 Impact" sheetId="3" r:id="rId3"/>
    <sheet name="Residential R1 Impact (2)" sheetId="4" r:id="rId4"/>
    <sheet name="Residential R2 Impact" sheetId="5" r:id="rId5"/>
    <sheet name="Residential R2 Impact Interval" sheetId="6" r:id="rId6"/>
    <sheet name="Seasonal Impact" sheetId="7" r:id="rId7"/>
    <sheet name="Street Light Impact" sheetId="8" r:id="rId8"/>
    <sheet name="Summary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<sst xmlns="http://schemas.openxmlformats.org/spreadsheetml/2006/main" count="359" uniqueCount="73">
  <si>
    <t>Monthly Rates and Charges</t>
  </si>
  <si>
    <t>Residential - R1</t>
  </si>
  <si>
    <t>Smart Meter Rate Adder</t>
  </si>
  <si>
    <t>Monthly Service Charge</t>
  </si>
  <si>
    <t>Distribution Volumetric Rate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</si>
  <si>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</si>
  <si>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</si>
  <si>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</si>
  <si>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</si>
  <si>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Standard Supply Service - Administarive Charge (if applicable)</t>
  </si>
  <si>
    <t>Residential - R2</t>
  </si>
  <si>
    <t>Retail Transmission Rate - Network Service Rate - Interval Meter &gt; 1,000 kW</t>
  </si>
  <si>
    <t>Retail Transmission Rate - Line and Transformation Connection Service Rate - Interval &gt; 1,000 kW</t>
  </si>
  <si>
    <t>Seasonal</t>
  </si>
  <si>
    <t>Street Lighting</t>
  </si>
  <si>
    <t>$</t>
  </si>
  <si>
    <t>$/kWh</t>
  </si>
  <si>
    <t>$/kW</t>
  </si>
  <si>
    <t>Other</t>
  </si>
  <si>
    <t>Debt Retirement Charge</t>
  </si>
  <si>
    <t>Energy - First Tier</t>
  </si>
  <si>
    <t>Energy - Second Tier</t>
  </si>
  <si>
    <t>%</t>
  </si>
  <si>
    <t>Loss Factor</t>
  </si>
  <si>
    <t>Total Loss Factor</t>
  </si>
  <si>
    <t>Metric</t>
  </si>
  <si>
    <t>Consumption</t>
  </si>
  <si>
    <t>kWh</t>
  </si>
  <si>
    <t>kW</t>
  </si>
  <si>
    <t>RPP Tier One</t>
  </si>
  <si>
    <t>Load Factor</t>
  </si>
  <si>
    <t>Volume</t>
  </si>
  <si>
    <t>Total:    Retail Transmission</t>
  </si>
  <si>
    <t>Total Bill</t>
  </si>
  <si>
    <t>% of Total Bill</t>
  </si>
  <si>
    <t>Energy, First Tier (kWh)</t>
  </si>
  <si>
    <t>Energy, Second Tier (kWh)</t>
  </si>
  <si>
    <t>Rate</t>
  </si>
  <si>
    <t>Charge</t>
  </si>
  <si>
    <t>Sub-Total:    Energy</t>
  </si>
  <si>
    <t>Total:    Distribution</t>
  </si>
  <si>
    <t>Sub-Total:    Delivery (Distribution and Retail Transmission)</t>
  </si>
  <si>
    <t>Sub-Total:    Regulatory</t>
  </si>
  <si>
    <t>Total Bill Before Taxes</t>
  </si>
  <si>
    <t>Impacts</t>
  </si>
  <si>
    <t>Special Purpose Charge</t>
  </si>
  <si>
    <t>GST / HST</t>
  </si>
  <si>
    <t>Algoma Power Inc.</t>
  </si>
  <si>
    <t>Residential Customers with an Interval Meter</t>
  </si>
  <si>
    <t>Current Approved Rates</t>
  </si>
  <si>
    <t>Rate Rider for Deferral/Variance Account Disposition - effective until May 31, 2013</t>
  </si>
  <si>
    <t>Rate Rider for Deferral/Variance Account Disposition - effective until November 30, 2015</t>
  </si>
  <si>
    <t>2012 Distribution Rate Impact Module</t>
  </si>
  <si>
    <t>Proposed January 1, 2012</t>
  </si>
  <si>
    <t>Rate Rider for Tax Changes - effective until December 31, 2012</t>
  </si>
  <si>
    <t>Customer Class</t>
  </si>
  <si>
    <t>Usage Profile</t>
  </si>
  <si>
    <t>Delivery Charges</t>
  </si>
  <si>
    <t>Current</t>
  </si>
  <si>
    <t>Proposed</t>
  </si>
  <si>
    <t>% Chg.</t>
  </si>
  <si>
    <t>Residential R1</t>
  </si>
  <si>
    <t>Residential R2</t>
  </si>
  <si>
    <t>2012 IR</t>
  </si>
  <si>
    <t>Electricty Distribution Rate Proposal</t>
  </si>
  <si>
    <t>EB-2011-0152</t>
  </si>
  <si>
    <t>OCEB Credit</t>
  </si>
  <si>
    <t>Balance after OCEB Credit has been applied</t>
  </si>
  <si>
    <t>Draft Rate Order</t>
  </si>
  <si>
    <t>Rate Rider for Foregone Revenue Recovery - effective until December 31, 2012</t>
  </si>
  <si>
    <t>Rate Impacts Summary Arising from the Draft Rate Order</t>
  </si>
  <si>
    <t>Revised with Motion to Vary</t>
  </si>
  <si>
    <t>February 15, 2012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</si>
</sst>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0_);_(* \(#,##0.0000\);_(* &quot;-&quot;??_);_(@_)"/>
    <numFmt numFmtId="173" formatCode="0.0%"/>
    <numFmt numFmtId="174" formatCode="0.0000"/>
    <numFmt numFmtId="175" formatCode="_(* #,##0_);_(* \(#,##0\);_(* &quot;-&quot;??_);_(@_)"/>
    <numFmt numFmtId="176" formatCode="0.0"/>
    <numFmt numFmtId="177" formatCode="_(* #,##0.0000000_);_(* \(#,##0.0000000\);_(* &quot;-&quot;??_);_(@_)"/>
  </numFmts>
  <fonts count="41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1" fontId="0" fillId="0" borderId="0" xfId="42" applyFont="1" applyAlignment="1">
      <alignment/>
    </xf>
    <xf numFmtId="172" fontId="0" fillId="0" borderId="0" xfId="42" applyNumberFormat="1" applyFont="1" applyAlignment="1">
      <alignment/>
    </xf>
    <xf numFmtId="173" fontId="0" fillId="0" borderId="0" xfId="57" applyNumberFormat="1" applyFon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71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1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171" fontId="5" fillId="0" borderId="20" xfId="0" applyNumberFormat="1" applyFont="1" applyBorder="1" applyAlignment="1">
      <alignment/>
    </xf>
    <xf numFmtId="171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171" fontId="5" fillId="0" borderId="23" xfId="0" applyNumberFormat="1" applyFont="1" applyBorder="1" applyAlignment="1">
      <alignment/>
    </xf>
    <xf numFmtId="171" fontId="5" fillId="0" borderId="24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175" fontId="5" fillId="33" borderId="12" xfId="42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25" xfId="0" applyNumberFormat="1" applyFont="1" applyBorder="1" applyAlignment="1">
      <alignment horizontal="center"/>
    </xf>
    <xf numFmtId="174" fontId="5" fillId="0" borderId="25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10" fontId="5" fillId="0" borderId="25" xfId="57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74" fontId="5" fillId="0" borderId="2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10" fontId="5" fillId="0" borderId="26" xfId="57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left" indent="1"/>
    </xf>
    <xf numFmtId="1" fontId="5" fillId="0" borderId="27" xfId="0" applyNumberFormat="1" applyFont="1" applyBorder="1" applyAlignment="1">
      <alignment horizontal="center"/>
    </xf>
    <xf numFmtId="174" fontId="5" fillId="0" borderId="2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10" fontId="5" fillId="0" borderId="27" xfId="57" applyNumberFormat="1" applyFont="1" applyBorder="1" applyAlignment="1">
      <alignment horizontal="center"/>
    </xf>
    <xf numFmtId="10" fontId="5" fillId="0" borderId="31" xfId="57" applyNumberFormat="1" applyFont="1" applyBorder="1" applyAlignment="1">
      <alignment horizontal="center"/>
    </xf>
    <xf numFmtId="0" fontId="5" fillId="0" borderId="32" xfId="0" applyFont="1" applyBorder="1" applyAlignment="1">
      <alignment horizontal="left" indent="1"/>
    </xf>
    <xf numFmtId="10" fontId="5" fillId="0" borderId="33" xfId="57" applyNumberFormat="1" applyFont="1" applyBorder="1" applyAlignment="1">
      <alignment horizontal="center"/>
    </xf>
    <xf numFmtId="0" fontId="5" fillId="0" borderId="34" xfId="0" applyFont="1" applyBorder="1" applyAlignment="1">
      <alignment horizontal="left" indent="1"/>
    </xf>
    <xf numFmtId="1" fontId="5" fillId="0" borderId="35" xfId="0" applyNumberFormat="1" applyFont="1" applyBorder="1" applyAlignment="1">
      <alignment horizontal="center"/>
    </xf>
    <xf numFmtId="174" fontId="5" fillId="0" borderId="35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10" fontId="5" fillId="0" borderId="35" xfId="57" applyNumberFormat="1" applyFont="1" applyBorder="1" applyAlignment="1">
      <alignment horizontal="center"/>
    </xf>
    <xf numFmtId="10" fontId="5" fillId="0" borderId="36" xfId="57" applyNumberFormat="1" applyFont="1" applyBorder="1" applyAlignment="1">
      <alignment horizontal="center"/>
    </xf>
    <xf numFmtId="0" fontId="5" fillId="0" borderId="37" xfId="0" applyFont="1" applyBorder="1" applyAlignment="1">
      <alignment horizontal="left" indent="1"/>
    </xf>
    <xf numFmtId="0" fontId="5" fillId="33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0" fontId="5" fillId="0" borderId="38" xfId="57" applyNumberFormat="1" applyFont="1" applyBorder="1" applyAlignment="1">
      <alignment horizontal="center"/>
    </xf>
    <xf numFmtId="0" fontId="6" fillId="34" borderId="39" xfId="0" applyFont="1" applyFill="1" applyBorder="1" applyAlignment="1">
      <alignment/>
    </xf>
    <xf numFmtId="0" fontId="5" fillId="34" borderId="40" xfId="0" applyFont="1" applyFill="1" applyBorder="1" applyAlignment="1">
      <alignment horizontal="center"/>
    </xf>
    <xf numFmtId="0" fontId="5" fillId="34" borderId="40" xfId="0" applyFont="1" applyFill="1" applyBorder="1" applyAlignment="1">
      <alignment/>
    </xf>
    <xf numFmtId="2" fontId="5" fillId="34" borderId="40" xfId="0" applyNumberFormat="1" applyFont="1" applyFill="1" applyBorder="1" applyAlignment="1">
      <alignment horizontal="center"/>
    </xf>
    <xf numFmtId="10" fontId="5" fillId="34" borderId="40" xfId="57" applyNumberFormat="1" applyFont="1" applyFill="1" applyBorder="1" applyAlignment="1">
      <alignment horizontal="center"/>
    </xf>
    <xf numFmtId="10" fontId="5" fillId="34" borderId="41" xfId="57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34" borderId="40" xfId="0" applyNumberFormat="1" applyFont="1" applyFill="1" applyBorder="1" applyAlignment="1">
      <alignment horizontal="center"/>
    </xf>
    <xf numFmtId="0" fontId="6" fillId="35" borderId="39" xfId="0" applyFont="1" applyFill="1" applyBorder="1" applyAlignment="1">
      <alignment/>
    </xf>
    <xf numFmtId="0" fontId="5" fillId="35" borderId="40" xfId="0" applyFont="1" applyFill="1" applyBorder="1" applyAlignment="1">
      <alignment horizontal="center"/>
    </xf>
    <xf numFmtId="0" fontId="5" fillId="35" borderId="40" xfId="0" applyFont="1" applyFill="1" applyBorder="1" applyAlignment="1">
      <alignment/>
    </xf>
    <xf numFmtId="2" fontId="5" fillId="35" borderId="40" xfId="0" applyNumberFormat="1" applyFont="1" applyFill="1" applyBorder="1" applyAlignment="1">
      <alignment horizontal="center"/>
    </xf>
    <xf numFmtId="10" fontId="5" fillId="35" borderId="40" xfId="57" applyNumberFormat="1" applyFont="1" applyFill="1" applyBorder="1" applyAlignment="1">
      <alignment horizontal="center"/>
    </xf>
    <xf numFmtId="10" fontId="5" fillId="35" borderId="41" xfId="57" applyNumberFormat="1" applyFont="1" applyFill="1" applyBorder="1" applyAlignment="1">
      <alignment horizontal="center"/>
    </xf>
    <xf numFmtId="0" fontId="5" fillId="0" borderId="42" xfId="0" applyFont="1" applyBorder="1" applyAlignment="1">
      <alignment horizontal="left" indent="1"/>
    </xf>
    <xf numFmtId="1" fontId="5" fillId="0" borderId="43" xfId="0" applyNumberFormat="1" applyFont="1" applyBorder="1" applyAlignment="1">
      <alignment horizontal="center"/>
    </xf>
    <xf numFmtId="174" fontId="5" fillId="0" borderId="43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10" fontId="5" fillId="0" borderId="43" xfId="57" applyNumberFormat="1" applyFont="1" applyBorder="1" applyAlignment="1">
      <alignment horizontal="center"/>
    </xf>
    <xf numFmtId="10" fontId="5" fillId="0" borderId="44" xfId="57" applyNumberFormat="1" applyFont="1" applyBorder="1" applyAlignment="1">
      <alignment horizontal="center"/>
    </xf>
    <xf numFmtId="0" fontId="6" fillId="0" borderId="42" xfId="0" applyFont="1" applyBorder="1" applyAlignment="1">
      <alignment horizontal="left" indent="1"/>
    </xf>
    <xf numFmtId="0" fontId="5" fillId="0" borderId="43" xfId="0" applyFont="1" applyBorder="1" applyAlignment="1">
      <alignment horizontal="center"/>
    </xf>
    <xf numFmtId="9" fontId="5" fillId="0" borderId="43" xfId="57" applyFont="1" applyBorder="1" applyAlignment="1">
      <alignment horizontal="center"/>
    </xf>
    <xf numFmtId="0" fontId="5" fillId="0" borderId="43" xfId="0" applyFont="1" applyBorder="1" applyAlignment="1">
      <alignment/>
    </xf>
    <xf numFmtId="173" fontId="5" fillId="0" borderId="13" xfId="57" applyNumberFormat="1" applyFont="1" applyBorder="1" applyAlignment="1">
      <alignment horizontal="center"/>
    </xf>
    <xf numFmtId="9" fontId="5" fillId="0" borderId="13" xfId="57" applyFont="1" applyBorder="1" applyAlignment="1">
      <alignment horizontal="center"/>
    </xf>
    <xf numFmtId="176" fontId="5" fillId="0" borderId="26" xfId="0" applyNumberFormat="1" applyFont="1" applyBorder="1" applyAlignment="1">
      <alignment horizontal="center"/>
    </xf>
    <xf numFmtId="176" fontId="5" fillId="0" borderId="35" xfId="0" applyNumberFormat="1" applyFont="1" applyBorder="1" applyAlignment="1">
      <alignment horizontal="center"/>
    </xf>
    <xf numFmtId="10" fontId="0" fillId="0" borderId="0" xfId="57" applyNumberFormat="1" applyFont="1" applyAlignment="1">
      <alignment/>
    </xf>
    <xf numFmtId="0" fontId="6" fillId="0" borderId="12" xfId="0" applyFont="1" applyBorder="1" applyAlignment="1">
      <alignment/>
    </xf>
    <xf numFmtId="177" fontId="0" fillId="0" borderId="0" xfId="42" applyNumberFormat="1" applyFont="1" applyAlignment="1">
      <alignment/>
    </xf>
    <xf numFmtId="170" fontId="6" fillId="35" borderId="40" xfId="44" applyFont="1" applyFill="1" applyBorder="1" applyAlignment="1">
      <alignment horizontal="center"/>
    </xf>
    <xf numFmtId="9" fontId="0" fillId="0" borderId="0" xfId="57" applyFont="1" applyAlignment="1">
      <alignment/>
    </xf>
    <xf numFmtId="0" fontId="5" fillId="0" borderId="32" xfId="0" applyFont="1" applyBorder="1" applyAlignment="1">
      <alignment horizontal="left"/>
    </xf>
    <xf numFmtId="0" fontId="4" fillId="0" borderId="0" xfId="0" applyFont="1" applyAlignment="1">
      <alignment horizontal="center"/>
    </xf>
    <xf numFmtId="172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75" fontId="0" fillId="0" borderId="25" xfId="42" applyNumberFormat="1" applyFont="1" applyBorder="1" applyAlignment="1">
      <alignment/>
    </xf>
    <xf numFmtId="171" fontId="0" fillId="0" borderId="25" xfId="42" applyFont="1" applyBorder="1" applyAlignment="1">
      <alignment/>
    </xf>
    <xf numFmtId="173" fontId="0" fillId="0" borderId="25" xfId="57" applyNumberFormat="1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173" fontId="0" fillId="0" borderId="33" xfId="57" applyNumberFormat="1" applyFont="1" applyBorder="1" applyAlignment="1">
      <alignment/>
    </xf>
    <xf numFmtId="0" fontId="0" fillId="0" borderId="45" xfId="0" applyBorder="1" applyAlignment="1">
      <alignment/>
    </xf>
    <xf numFmtId="175" fontId="0" fillId="0" borderId="28" xfId="42" applyNumberFormat="1" applyFont="1" applyBorder="1" applyAlignment="1">
      <alignment/>
    </xf>
    <xf numFmtId="171" fontId="0" fillId="0" borderId="28" xfId="42" applyFont="1" applyBorder="1" applyAlignment="1">
      <alignment/>
    </xf>
    <xf numFmtId="173" fontId="0" fillId="0" borderId="28" xfId="57" applyNumberFormat="1" applyFont="1" applyBorder="1" applyAlignment="1">
      <alignment/>
    </xf>
    <xf numFmtId="173" fontId="0" fillId="0" borderId="29" xfId="57" applyNumberFormat="1" applyFont="1" applyBorder="1" applyAlignment="1">
      <alignment/>
    </xf>
    <xf numFmtId="0" fontId="0" fillId="0" borderId="37" xfId="0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175" fontId="0" fillId="36" borderId="25" xfId="42" applyNumberFormat="1" applyFont="1" applyFill="1" applyBorder="1" applyAlignment="1">
      <alignment/>
    </xf>
    <xf numFmtId="175" fontId="0" fillId="36" borderId="28" xfId="42" applyNumberFormat="1" applyFont="1" applyFill="1" applyBorder="1" applyAlignment="1">
      <alignment/>
    </xf>
    <xf numFmtId="173" fontId="0" fillId="36" borderId="25" xfId="57" applyNumberFormat="1" applyFont="1" applyFill="1" applyBorder="1" applyAlignment="1">
      <alignment/>
    </xf>
    <xf numFmtId="173" fontId="0" fillId="36" borderId="28" xfId="57" applyNumberFormat="1" applyFont="1" applyFill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51" xfId="0" applyFont="1" applyFill="1" applyBorder="1" applyAlignment="1">
      <alignment horizontal="center"/>
    </xf>
    <xf numFmtId="0" fontId="6" fillId="37" borderId="51" xfId="0" applyFont="1" applyFill="1" applyBorder="1" applyAlignment="1">
      <alignment/>
    </xf>
    <xf numFmtId="170" fontId="6" fillId="37" borderId="51" xfId="0" applyNumberFormat="1" applyFont="1" applyFill="1" applyBorder="1" applyAlignment="1">
      <alignment/>
    </xf>
    <xf numFmtId="0" fontId="6" fillId="37" borderId="11" xfId="0" applyFont="1" applyFill="1" applyBorder="1" applyAlignment="1">
      <alignment/>
    </xf>
    <xf numFmtId="170" fontId="6" fillId="37" borderId="51" xfId="0" applyNumberFormat="1" applyFont="1" applyFill="1" applyBorder="1" applyAlignment="1">
      <alignment horizontal="center"/>
    </xf>
    <xf numFmtId="10" fontId="6" fillId="37" borderId="51" xfId="57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4" fillId="0" borderId="3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</xdr:row>
      <xdr:rowOff>114300</xdr:rowOff>
    </xdr:from>
    <xdr:to>
      <xdr:col>8</xdr:col>
      <xdr:colOff>800100</xdr:colOff>
      <xdr:row>12</xdr:row>
      <xdr:rowOff>152400</xdr:rowOff>
    </xdr:to>
    <xdr:pic>
      <xdr:nvPicPr>
        <xdr:cNvPr id="1" name="Picture 1" descr="Algoma Pow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09700"/>
          <a:ext cx="2857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0:I28"/>
  <sheetViews>
    <sheetView zoomScalePageLayoutView="0" workbookViewId="0" topLeftCell="A4">
      <selection activeCell="B24" sqref="B24:I24"/>
    </sheetView>
  </sheetViews>
  <sheetFormatPr defaultColWidth="9.140625" defaultRowHeight="12.75"/>
  <cols>
    <col min="1" max="1" width="5.00390625" style="0" customWidth="1"/>
    <col min="9" max="9" width="47.00390625" style="0" customWidth="1"/>
  </cols>
  <sheetData>
    <row r="20" spans="2:9" ht="33.75">
      <c r="B20" s="146" t="s">
        <v>47</v>
      </c>
      <c r="C20" s="146"/>
      <c r="D20" s="146"/>
      <c r="E20" s="146"/>
      <c r="F20" s="146"/>
      <c r="G20" s="146"/>
      <c r="H20" s="146"/>
      <c r="I20" s="146"/>
    </row>
    <row r="21" spans="2:9" ht="33.75">
      <c r="B21" s="146" t="s">
        <v>52</v>
      </c>
      <c r="C21" s="146"/>
      <c r="D21" s="146"/>
      <c r="E21" s="146"/>
      <c r="F21" s="146"/>
      <c r="G21" s="146"/>
      <c r="H21" s="146"/>
      <c r="I21" s="146"/>
    </row>
    <row r="22" spans="2:9" ht="33.75">
      <c r="B22" s="146" t="s">
        <v>63</v>
      </c>
      <c r="C22" s="146"/>
      <c r="D22" s="146"/>
      <c r="E22" s="146"/>
      <c r="F22" s="146"/>
      <c r="G22" s="146"/>
      <c r="H22" s="146"/>
      <c r="I22" s="146"/>
    </row>
    <row r="23" spans="2:9" ht="33.75">
      <c r="B23" s="146" t="s">
        <v>64</v>
      </c>
      <c r="C23" s="146"/>
      <c r="D23" s="146"/>
      <c r="E23" s="146"/>
      <c r="F23" s="146"/>
      <c r="G23" s="146"/>
      <c r="H23" s="146"/>
      <c r="I23" s="146"/>
    </row>
    <row r="24" spans="2:9" ht="33.75">
      <c r="B24" s="146" t="s">
        <v>65</v>
      </c>
      <c r="C24" s="146"/>
      <c r="D24" s="146"/>
      <c r="E24" s="146"/>
      <c r="F24" s="146"/>
      <c r="G24" s="146"/>
      <c r="H24" s="146"/>
      <c r="I24" s="146"/>
    </row>
    <row r="25" spans="2:9" ht="33.75">
      <c r="B25" s="147"/>
      <c r="C25" s="147"/>
      <c r="D25" s="147"/>
      <c r="E25" s="147"/>
      <c r="F25" s="147"/>
      <c r="G25" s="147"/>
      <c r="H25" s="147"/>
      <c r="I25" s="147"/>
    </row>
    <row r="26" spans="2:9" ht="33.75">
      <c r="B26" s="147" t="s">
        <v>72</v>
      </c>
      <c r="C26" s="147"/>
      <c r="D26" s="147"/>
      <c r="E26" s="147"/>
      <c r="F26" s="147"/>
      <c r="G26" s="147"/>
      <c r="H26" s="147"/>
      <c r="I26" s="147"/>
    </row>
    <row r="27" spans="2:9" ht="33.75">
      <c r="B27" s="146" t="s">
        <v>68</v>
      </c>
      <c r="C27" s="147"/>
      <c r="D27" s="147"/>
      <c r="E27" s="147"/>
      <c r="F27" s="147"/>
      <c r="G27" s="147"/>
      <c r="H27" s="147"/>
      <c r="I27" s="147"/>
    </row>
    <row r="28" spans="2:9" ht="33.75">
      <c r="B28" s="146" t="s">
        <v>71</v>
      </c>
      <c r="C28" s="147"/>
      <c r="D28" s="147"/>
      <c r="E28" s="147"/>
      <c r="F28" s="147"/>
      <c r="G28" s="147"/>
      <c r="H28" s="147"/>
      <c r="I28" s="147"/>
    </row>
  </sheetData>
  <sheetProtection/>
  <mergeCells count="9">
    <mergeCell ref="B28:I28"/>
    <mergeCell ref="B27:I27"/>
    <mergeCell ref="B26:I26"/>
    <mergeCell ref="B25:I25"/>
    <mergeCell ref="B20:I20"/>
    <mergeCell ref="B21:I21"/>
    <mergeCell ref="B22:I22"/>
    <mergeCell ref="B24:I24"/>
    <mergeCell ref="B23:I23"/>
  </mergeCells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75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84.28125" style="0" bestFit="1" customWidth="1"/>
    <col min="2" max="2" width="6.7109375" style="2" customWidth="1"/>
    <col min="3" max="3" width="2.8515625" style="2" customWidth="1"/>
    <col min="4" max="4" width="11.28125" style="0" bestFit="1" customWidth="1"/>
    <col min="5" max="5" width="2.8515625" style="0" customWidth="1"/>
    <col min="6" max="6" width="10.8515625" style="0" customWidth="1"/>
  </cols>
  <sheetData>
    <row r="3" spans="1:6" ht="38.25">
      <c r="A3" s="1" t="s">
        <v>0</v>
      </c>
      <c r="B3" s="9" t="s">
        <v>25</v>
      </c>
      <c r="C3" s="9"/>
      <c r="D3" s="10" t="s">
        <v>49</v>
      </c>
      <c r="E3" s="9"/>
      <c r="F3" s="10" t="s">
        <v>53</v>
      </c>
    </row>
    <row r="4" ht="12.75">
      <c r="A4" s="1" t="s">
        <v>1</v>
      </c>
    </row>
    <row r="5" spans="1:6" ht="12.75">
      <c r="A5" t="s">
        <v>3</v>
      </c>
      <c r="B5" s="2" t="s">
        <v>15</v>
      </c>
      <c r="D5" s="3">
        <v>20.92</v>
      </c>
      <c r="E5" s="101"/>
      <c r="F5" s="3">
        <v>21.51</v>
      </c>
    </row>
    <row r="6" spans="1:6" ht="12.75">
      <c r="A6" t="s">
        <v>2</v>
      </c>
      <c r="B6" s="2" t="s">
        <v>15</v>
      </c>
      <c r="D6" s="6">
        <v>1</v>
      </c>
      <c r="E6" s="3"/>
      <c r="F6" s="6">
        <v>1</v>
      </c>
    </row>
    <row r="7" spans="1:6" ht="12.75">
      <c r="A7" t="s">
        <v>4</v>
      </c>
      <c r="B7" s="2" t="s">
        <v>16</v>
      </c>
      <c r="D7" s="4">
        <v>0.0294</v>
      </c>
      <c r="E7" s="101"/>
      <c r="F7" s="4">
        <v>0.0302</v>
      </c>
    </row>
    <row r="8" spans="1:6" ht="12.75">
      <c r="A8" t="s">
        <v>69</v>
      </c>
      <c r="B8" s="2" t="s">
        <v>16</v>
      </c>
      <c r="D8" s="4"/>
      <c r="E8" s="101"/>
      <c r="F8" s="4">
        <v>0.0003</v>
      </c>
    </row>
    <row r="9" spans="1:6" ht="12.75">
      <c r="A9" s="109" t="s">
        <v>50</v>
      </c>
      <c r="B9" s="2" t="s">
        <v>16</v>
      </c>
      <c r="D9" s="108">
        <v>0.0044</v>
      </c>
      <c r="F9" s="108">
        <v>0.0046</v>
      </c>
    </row>
    <row r="10" spans="1:6" ht="12.75">
      <c r="A10" s="109" t="s">
        <v>50</v>
      </c>
      <c r="B10" s="2" t="s">
        <v>16</v>
      </c>
      <c r="D10" s="108"/>
      <c r="F10" s="108">
        <v>-0.0061</v>
      </c>
    </row>
    <row r="11" spans="1:6" ht="12.75">
      <c r="A11" s="109" t="s">
        <v>54</v>
      </c>
      <c r="B11" s="2" t="s">
        <v>16</v>
      </c>
      <c r="D11" s="4"/>
      <c r="E11" s="3"/>
      <c r="F11" s="4">
        <v>-0.0002</v>
      </c>
    </row>
    <row r="12" spans="1:6" ht="12.75">
      <c r="A12" t="s">
        <v>5</v>
      </c>
      <c r="B12" s="2" t="s">
        <v>16</v>
      </c>
      <c r="D12" s="4">
        <v>0.0057</v>
      </c>
      <c r="E12" s="5"/>
      <c r="F12" s="4">
        <v>0.0071</v>
      </c>
    </row>
    <row r="13" spans="1:6" ht="12.75">
      <c r="A13" t="s">
        <v>6</v>
      </c>
      <c r="B13" s="2" t="s">
        <v>16</v>
      </c>
      <c r="D13" s="4">
        <v>0.0047</v>
      </c>
      <c r="E13" s="7"/>
      <c r="F13" s="4">
        <v>0.0051</v>
      </c>
    </row>
    <row r="14" spans="1:6" ht="12.75">
      <c r="A14" t="s">
        <v>7</v>
      </c>
      <c r="B14" s="2" t="s">
        <v>16</v>
      </c>
      <c r="D14" s="4">
        <v>0.0052</v>
      </c>
      <c r="E14" s="3"/>
      <c r="F14" s="4">
        <v>0.0052</v>
      </c>
    </row>
    <row r="15" spans="1:6" ht="12.75">
      <c r="A15" t="s">
        <v>8</v>
      </c>
      <c r="B15" s="2" t="s">
        <v>16</v>
      </c>
      <c r="D15" s="4">
        <v>0.0013</v>
      </c>
      <c r="E15" s="4"/>
      <c r="F15" s="4">
        <v>0.0013</v>
      </c>
    </row>
    <row r="16" spans="1:6" ht="12.75">
      <c r="A16" t="s">
        <v>45</v>
      </c>
      <c r="B16" s="2" t="s">
        <v>16</v>
      </c>
      <c r="D16" s="103"/>
      <c r="E16" s="4"/>
      <c r="F16" s="103"/>
    </row>
    <row r="17" spans="1:6" ht="12.75">
      <c r="A17" t="s">
        <v>9</v>
      </c>
      <c r="B17" s="2" t="s">
        <v>15</v>
      </c>
      <c r="D17" s="3">
        <v>0.25</v>
      </c>
      <c r="E17" s="3"/>
      <c r="F17" s="3">
        <v>0.25</v>
      </c>
    </row>
    <row r="19" ht="12.75">
      <c r="A19" s="1" t="s">
        <v>10</v>
      </c>
    </row>
    <row r="20" spans="1:6" ht="12.75">
      <c r="A20" t="s">
        <v>3</v>
      </c>
      <c r="B20" s="2" t="s">
        <v>15</v>
      </c>
      <c r="D20" s="3">
        <v>596.12</v>
      </c>
      <c r="E20" s="101"/>
      <c r="F20" s="3">
        <v>596.12</v>
      </c>
    </row>
    <row r="21" spans="1:6" ht="12.75">
      <c r="A21" t="s">
        <v>2</v>
      </c>
      <c r="B21" s="2" t="s">
        <v>15</v>
      </c>
      <c r="D21" s="6">
        <v>1</v>
      </c>
      <c r="E21" s="3"/>
      <c r="F21" s="6">
        <v>1</v>
      </c>
    </row>
    <row r="22" spans="1:6" ht="12.75">
      <c r="A22" t="s">
        <v>4</v>
      </c>
      <c r="B22" s="2" t="s">
        <v>17</v>
      </c>
      <c r="D22" s="4">
        <v>2.5728</v>
      </c>
      <c r="E22" s="101"/>
      <c r="F22" s="4">
        <v>2.7086</v>
      </c>
    </row>
    <row r="23" spans="1:6" ht="12.75">
      <c r="A23" t="s">
        <v>69</v>
      </c>
      <c r="B23" s="2" t="s">
        <v>17</v>
      </c>
      <c r="D23" s="4"/>
      <c r="E23" s="101"/>
      <c r="F23" s="4">
        <v>0.0272</v>
      </c>
    </row>
    <row r="24" spans="1:6" ht="12.75">
      <c r="A24" s="109" t="s">
        <v>50</v>
      </c>
      <c r="B24" s="2" t="s">
        <v>17</v>
      </c>
      <c r="D24" s="108">
        <v>2.1951</v>
      </c>
      <c r="F24" s="108">
        <v>2.2664</v>
      </c>
    </row>
    <row r="25" spans="1:6" ht="12.75">
      <c r="A25" s="109" t="s">
        <v>50</v>
      </c>
      <c r="B25" s="2" t="s">
        <v>17</v>
      </c>
      <c r="D25" s="108"/>
      <c r="F25" s="108">
        <v>-2.8219</v>
      </c>
    </row>
    <row r="26" spans="1:6" ht="12.75">
      <c r="A26" s="109" t="s">
        <v>54</v>
      </c>
      <c r="B26" s="2" t="s">
        <v>17</v>
      </c>
      <c r="D26" s="4"/>
      <c r="E26" s="3"/>
      <c r="F26" s="4">
        <v>-0.0273</v>
      </c>
    </row>
    <row r="27" spans="1:6" ht="12.75">
      <c r="A27" t="s">
        <v>5</v>
      </c>
      <c r="B27" s="2" t="s">
        <v>17</v>
      </c>
      <c r="D27" s="4">
        <v>2.1218</v>
      </c>
      <c r="E27" s="5"/>
      <c r="F27" s="4">
        <v>2.6396</v>
      </c>
    </row>
    <row r="28" spans="1:6" ht="12.75">
      <c r="A28" t="s">
        <v>6</v>
      </c>
      <c r="B28" s="2" t="s">
        <v>17</v>
      </c>
      <c r="D28" s="4">
        <v>1.6634</v>
      </c>
      <c r="E28" s="7"/>
      <c r="F28" s="4">
        <v>1.8099</v>
      </c>
    </row>
    <row r="29" spans="1:6" ht="12.75">
      <c r="A29" t="s">
        <v>11</v>
      </c>
      <c r="B29" s="2" t="s">
        <v>17</v>
      </c>
      <c r="D29" s="4">
        <v>2.2508</v>
      </c>
      <c r="E29" s="5"/>
      <c r="F29" s="4">
        <v>2.8001</v>
      </c>
    </row>
    <row r="30" spans="1:6" ht="12.75">
      <c r="A30" t="s">
        <v>12</v>
      </c>
      <c r="B30" s="2" t="s">
        <v>17</v>
      </c>
      <c r="D30" s="4">
        <v>1.8384</v>
      </c>
      <c r="E30" s="7"/>
      <c r="F30" s="4">
        <v>2.0003</v>
      </c>
    </row>
    <row r="31" spans="1:6" ht="12.75">
      <c r="A31" t="s">
        <v>7</v>
      </c>
      <c r="B31" s="2" t="s">
        <v>16</v>
      </c>
      <c r="D31" s="4">
        <v>0.0052</v>
      </c>
      <c r="E31" s="3"/>
      <c r="F31" s="4">
        <v>0.0052</v>
      </c>
    </row>
    <row r="32" spans="1:6" ht="12.75">
      <c r="A32" t="s">
        <v>8</v>
      </c>
      <c r="B32" s="2" t="s">
        <v>16</v>
      </c>
      <c r="D32" s="4">
        <v>0.0013</v>
      </c>
      <c r="E32" s="4"/>
      <c r="F32" s="4">
        <v>0.0013</v>
      </c>
    </row>
    <row r="33" spans="1:6" ht="12.75">
      <c r="A33" t="s">
        <v>45</v>
      </c>
      <c r="B33" s="2" t="s">
        <v>16</v>
      </c>
      <c r="D33" s="103"/>
      <c r="E33" s="4"/>
      <c r="F33" s="103"/>
    </row>
    <row r="34" spans="1:6" ht="12.75">
      <c r="A34" t="s">
        <v>9</v>
      </c>
      <c r="B34" s="2" t="s">
        <v>15</v>
      </c>
      <c r="D34" s="3">
        <v>0.25</v>
      </c>
      <c r="E34" s="3"/>
      <c r="F34" s="3">
        <v>0.25</v>
      </c>
    </row>
    <row r="36" ht="12.75">
      <c r="A36" s="1" t="s">
        <v>13</v>
      </c>
    </row>
    <row r="37" spans="1:6" ht="12.75">
      <c r="A37" t="s">
        <v>3</v>
      </c>
      <c r="B37" s="2" t="s">
        <v>15</v>
      </c>
      <c r="D37" s="3">
        <v>26.07</v>
      </c>
      <c r="E37" s="101"/>
      <c r="F37" s="3">
        <v>26.15</v>
      </c>
    </row>
    <row r="38" spans="1:6" ht="12.75">
      <c r="A38" t="s">
        <v>2</v>
      </c>
      <c r="B38" s="2" t="s">
        <v>15</v>
      </c>
      <c r="D38" s="6">
        <v>1</v>
      </c>
      <c r="E38" s="3"/>
      <c r="F38" s="6">
        <v>1</v>
      </c>
    </row>
    <row r="39" spans="1:6" ht="12.75">
      <c r="A39" t="s">
        <v>4</v>
      </c>
      <c r="B39" s="2" t="s">
        <v>16</v>
      </c>
      <c r="D39" s="4">
        <v>0.1001</v>
      </c>
      <c r="E39" s="101"/>
      <c r="F39" s="4">
        <v>0.1006</v>
      </c>
    </row>
    <row r="40" spans="1:6" ht="12.75">
      <c r="A40" t="s">
        <v>69</v>
      </c>
      <c r="B40" s="2" t="s">
        <v>16</v>
      </c>
      <c r="D40" s="4"/>
      <c r="E40" s="101"/>
      <c r="F40" s="4">
        <v>0.0002</v>
      </c>
    </row>
    <row r="41" spans="1:6" ht="12.75">
      <c r="A41" s="109" t="s">
        <v>50</v>
      </c>
      <c r="B41" s="2" t="s">
        <v>16</v>
      </c>
      <c r="D41" s="108">
        <v>0.0045</v>
      </c>
      <c r="F41" s="108">
        <v>0.0046</v>
      </c>
    </row>
    <row r="42" spans="1:6" ht="12.75">
      <c r="A42" s="109" t="s">
        <v>50</v>
      </c>
      <c r="B42" s="2" t="s">
        <v>16</v>
      </c>
      <c r="D42" s="108"/>
      <c r="F42" s="108">
        <v>-0.0061</v>
      </c>
    </row>
    <row r="43" spans="1:6" ht="12.75">
      <c r="A43" s="109" t="s">
        <v>51</v>
      </c>
      <c r="B43" s="2" t="s">
        <v>16</v>
      </c>
      <c r="D43" s="108">
        <v>0.0307</v>
      </c>
      <c r="F43" s="108">
        <v>0.0307</v>
      </c>
    </row>
    <row r="44" spans="1:6" ht="12.75">
      <c r="A44" s="109" t="s">
        <v>54</v>
      </c>
      <c r="B44" s="2" t="s">
        <v>16</v>
      </c>
      <c r="D44" s="4"/>
      <c r="E44" s="3"/>
      <c r="F44" s="4">
        <v>-0.0003</v>
      </c>
    </row>
    <row r="45" spans="1:6" ht="12.75">
      <c r="A45" t="s">
        <v>5</v>
      </c>
      <c r="B45" s="2" t="s">
        <v>16</v>
      </c>
      <c r="D45" s="4">
        <v>0.0057</v>
      </c>
      <c r="E45" s="5"/>
      <c r="F45" s="4">
        <v>0.0071</v>
      </c>
    </row>
    <row r="46" spans="1:6" ht="12.75">
      <c r="A46" t="s">
        <v>6</v>
      </c>
      <c r="B46" s="2" t="s">
        <v>16</v>
      </c>
      <c r="D46" s="4">
        <v>0.0047</v>
      </c>
      <c r="E46" s="7"/>
      <c r="F46" s="4">
        <v>0.0051</v>
      </c>
    </row>
    <row r="47" spans="1:6" ht="12.75">
      <c r="A47" t="s">
        <v>7</v>
      </c>
      <c r="B47" s="2" t="s">
        <v>16</v>
      </c>
      <c r="D47" s="4">
        <v>0.0052</v>
      </c>
      <c r="E47" s="3"/>
      <c r="F47" s="4">
        <v>0.0052</v>
      </c>
    </row>
    <row r="48" spans="1:6" ht="12.75">
      <c r="A48" t="s">
        <v>8</v>
      </c>
      <c r="B48" s="2" t="s">
        <v>16</v>
      </c>
      <c r="D48" s="4">
        <v>0.0013</v>
      </c>
      <c r="E48" s="4"/>
      <c r="F48" s="4">
        <v>0.0013</v>
      </c>
    </row>
    <row r="49" spans="1:6" ht="12.75">
      <c r="A49" t="s">
        <v>45</v>
      </c>
      <c r="B49" s="2" t="s">
        <v>16</v>
      </c>
      <c r="D49" s="103"/>
      <c r="E49" s="4"/>
      <c r="F49" s="103"/>
    </row>
    <row r="50" spans="1:6" ht="12.75">
      <c r="A50" t="s">
        <v>9</v>
      </c>
      <c r="B50" s="2" t="s">
        <v>15</v>
      </c>
      <c r="D50" s="3">
        <v>0.25</v>
      </c>
      <c r="E50" s="3"/>
      <c r="F50" s="3">
        <v>0.25</v>
      </c>
    </row>
    <row r="52" ht="12.75">
      <c r="A52" s="1" t="s">
        <v>14</v>
      </c>
    </row>
    <row r="53" spans="1:6" ht="12.75">
      <c r="A53" t="s">
        <v>3</v>
      </c>
      <c r="B53" s="2" t="s">
        <v>15</v>
      </c>
      <c r="D53" s="3">
        <v>0.96</v>
      </c>
      <c r="E53" s="101"/>
      <c r="F53" s="3">
        <v>0.96</v>
      </c>
    </row>
    <row r="54" spans="1:6" ht="12.75">
      <c r="A54" t="s">
        <v>2</v>
      </c>
      <c r="B54" s="2" t="s">
        <v>15</v>
      </c>
      <c r="D54" s="6">
        <v>0</v>
      </c>
      <c r="E54" s="3"/>
      <c r="F54" s="6">
        <v>0</v>
      </c>
    </row>
    <row r="55" spans="1:6" ht="12.75">
      <c r="A55" t="s">
        <v>4</v>
      </c>
      <c r="B55" s="2" t="s">
        <v>16</v>
      </c>
      <c r="D55" s="4">
        <v>0.1537</v>
      </c>
      <c r="E55" s="101"/>
      <c r="F55" s="4">
        <v>0.1543</v>
      </c>
    </row>
    <row r="56" spans="1:6" ht="12.75">
      <c r="A56" t="s">
        <v>69</v>
      </c>
      <c r="B56" s="2" t="s">
        <v>16</v>
      </c>
      <c r="D56" s="4"/>
      <c r="E56" s="101"/>
      <c r="F56" s="4">
        <v>0.0001</v>
      </c>
    </row>
    <row r="57" spans="1:6" ht="12.75">
      <c r="A57" s="109" t="s">
        <v>50</v>
      </c>
      <c r="B57" s="2" t="s">
        <v>16</v>
      </c>
      <c r="D57" s="108">
        <v>0.0047</v>
      </c>
      <c r="F57" s="108">
        <v>0.0048</v>
      </c>
    </row>
    <row r="58" spans="1:6" ht="12.75">
      <c r="A58" s="109" t="s">
        <v>50</v>
      </c>
      <c r="B58" s="2" t="s">
        <v>16</v>
      </c>
      <c r="D58" s="108"/>
      <c r="F58" s="108">
        <v>-0.0061</v>
      </c>
    </row>
    <row r="59" spans="1:6" ht="12.75">
      <c r="A59" s="109" t="s">
        <v>54</v>
      </c>
      <c r="B59" s="2" t="s">
        <v>16</v>
      </c>
      <c r="D59" s="4"/>
      <c r="E59" s="3"/>
      <c r="F59" s="4">
        <v>-0.0002</v>
      </c>
    </row>
    <row r="60" spans="1:6" ht="12.75">
      <c r="A60" t="s">
        <v>5</v>
      </c>
      <c r="B60" s="2" t="s">
        <v>17</v>
      </c>
      <c r="D60" s="4">
        <v>1.6002</v>
      </c>
      <c r="E60" s="5"/>
      <c r="F60" s="4">
        <v>1.9907</v>
      </c>
    </row>
    <row r="61" spans="1:6" ht="12.75">
      <c r="A61" t="s">
        <v>6</v>
      </c>
      <c r="B61" s="2" t="s">
        <v>17</v>
      </c>
      <c r="D61" s="4">
        <v>1.2859</v>
      </c>
      <c r="E61" s="7"/>
      <c r="F61" s="4">
        <v>1.3992</v>
      </c>
    </row>
    <row r="62" spans="1:6" ht="12.75">
      <c r="A62" t="s">
        <v>7</v>
      </c>
      <c r="B62" s="2" t="s">
        <v>16</v>
      </c>
      <c r="D62" s="4">
        <v>0.0052</v>
      </c>
      <c r="E62" s="3"/>
      <c r="F62" s="4">
        <v>0.0052</v>
      </c>
    </row>
    <row r="63" spans="1:6" ht="12.75">
      <c r="A63" t="s">
        <v>8</v>
      </c>
      <c r="B63" s="2" t="s">
        <v>16</v>
      </c>
      <c r="D63" s="4">
        <v>0.0013</v>
      </c>
      <c r="E63" s="4"/>
      <c r="F63" s="4">
        <v>0.0013</v>
      </c>
    </row>
    <row r="64" spans="1:6" ht="12.75">
      <c r="A64" t="s">
        <v>45</v>
      </c>
      <c r="B64" s="2" t="s">
        <v>16</v>
      </c>
      <c r="D64" s="103"/>
      <c r="E64" s="4"/>
      <c r="F64" s="103"/>
    </row>
    <row r="65" spans="1:6" ht="12.75">
      <c r="A65" t="s">
        <v>9</v>
      </c>
      <c r="B65" s="2" t="s">
        <v>15</v>
      </c>
      <c r="D65" s="3">
        <v>0.25</v>
      </c>
      <c r="E65" s="3"/>
      <c r="F65" s="3">
        <v>0.25</v>
      </c>
    </row>
    <row r="67" ht="12.75">
      <c r="A67" s="1" t="s">
        <v>18</v>
      </c>
    </row>
    <row r="68" spans="1:6" ht="12.75">
      <c r="A68" t="s">
        <v>19</v>
      </c>
      <c r="B68" s="2" t="s">
        <v>16</v>
      </c>
      <c r="D68" s="4">
        <v>0.002</v>
      </c>
      <c r="F68" s="4">
        <v>0.002</v>
      </c>
    </row>
    <row r="69" spans="1:6" ht="12.75">
      <c r="A69" t="s">
        <v>20</v>
      </c>
      <c r="B69" s="2" t="s">
        <v>16</v>
      </c>
      <c r="D69" s="4">
        <v>0.068</v>
      </c>
      <c r="F69" s="4">
        <v>0.068</v>
      </c>
    </row>
    <row r="70" spans="1:6" ht="12.75">
      <c r="A70" t="s">
        <v>21</v>
      </c>
      <c r="B70" s="2" t="s">
        <v>16</v>
      </c>
      <c r="D70" s="4">
        <v>0.079</v>
      </c>
      <c r="F70" s="4">
        <v>0.079</v>
      </c>
    </row>
    <row r="73" spans="1:5" ht="12.75">
      <c r="A73" s="1" t="s">
        <v>23</v>
      </c>
      <c r="E73" s="3"/>
    </row>
    <row r="74" spans="1:6" ht="12.75">
      <c r="A74" t="s">
        <v>24</v>
      </c>
      <c r="D74" s="4">
        <v>1.0864</v>
      </c>
      <c r="F74" s="4">
        <v>1.0864</v>
      </c>
    </row>
    <row r="75" spans="1:6" ht="12.75">
      <c r="A75" t="s">
        <v>46</v>
      </c>
      <c r="D75" s="105">
        <v>0.13</v>
      </c>
      <c r="F75" s="105">
        <v>0.13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1" r:id="rId1"/>
  <headerFooter alignWithMargins="0">
    <oddHeader xml:space="preserve">&amp;C&amp;"Arial,Bold"&amp;16Electricity Distribution Impacts
Rates Effective January 1, 2012&amp;"Arial,Regular"&amp;10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zoomScalePageLayoutView="0" workbookViewId="0" topLeftCell="A7">
      <selection activeCell="G27" sqref="G27"/>
    </sheetView>
  </sheetViews>
  <sheetFormatPr defaultColWidth="9.140625" defaultRowHeight="12.75"/>
  <cols>
    <col min="1" max="1" width="73.140625" style="8" bestFit="1" customWidth="1"/>
    <col min="2" max="2" width="10.421875" style="11" bestFit="1" customWidth="1"/>
    <col min="3" max="3" width="10.00390625" style="8" bestFit="1" customWidth="1"/>
    <col min="4" max="4" width="11.8515625" style="8" bestFit="1" customWidth="1"/>
    <col min="5" max="6" width="9.28125" style="8" bestFit="1" customWidth="1"/>
    <col min="7" max="7" width="11.57421875" style="8" bestFit="1" customWidth="1"/>
    <col min="8" max="8" width="10.57421875" style="8" bestFit="1" customWidth="1"/>
    <col min="9" max="9" width="9.28125" style="8" bestFit="1" customWidth="1"/>
    <col min="10" max="10" width="11.7109375" style="8" bestFit="1" customWidth="1"/>
    <col min="11" max="16384" width="9.140625" style="8" customWidth="1"/>
  </cols>
  <sheetData>
    <row r="2" ht="12.75" thickBot="1"/>
    <row r="3" spans="1:4" ht="36.75" thickBot="1">
      <c r="A3" s="14" t="str">
        <f>Rates!A4</f>
        <v>Residential - R1</v>
      </c>
      <c r="B3" s="16" t="str">
        <f>Rates!B3</f>
        <v>Metric</v>
      </c>
      <c r="C3" s="15" t="str">
        <f>Rates!D3</f>
        <v>Current Approved Rates</v>
      </c>
      <c r="D3" s="15" t="str">
        <f>Rates!F3</f>
        <v>Proposed January 1, 2012</v>
      </c>
    </row>
    <row r="4" spans="1:4" ht="12">
      <c r="A4" s="23" t="str">
        <f>Rates!A5</f>
        <v>Monthly Service Charge</v>
      </c>
      <c r="B4" s="24" t="str">
        <f>Rates!B5</f>
        <v>$</v>
      </c>
      <c r="C4" s="25">
        <f>Rates!D5</f>
        <v>20.92</v>
      </c>
      <c r="D4" s="26">
        <f>Rates!F5</f>
        <v>21.51</v>
      </c>
    </row>
    <row r="5" spans="1:4" ht="12">
      <c r="A5" s="27" t="str">
        <f>Rates!A6</f>
        <v>Smart Meter Rate Adder</v>
      </c>
      <c r="B5" s="28" t="str">
        <f>Rates!B6</f>
        <v>$</v>
      </c>
      <c r="C5" s="29">
        <f>Rates!D6</f>
        <v>1</v>
      </c>
      <c r="D5" s="30">
        <f>Rates!F6</f>
        <v>1</v>
      </c>
    </row>
    <row r="6" spans="1:4" ht="12">
      <c r="A6" s="27" t="str">
        <f>Rates!A7</f>
        <v>Distribution Volumetric Rate</v>
      </c>
      <c r="B6" s="28" t="str">
        <f>Rates!B7</f>
        <v>$/kWh</v>
      </c>
      <c r="C6" s="31">
        <f>Rates!D7</f>
        <v>0.0294</v>
      </c>
      <c r="D6" s="32">
        <f>Rates!F7</f>
        <v>0.0302</v>
      </c>
    </row>
    <row r="7" spans="1:4" ht="12">
      <c r="A7" s="27" t="str">
        <f>Rates!A8</f>
        <v>Rate Rider for Foregone Revenue Recovery - effective until December 31, 2012</v>
      </c>
      <c r="B7" s="28" t="str">
        <f>Rates!B8</f>
        <v>$/kWh</v>
      </c>
      <c r="C7" s="31">
        <f>Rates!D8</f>
        <v>0</v>
      </c>
      <c r="D7" s="32">
        <f>Rates!F8</f>
        <v>0.0003</v>
      </c>
    </row>
    <row r="8" spans="1:4" ht="12">
      <c r="A8" s="27" t="str">
        <f>Rates!A9</f>
        <v>Rate Rider for Deferral/Variance Account Disposition - effective until May 31, 2013</v>
      </c>
      <c r="B8" s="28" t="str">
        <f>Rates!B9</f>
        <v>$/kWh</v>
      </c>
      <c r="C8" s="31">
        <f>Rates!D9</f>
        <v>0.0044</v>
      </c>
      <c r="D8" s="32">
        <f>Rates!F9</f>
        <v>0.0046</v>
      </c>
    </row>
    <row r="9" spans="1:4" ht="12">
      <c r="A9" s="27" t="str">
        <f>Rates!A10</f>
        <v>Rate Rider for Deferral/Variance Account Disposition - effective until May 31, 2013</v>
      </c>
      <c r="B9" s="28" t="str">
        <f>Rates!B10</f>
        <v>$/kWh</v>
      </c>
      <c r="C9" s="31"/>
      <c r="D9" s="32">
        <f>Rates!F10</f>
        <v>-0.0061</v>
      </c>
    </row>
    <row r="10" spans="1:4" ht="12">
      <c r="A10" s="27" t="str">
        <f>Rates!A11</f>
        <v>Rate Rider for Tax Changes - effective until December 31, 2012</v>
      </c>
      <c r="B10" s="28" t="str">
        <f>Rates!B11</f>
        <v>$/kWh</v>
      </c>
      <c r="C10" s="31">
        <f>Rates!D11</f>
        <v>0</v>
      </c>
      <c r="D10" s="32">
        <f>Rates!F11</f>
        <v>-0.0002</v>
      </c>
    </row>
    <row r="11" spans="1:4" ht="12">
      <c r="A11" s="27" t="str">
        <f>Rates!A12</f>
        <v>Retail Transmission Rate - Network Service Rate</v>
      </c>
      <c r="B11" s="28" t="str">
        <f>Rates!B12</f>
        <v>$/kWh</v>
      </c>
      <c r="C11" s="31">
        <f>Rates!D12</f>
        <v>0.0057</v>
      </c>
      <c r="D11" s="32">
        <f>Rates!F12</f>
        <v>0.0071</v>
      </c>
    </row>
    <row r="12" spans="1:4" ht="12">
      <c r="A12" s="27" t="str">
        <f>Rates!A13</f>
        <v>Retail Transmission Rate - Line and Transformation Connection Service Rate</v>
      </c>
      <c r="B12" s="28" t="str">
        <f>Rates!B13</f>
        <v>$/kWh</v>
      </c>
      <c r="C12" s="31">
        <f>Rates!D13</f>
        <v>0.0047</v>
      </c>
      <c r="D12" s="32">
        <f>Rates!F13</f>
        <v>0.0051</v>
      </c>
    </row>
    <row r="13" spans="1:4" ht="12">
      <c r="A13" s="19" t="str">
        <f>Rates!A14</f>
        <v>Wholesale Market Service Rate</v>
      </c>
      <c r="B13" s="20" t="str">
        <f>Rates!B14</f>
        <v>$/kWh</v>
      </c>
      <c r="C13" s="21">
        <f>Rates!D14</f>
        <v>0.0052</v>
      </c>
      <c r="D13" s="22">
        <f>Rates!F14</f>
        <v>0.0052</v>
      </c>
    </row>
    <row r="14" spans="1:4" ht="12">
      <c r="A14" s="27" t="str">
        <f>Rates!A15</f>
        <v>Rural Rate Protection Charge</v>
      </c>
      <c r="B14" s="28" t="str">
        <f>Rates!B15</f>
        <v>$/kWh</v>
      </c>
      <c r="C14" s="31">
        <f>Rates!D15</f>
        <v>0.0013</v>
      </c>
      <c r="D14" s="32">
        <f>Rates!F15</f>
        <v>0.0013</v>
      </c>
    </row>
    <row r="15" spans="1:4" ht="12">
      <c r="A15" s="106" t="str">
        <f>Rates!A16</f>
        <v>Special Purpose Charge</v>
      </c>
      <c r="B15" s="28" t="str">
        <f>Rates!B16</f>
        <v>$/kWh</v>
      </c>
      <c r="C15" s="31">
        <f>Rates!D16</f>
        <v>0</v>
      </c>
      <c r="D15" s="32">
        <f>Rates!F16</f>
        <v>0</v>
      </c>
    </row>
    <row r="16" spans="1:4" ht="12.75" thickBot="1">
      <c r="A16" s="12" t="str">
        <f>Rates!A17</f>
        <v>Standard Supply Service - Administarive Charge (if applicable)</v>
      </c>
      <c r="B16" s="17" t="str">
        <f>Rates!B17</f>
        <v>$</v>
      </c>
      <c r="C16" s="18">
        <f>Rates!D17</f>
        <v>0.25</v>
      </c>
      <c r="D16" s="13">
        <f>Rates!F17</f>
        <v>0.25</v>
      </c>
    </row>
    <row r="18" ht="12.75" thickBot="1"/>
    <row r="19" spans="1:8" ht="13.5" thickBot="1">
      <c r="A19" s="33" t="s">
        <v>26</v>
      </c>
      <c r="B19" s="34">
        <v>800</v>
      </c>
      <c r="C19" s="35" t="s">
        <v>27</v>
      </c>
      <c r="D19" s="36"/>
      <c r="E19" s="35" t="s">
        <v>28</v>
      </c>
      <c r="G19" s="102" t="s">
        <v>23</v>
      </c>
      <c r="H19" s="53">
        <f>Rates!F74</f>
        <v>1.0864</v>
      </c>
    </row>
    <row r="20" spans="1:5" ht="13.5" thickBot="1">
      <c r="A20" s="33" t="s">
        <v>29</v>
      </c>
      <c r="B20" s="34">
        <v>750</v>
      </c>
      <c r="C20" s="35" t="s">
        <v>27</v>
      </c>
      <c r="D20" s="37" t="s">
        <v>30</v>
      </c>
      <c r="E20" s="38" t="str">
        <f>IF(D19&gt;0,B19/(D19*24*30.4)," ")</f>
        <v> </v>
      </c>
    </row>
    <row r="21" ht="12.75" thickBot="1"/>
    <row r="22" spans="1:10" ht="12.75" customHeight="1">
      <c r="A22" s="148" t="str">
        <f>A3</f>
        <v>Residential - R1</v>
      </c>
      <c r="B22" s="150" t="s">
        <v>31</v>
      </c>
      <c r="C22" s="49" t="s">
        <v>37</v>
      </c>
      <c r="D22" s="49" t="s">
        <v>38</v>
      </c>
      <c r="E22" s="150" t="s">
        <v>31</v>
      </c>
      <c r="F22" s="49" t="s">
        <v>37</v>
      </c>
      <c r="G22" s="49" t="s">
        <v>38</v>
      </c>
      <c r="H22" s="152" t="s">
        <v>44</v>
      </c>
      <c r="I22" s="152"/>
      <c r="J22" s="153"/>
    </row>
    <row r="23" spans="1:10" ht="12.75" thickBot="1">
      <c r="A23" s="149"/>
      <c r="B23" s="151"/>
      <c r="C23" s="50" t="s">
        <v>15</v>
      </c>
      <c r="D23" s="50" t="s">
        <v>15</v>
      </c>
      <c r="E23" s="151"/>
      <c r="F23" s="50" t="s">
        <v>15</v>
      </c>
      <c r="G23" s="50" t="s">
        <v>15</v>
      </c>
      <c r="H23" s="50" t="s">
        <v>15</v>
      </c>
      <c r="I23" s="51" t="s">
        <v>22</v>
      </c>
      <c r="J23" s="52" t="s">
        <v>34</v>
      </c>
    </row>
    <row r="24" spans="1:10" ht="12">
      <c r="A24" s="54" t="s">
        <v>35</v>
      </c>
      <c r="B24" s="55">
        <f>IF(B19*Rates!D74&gt;B20,B20,B19*Rates!D74)</f>
        <v>750</v>
      </c>
      <c r="C24" s="56">
        <f>Rates!D69</f>
        <v>0.068</v>
      </c>
      <c r="D24" s="57">
        <f>B24*C24</f>
        <v>51.00000000000001</v>
      </c>
      <c r="E24" s="55">
        <f>IF(B19*H19&gt;B20,B20,B19*H19)</f>
        <v>750</v>
      </c>
      <c r="F24" s="56">
        <f>Rates!F69</f>
        <v>0.068</v>
      </c>
      <c r="G24" s="57">
        <f>E24*F24</f>
        <v>51.00000000000001</v>
      </c>
      <c r="H24" s="58">
        <f>G24-D24</f>
        <v>0</v>
      </c>
      <c r="I24" s="59">
        <f>IF(ISERROR(H24/D24),1,H24/D24)</f>
        <v>0</v>
      </c>
      <c r="J24" s="60">
        <f aca="true" t="shared" si="0" ref="J24:J47">IF(ISERROR(G24/G$47),0,G24/G$47)</f>
        <v>0.363788838186242</v>
      </c>
    </row>
    <row r="25" spans="1:10" ht="12.75" thickBot="1">
      <c r="A25" s="63" t="s">
        <v>36</v>
      </c>
      <c r="B25" s="64">
        <f>IF(B19*Rates!D74&gt;=B20,B19*Rates!D74-B20,0)</f>
        <v>119.12</v>
      </c>
      <c r="C25" s="65">
        <f>Rates!D70</f>
        <v>0.079</v>
      </c>
      <c r="D25" s="66">
        <f>B25*C25</f>
        <v>9.41048</v>
      </c>
      <c r="E25" s="64">
        <f>IF(B19*H19&gt;=B20,B19*H19-B20,0)</f>
        <v>119.12</v>
      </c>
      <c r="F25" s="65">
        <f>Rates!F70</f>
        <v>0.079</v>
      </c>
      <c r="G25" s="66">
        <f>E25*F25</f>
        <v>9.41048</v>
      </c>
      <c r="H25" s="66">
        <f aca="true" t="shared" si="1" ref="H25:H47">G25-D25</f>
        <v>0</v>
      </c>
      <c r="I25" s="67">
        <f aca="true" t="shared" si="2" ref="I25:I47">IF(ISERROR(H25/D25),0,H25/D25)</f>
        <v>0</v>
      </c>
      <c r="J25" s="68">
        <f t="shared" si="0"/>
        <v>0.0671260310975464</v>
      </c>
    </row>
    <row r="26" spans="1:10" ht="12.75" thickBot="1">
      <c r="A26" s="73" t="s">
        <v>39</v>
      </c>
      <c r="B26" s="74"/>
      <c r="C26" s="75"/>
      <c r="D26" s="76">
        <f>SUM(D24:D25)</f>
        <v>60.41048000000001</v>
      </c>
      <c r="E26" s="75"/>
      <c r="F26" s="75"/>
      <c r="G26" s="76">
        <f>SUM(G24:G25)</f>
        <v>60.41048000000001</v>
      </c>
      <c r="H26" s="76">
        <f t="shared" si="1"/>
        <v>0</v>
      </c>
      <c r="I26" s="77">
        <f t="shared" si="2"/>
        <v>0</v>
      </c>
      <c r="J26" s="78">
        <f t="shared" si="0"/>
        <v>0.43091486928378847</v>
      </c>
    </row>
    <row r="27" spans="1:10" ht="12">
      <c r="A27" s="69" t="str">
        <f aca="true" t="shared" si="3" ref="A27:A33">A4</f>
        <v>Monthly Service Charge</v>
      </c>
      <c r="B27" s="70">
        <v>1</v>
      </c>
      <c r="C27" s="46">
        <f aca="true" t="shared" si="4" ref="C27:C33">C4</f>
        <v>20.92</v>
      </c>
      <c r="D27" s="46">
        <f>B27*C27</f>
        <v>20.92</v>
      </c>
      <c r="E27" s="71">
        <f>B27</f>
        <v>1</v>
      </c>
      <c r="F27" s="47">
        <f aca="true" t="shared" si="5" ref="F27:F33">D4</f>
        <v>21.51</v>
      </c>
      <c r="G27" s="47">
        <f>E27*F27</f>
        <v>21.51</v>
      </c>
      <c r="H27" s="47">
        <f t="shared" si="1"/>
        <v>0.5899999999999999</v>
      </c>
      <c r="I27" s="48">
        <f t="shared" si="2"/>
        <v>0.028202676864244734</v>
      </c>
      <c r="J27" s="72">
        <f t="shared" si="0"/>
        <v>0.15343329234090325</v>
      </c>
    </row>
    <row r="28" spans="1:10" ht="12">
      <c r="A28" s="61" t="str">
        <f t="shared" si="3"/>
        <v>Smart Meter Rate Adder</v>
      </c>
      <c r="B28" s="43">
        <f>B27</f>
        <v>1</v>
      </c>
      <c r="C28" s="41">
        <f t="shared" si="4"/>
        <v>1</v>
      </c>
      <c r="D28" s="41">
        <f aca="true" t="shared" si="6" ref="D28:D33">B28*C28</f>
        <v>1</v>
      </c>
      <c r="E28" s="43">
        <f>B28</f>
        <v>1</v>
      </c>
      <c r="F28" s="41">
        <f t="shared" si="5"/>
        <v>1</v>
      </c>
      <c r="G28" s="41">
        <f aca="true" t="shared" si="7" ref="G28:G33">E28*F28</f>
        <v>1</v>
      </c>
      <c r="H28" s="41">
        <f t="shared" si="1"/>
        <v>0</v>
      </c>
      <c r="I28" s="42">
        <f>IF(ISERROR(H28/D28),1,H28/D28)</f>
        <v>0</v>
      </c>
      <c r="J28" s="62">
        <f t="shared" si="0"/>
        <v>0.007133114474240039</v>
      </c>
    </row>
    <row r="29" spans="1:10" ht="12">
      <c r="A29" s="61" t="str">
        <f t="shared" si="3"/>
        <v>Distribution Volumetric Rate</v>
      </c>
      <c r="B29" s="43">
        <f>B19</f>
        <v>800</v>
      </c>
      <c r="C29" s="40">
        <f t="shared" si="4"/>
        <v>0.0294</v>
      </c>
      <c r="D29" s="41">
        <f t="shared" si="6"/>
        <v>23.52</v>
      </c>
      <c r="E29" s="43">
        <f>B19</f>
        <v>800</v>
      </c>
      <c r="F29" s="40">
        <f t="shared" si="5"/>
        <v>0.0302</v>
      </c>
      <c r="G29" s="41">
        <f t="shared" si="7"/>
        <v>24.16</v>
      </c>
      <c r="H29" s="41">
        <f t="shared" si="1"/>
        <v>0.6400000000000006</v>
      </c>
      <c r="I29" s="42">
        <f t="shared" si="2"/>
        <v>0.02721088435374152</v>
      </c>
      <c r="J29" s="62">
        <f t="shared" si="0"/>
        <v>0.17233604569763936</v>
      </c>
    </row>
    <row r="30" spans="1:10" ht="12">
      <c r="A30" s="61" t="str">
        <f t="shared" si="3"/>
        <v>Rate Rider for Foregone Revenue Recovery - effective until December 31, 2012</v>
      </c>
      <c r="B30" s="43">
        <f>B19</f>
        <v>800</v>
      </c>
      <c r="C30" s="40">
        <f t="shared" si="4"/>
        <v>0</v>
      </c>
      <c r="D30" s="41">
        <f t="shared" si="6"/>
        <v>0</v>
      </c>
      <c r="E30" s="43">
        <f>B19</f>
        <v>800</v>
      </c>
      <c r="F30" s="40">
        <f t="shared" si="5"/>
        <v>0.0003</v>
      </c>
      <c r="G30" s="41">
        <f>E30*F30</f>
        <v>0.24</v>
      </c>
      <c r="H30" s="41">
        <f>G30-D30</f>
        <v>0.24</v>
      </c>
      <c r="I30" s="42">
        <f>IF(ISERROR(H30/D30),0,H30/D30)</f>
        <v>0</v>
      </c>
      <c r="J30" s="62">
        <f>IF(ISERROR(G30/G$47),0,G30/G$47)</f>
        <v>0.0017119474738176094</v>
      </c>
    </row>
    <row r="31" spans="1:10" ht="12">
      <c r="A31" s="61" t="str">
        <f t="shared" si="3"/>
        <v>Rate Rider for Deferral/Variance Account Disposition - effective until May 31, 2013</v>
      </c>
      <c r="B31" s="43">
        <f>B19</f>
        <v>800</v>
      </c>
      <c r="C31" s="40">
        <f t="shared" si="4"/>
        <v>0.0044</v>
      </c>
      <c r="D31" s="41">
        <f t="shared" si="6"/>
        <v>3.52</v>
      </c>
      <c r="E31" s="43">
        <f>B19</f>
        <v>800</v>
      </c>
      <c r="F31" s="40">
        <f t="shared" si="5"/>
        <v>0.0046</v>
      </c>
      <c r="G31" s="41">
        <f t="shared" si="7"/>
        <v>3.6799999999999997</v>
      </c>
      <c r="H31" s="41">
        <f t="shared" si="1"/>
        <v>0.1599999999999997</v>
      </c>
      <c r="I31" s="42">
        <f t="shared" si="2"/>
        <v>0.045454545454545366</v>
      </c>
      <c r="J31" s="62">
        <f t="shared" si="0"/>
        <v>0.02624986126520334</v>
      </c>
    </row>
    <row r="32" spans="1:10" ht="12">
      <c r="A32" s="61" t="str">
        <f t="shared" si="3"/>
        <v>Rate Rider for Deferral/Variance Account Disposition - effective until May 31, 2013</v>
      </c>
      <c r="B32" s="43">
        <f>B19</f>
        <v>800</v>
      </c>
      <c r="C32" s="40">
        <f t="shared" si="4"/>
        <v>0</v>
      </c>
      <c r="D32" s="41">
        <f t="shared" si="6"/>
        <v>0</v>
      </c>
      <c r="E32" s="43">
        <f>B19</f>
        <v>800</v>
      </c>
      <c r="F32" s="40">
        <f t="shared" si="5"/>
        <v>-0.0061</v>
      </c>
      <c r="G32" s="41">
        <f t="shared" si="7"/>
        <v>-4.88</v>
      </c>
      <c r="H32" s="41">
        <f t="shared" si="1"/>
        <v>-4.88</v>
      </c>
      <c r="I32" s="42">
        <f t="shared" si="2"/>
        <v>0</v>
      </c>
      <c r="J32" s="62">
        <f t="shared" si="0"/>
        <v>-0.03480959863429139</v>
      </c>
    </row>
    <row r="33" spans="1:10" ht="12.75" thickBot="1">
      <c r="A33" s="61" t="str">
        <f t="shared" si="3"/>
        <v>Rate Rider for Tax Changes - effective until December 31, 2012</v>
      </c>
      <c r="B33" s="43">
        <f>B19</f>
        <v>800</v>
      </c>
      <c r="C33" s="40">
        <f t="shared" si="4"/>
        <v>0</v>
      </c>
      <c r="D33" s="41">
        <f t="shared" si="6"/>
        <v>0</v>
      </c>
      <c r="E33" s="43">
        <f>B19</f>
        <v>800</v>
      </c>
      <c r="F33" s="40">
        <f t="shared" si="5"/>
        <v>-0.0002</v>
      </c>
      <c r="G33" s="41">
        <f t="shared" si="7"/>
        <v>-0.16</v>
      </c>
      <c r="H33" s="41">
        <f t="shared" si="1"/>
        <v>-0.16</v>
      </c>
      <c r="I33" s="42">
        <f t="shared" si="2"/>
        <v>0</v>
      </c>
      <c r="J33" s="62">
        <f t="shared" si="0"/>
        <v>-0.0011412983158784063</v>
      </c>
    </row>
    <row r="34" spans="1:10" ht="12.75" thickBot="1">
      <c r="A34" s="73" t="s">
        <v>40</v>
      </c>
      <c r="B34" s="74"/>
      <c r="C34" s="75"/>
      <c r="D34" s="80">
        <f>SUM(D27:D33)</f>
        <v>48.96</v>
      </c>
      <c r="E34" s="75"/>
      <c r="F34" s="75"/>
      <c r="G34" s="76">
        <f>SUM(G27:G33)</f>
        <v>45.550000000000004</v>
      </c>
      <c r="H34" s="76">
        <f t="shared" si="1"/>
        <v>-3.4099999999999966</v>
      </c>
      <c r="I34" s="77">
        <f t="shared" si="2"/>
        <v>-0.06964869281045745</v>
      </c>
      <c r="J34" s="78">
        <f t="shared" si="0"/>
        <v>0.3249133643016338</v>
      </c>
    </row>
    <row r="35" spans="1:10" ht="12">
      <c r="A35" s="69" t="str">
        <f>A11</f>
        <v>Retail Transmission Rate - Network Service Rate</v>
      </c>
      <c r="B35" s="44">
        <f>B19*Rates!D74</f>
        <v>869.12</v>
      </c>
      <c r="C35" s="45">
        <f>C11</f>
        <v>0.0057</v>
      </c>
      <c r="D35" s="47">
        <f>B35*C35</f>
        <v>4.953984</v>
      </c>
      <c r="E35" s="44">
        <f>B19*H19</f>
        <v>869.12</v>
      </c>
      <c r="F35" s="45">
        <f>D11</f>
        <v>0.0071</v>
      </c>
      <c r="G35" s="47">
        <f>E35*F35</f>
        <v>6.170752</v>
      </c>
      <c r="H35" s="47">
        <f t="shared" si="1"/>
        <v>1.216768</v>
      </c>
      <c r="I35" s="48">
        <f t="shared" si="2"/>
        <v>0.2456140350877193</v>
      </c>
      <c r="J35" s="72">
        <f t="shared" si="0"/>
        <v>0.04401668040814567</v>
      </c>
    </row>
    <row r="36" spans="1:10" ht="12.75" thickBot="1">
      <c r="A36" s="63" t="str">
        <f>A12</f>
        <v>Retail Transmission Rate - Line and Transformation Connection Service Rate</v>
      </c>
      <c r="B36" s="64">
        <f>B19*Rates!D74</f>
        <v>869.12</v>
      </c>
      <c r="C36" s="65">
        <f>C12</f>
        <v>0.0047</v>
      </c>
      <c r="D36" s="66">
        <f>B36*C36</f>
        <v>4.0848640000000005</v>
      </c>
      <c r="E36" s="64">
        <f>B19*H19</f>
        <v>869.12</v>
      </c>
      <c r="F36" s="65">
        <f>D12</f>
        <v>0.0051</v>
      </c>
      <c r="G36" s="66">
        <f>E36*F36</f>
        <v>4.432512</v>
      </c>
      <c r="H36" s="66">
        <f t="shared" si="1"/>
        <v>0.3476479999999995</v>
      </c>
      <c r="I36" s="67">
        <f t="shared" si="2"/>
        <v>0.08510638297872328</v>
      </c>
      <c r="J36" s="68">
        <f t="shared" si="0"/>
        <v>0.03161761550444266</v>
      </c>
    </row>
    <row r="37" spans="1:10" ht="12.75" thickBot="1">
      <c r="A37" s="73" t="s">
        <v>32</v>
      </c>
      <c r="B37" s="74"/>
      <c r="C37" s="75"/>
      <c r="D37" s="76">
        <f>SUM(D35:D36)</f>
        <v>9.038848000000002</v>
      </c>
      <c r="E37" s="75"/>
      <c r="F37" s="75"/>
      <c r="G37" s="76">
        <f>SUM(G35:G36)</f>
        <v>10.603264</v>
      </c>
      <c r="H37" s="76">
        <f t="shared" si="1"/>
        <v>1.5644159999999978</v>
      </c>
      <c r="I37" s="77">
        <f t="shared" si="2"/>
        <v>0.1730769230769228</v>
      </c>
      <c r="J37" s="78">
        <f t="shared" si="0"/>
        <v>0.07563429591258833</v>
      </c>
    </row>
    <row r="38" spans="1:10" ht="12.75" thickBot="1">
      <c r="A38" s="81" t="s">
        <v>41</v>
      </c>
      <c r="B38" s="82"/>
      <c r="C38" s="83"/>
      <c r="D38" s="84">
        <f>D34+D37</f>
        <v>57.998848</v>
      </c>
      <c r="E38" s="83"/>
      <c r="F38" s="83"/>
      <c r="G38" s="84">
        <f>G34+G37</f>
        <v>56.15326400000001</v>
      </c>
      <c r="H38" s="84">
        <f t="shared" si="1"/>
        <v>-1.8455839999999952</v>
      </c>
      <c r="I38" s="85">
        <f t="shared" si="2"/>
        <v>-0.03182104582491009</v>
      </c>
      <c r="J38" s="86">
        <f t="shared" si="0"/>
        <v>0.40054766021422217</v>
      </c>
    </row>
    <row r="39" spans="1:10" ht="12">
      <c r="A39" s="69" t="str">
        <f>A13</f>
        <v>Wholesale Market Service Rate</v>
      </c>
      <c r="B39" s="44">
        <f>B19*Rates!D74</f>
        <v>869.12</v>
      </c>
      <c r="C39" s="45">
        <f>C13</f>
        <v>0.0052</v>
      </c>
      <c r="D39" s="47">
        <f>B39*C39</f>
        <v>4.519424</v>
      </c>
      <c r="E39" s="44">
        <f>B19*H19</f>
        <v>869.12</v>
      </c>
      <c r="F39" s="45">
        <f>D13</f>
        <v>0.0052</v>
      </c>
      <c r="G39" s="47">
        <f>E39*F39</f>
        <v>4.519424</v>
      </c>
      <c r="H39" s="47">
        <f t="shared" si="1"/>
        <v>0</v>
      </c>
      <c r="I39" s="48">
        <f t="shared" si="2"/>
        <v>0</v>
      </c>
      <c r="J39" s="72">
        <f t="shared" si="0"/>
        <v>0.03223756874962781</v>
      </c>
    </row>
    <row r="40" spans="1:10" ht="12">
      <c r="A40" s="61" t="str">
        <f>A14</f>
        <v>Rural Rate Protection Charge</v>
      </c>
      <c r="B40" s="39">
        <f>B19*Rates!D74</f>
        <v>869.12</v>
      </c>
      <c r="C40" s="40">
        <f>C14</f>
        <v>0.0013</v>
      </c>
      <c r="D40" s="41">
        <f>B40*C40</f>
        <v>1.129856</v>
      </c>
      <c r="E40" s="39">
        <f>B19*H19</f>
        <v>869.12</v>
      </c>
      <c r="F40" s="40">
        <f>D14</f>
        <v>0.0013</v>
      </c>
      <c r="G40" s="41">
        <f>E40*F40</f>
        <v>1.129856</v>
      </c>
      <c r="H40" s="41">
        <f t="shared" si="1"/>
        <v>0</v>
      </c>
      <c r="I40" s="42">
        <f t="shared" si="2"/>
        <v>0</v>
      </c>
      <c r="J40" s="62">
        <f t="shared" si="0"/>
        <v>0.008059392187406953</v>
      </c>
    </row>
    <row r="41" spans="1:10" ht="12">
      <c r="A41" s="63" t="s">
        <v>45</v>
      </c>
      <c r="B41" s="64">
        <f>B19*Rates!D74</f>
        <v>869.12</v>
      </c>
      <c r="C41" s="65">
        <f>Rates!D16</f>
        <v>0</v>
      </c>
      <c r="D41" s="66">
        <f>B41*C41</f>
        <v>0</v>
      </c>
      <c r="E41" s="64">
        <f>B19*Rates!F74</f>
        <v>869.12</v>
      </c>
      <c r="F41" s="65">
        <f>Rates!F16</f>
        <v>0</v>
      </c>
      <c r="G41" s="66">
        <f>E41*F41</f>
        <v>0</v>
      </c>
      <c r="H41" s="41">
        <f>G41-D41</f>
        <v>0</v>
      </c>
      <c r="I41" s="42">
        <f>IF(ISERROR(H41/D41),0,H41/D41)</f>
        <v>0</v>
      </c>
      <c r="J41" s="62">
        <f t="shared" si="0"/>
        <v>0</v>
      </c>
    </row>
    <row r="42" spans="1:10" ht="12.75" thickBot="1">
      <c r="A42" s="63" t="str">
        <f>A16</f>
        <v>Standard Supply Service - Administarive Charge (if applicable)</v>
      </c>
      <c r="B42" s="79">
        <f>B27</f>
        <v>1</v>
      </c>
      <c r="C42" s="66">
        <f>C16</f>
        <v>0.25</v>
      </c>
      <c r="D42" s="66">
        <f>B42*C42</f>
        <v>0.25</v>
      </c>
      <c r="E42" s="64">
        <f>B27</f>
        <v>1</v>
      </c>
      <c r="F42" s="66">
        <f>D16</f>
        <v>0.25</v>
      </c>
      <c r="G42" s="66">
        <f>E42*F42</f>
        <v>0.25</v>
      </c>
      <c r="H42" s="66">
        <f t="shared" si="1"/>
        <v>0</v>
      </c>
      <c r="I42" s="67">
        <f t="shared" si="2"/>
        <v>0</v>
      </c>
      <c r="J42" s="68">
        <f t="shared" si="0"/>
        <v>0.0017832786185600098</v>
      </c>
    </row>
    <row r="43" spans="1:10" ht="12.75" thickBot="1">
      <c r="A43" s="73" t="s">
        <v>42</v>
      </c>
      <c r="B43" s="74"/>
      <c r="C43" s="75"/>
      <c r="D43" s="76">
        <f>SUM(D39:D42)</f>
        <v>5.89928</v>
      </c>
      <c r="E43" s="75"/>
      <c r="F43" s="75"/>
      <c r="G43" s="76">
        <f>SUM(G39:G42)</f>
        <v>5.89928</v>
      </c>
      <c r="H43" s="76">
        <f t="shared" si="1"/>
        <v>0</v>
      </c>
      <c r="I43" s="77">
        <f t="shared" si="2"/>
        <v>0</v>
      </c>
      <c r="J43" s="78">
        <f t="shared" si="0"/>
        <v>0.04208023955559478</v>
      </c>
    </row>
    <row r="44" spans="1:10" ht="12.75" thickBot="1">
      <c r="A44" s="87" t="s">
        <v>19</v>
      </c>
      <c r="B44" s="88">
        <f>B19</f>
        <v>800</v>
      </c>
      <c r="C44" s="89">
        <f>Rates!D68</f>
        <v>0.002</v>
      </c>
      <c r="D44" s="90">
        <f>B44*C44</f>
        <v>1.6</v>
      </c>
      <c r="E44" s="88">
        <f>B19</f>
        <v>800</v>
      </c>
      <c r="F44" s="89">
        <f>Rates!F68</f>
        <v>0.002</v>
      </c>
      <c r="G44" s="90">
        <f>E44*F44</f>
        <v>1.6</v>
      </c>
      <c r="H44" s="90">
        <f t="shared" si="1"/>
        <v>0</v>
      </c>
      <c r="I44" s="91">
        <f t="shared" si="2"/>
        <v>0</v>
      </c>
      <c r="J44" s="92">
        <f t="shared" si="0"/>
        <v>0.011412983158784064</v>
      </c>
    </row>
    <row r="45" spans="1:10" ht="12.75" thickBot="1">
      <c r="A45" s="73" t="s">
        <v>43</v>
      </c>
      <c r="B45" s="74"/>
      <c r="C45" s="75"/>
      <c r="D45" s="76">
        <f>D26+D38+D43+D44</f>
        <v>125.90860800000002</v>
      </c>
      <c r="E45" s="75"/>
      <c r="F45" s="75"/>
      <c r="G45" s="76">
        <f>G26+G38+G43+G44</f>
        <v>124.06302400000001</v>
      </c>
      <c r="H45" s="76">
        <f t="shared" si="1"/>
        <v>-1.8455840000000023</v>
      </c>
      <c r="I45" s="77">
        <f t="shared" si="2"/>
        <v>-0.01465812408949833</v>
      </c>
      <c r="J45" s="78">
        <f t="shared" si="0"/>
        <v>0.8849557522123894</v>
      </c>
    </row>
    <row r="46" spans="1:10" ht="12.75" thickBot="1">
      <c r="A46" s="93" t="s">
        <v>46</v>
      </c>
      <c r="B46" s="94"/>
      <c r="C46" s="95">
        <f>Rates!D75</f>
        <v>0.13</v>
      </c>
      <c r="D46" s="90">
        <f>C46*D45</f>
        <v>16.368119040000003</v>
      </c>
      <c r="E46" s="96"/>
      <c r="F46" s="95">
        <f>Rates!F75</f>
        <v>0.13</v>
      </c>
      <c r="G46" s="90">
        <f>F46*G45</f>
        <v>16.128193120000002</v>
      </c>
      <c r="H46" s="90">
        <f t="shared" si="1"/>
        <v>-0.23992592000000101</v>
      </c>
      <c r="I46" s="91">
        <f t="shared" si="2"/>
        <v>-0.014658124089498372</v>
      </c>
      <c r="J46" s="92">
        <f t="shared" si="0"/>
        <v>0.11504424778761063</v>
      </c>
    </row>
    <row r="47" spans="1:10" ht="12.75" thickBot="1">
      <c r="A47" s="81" t="s">
        <v>33</v>
      </c>
      <c r="B47" s="82"/>
      <c r="C47" s="83"/>
      <c r="D47" s="104">
        <f>D45+D46</f>
        <v>142.27672704000003</v>
      </c>
      <c r="E47" s="83"/>
      <c r="F47" s="83"/>
      <c r="G47" s="104">
        <f>G45+G46</f>
        <v>140.19121712</v>
      </c>
      <c r="H47" s="104">
        <f t="shared" si="1"/>
        <v>-2.085509920000021</v>
      </c>
      <c r="I47" s="85">
        <f t="shared" si="2"/>
        <v>-0.014658124089498459</v>
      </c>
      <c r="J47" s="86">
        <f t="shared" si="0"/>
        <v>1</v>
      </c>
    </row>
    <row r="48" spans="1:10" ht="12">
      <c r="A48" s="130"/>
      <c r="B48" s="131"/>
      <c r="C48" s="132"/>
      <c r="D48" s="132"/>
      <c r="E48" s="132"/>
      <c r="F48" s="132"/>
      <c r="G48" s="132"/>
      <c r="H48" s="132"/>
      <c r="I48" s="132"/>
      <c r="J48" s="133"/>
    </row>
    <row r="49" spans="1:10" ht="12">
      <c r="A49" s="134" t="s">
        <v>66</v>
      </c>
      <c r="B49" s="135"/>
      <c r="C49" s="136"/>
      <c r="D49" s="137">
        <f>D47*0.1</f>
        <v>14.227672704000003</v>
      </c>
      <c r="E49" s="136"/>
      <c r="F49" s="136"/>
      <c r="G49" s="137">
        <f>G47*0.1</f>
        <v>14.019121712</v>
      </c>
      <c r="H49" s="136"/>
      <c r="I49" s="136"/>
      <c r="J49" s="138"/>
    </row>
    <row r="50" spans="1:10" ht="12.75" thickBot="1">
      <c r="A50" s="139" t="s">
        <v>67</v>
      </c>
      <c r="B50" s="140"/>
      <c r="C50" s="141"/>
      <c r="D50" s="142">
        <f>D47-D49</f>
        <v>128.049054336</v>
      </c>
      <c r="E50" s="141"/>
      <c r="F50" s="141"/>
      <c r="G50" s="142">
        <f>G47-G49</f>
        <v>126.172095408</v>
      </c>
      <c r="H50" s="144">
        <f>G50-D50</f>
        <v>-1.8769589280000076</v>
      </c>
      <c r="I50" s="145">
        <f>H50/D50</f>
        <v>-0.01465812408949837</v>
      </c>
      <c r="J50" s="143"/>
    </row>
  </sheetData>
  <sheetProtection/>
  <mergeCells count="4">
    <mergeCell ref="A22:A23"/>
    <mergeCell ref="B22:B23"/>
    <mergeCell ref="E22:E23"/>
    <mergeCell ref="H22:J22"/>
  </mergeCells>
  <printOptions/>
  <pageMargins left="0.75" right="0.75" top="1" bottom="1" header="0.5" footer="0.5"/>
  <pageSetup fitToHeight="1" fitToWidth="1" horizontalDpi="600" verticalDpi="600" orientation="landscape" scale="73" r:id="rId1"/>
  <headerFooter alignWithMargins="0">
    <oddHeader xml:space="preserve">&amp;C&amp;"Arial,Bold"&amp;16Electricity Distribution Impacts
Rates Effective January 1, 2012&amp;"Arial,Regular"&amp;10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zoomScalePageLayoutView="0" workbookViewId="0" topLeftCell="A4">
      <selection activeCell="F31" sqref="F31"/>
    </sheetView>
  </sheetViews>
  <sheetFormatPr defaultColWidth="9.140625" defaultRowHeight="12.75"/>
  <cols>
    <col min="1" max="1" width="73.140625" style="8" bestFit="1" customWidth="1"/>
    <col min="2" max="2" width="10.421875" style="11" bestFit="1" customWidth="1"/>
    <col min="3" max="3" width="10.00390625" style="8" bestFit="1" customWidth="1"/>
    <col min="4" max="4" width="11.8515625" style="8" bestFit="1" customWidth="1"/>
    <col min="5" max="6" width="9.28125" style="8" bestFit="1" customWidth="1"/>
    <col min="7" max="7" width="11.57421875" style="8" bestFit="1" customWidth="1"/>
    <col min="8" max="8" width="10.57421875" style="8" bestFit="1" customWidth="1"/>
    <col min="9" max="9" width="9.28125" style="8" bestFit="1" customWidth="1"/>
    <col min="10" max="10" width="11.7109375" style="8" bestFit="1" customWidth="1"/>
    <col min="11" max="16384" width="9.140625" style="8" customWidth="1"/>
  </cols>
  <sheetData>
    <row r="2" ht="12.75" thickBot="1"/>
    <row r="3" spans="1:4" ht="36.75" thickBot="1">
      <c r="A3" s="14" t="str">
        <f>Rates!A4</f>
        <v>Residential - R1</v>
      </c>
      <c r="B3" s="16" t="str">
        <f>Rates!B3</f>
        <v>Metric</v>
      </c>
      <c r="C3" s="15" t="str">
        <f>Rates!D3</f>
        <v>Current Approved Rates</v>
      </c>
      <c r="D3" s="15" t="str">
        <f>Rates!F3</f>
        <v>Proposed January 1, 2012</v>
      </c>
    </row>
    <row r="4" spans="1:4" ht="12">
      <c r="A4" s="23" t="str">
        <f>Rates!A5</f>
        <v>Monthly Service Charge</v>
      </c>
      <c r="B4" s="24" t="str">
        <f>Rates!B5</f>
        <v>$</v>
      </c>
      <c r="C4" s="25">
        <f>Rates!D5</f>
        <v>20.92</v>
      </c>
      <c r="D4" s="26">
        <f>Rates!F5</f>
        <v>21.51</v>
      </c>
    </row>
    <row r="5" spans="1:4" ht="12">
      <c r="A5" s="27" t="str">
        <f>Rates!A6</f>
        <v>Smart Meter Rate Adder</v>
      </c>
      <c r="B5" s="28" t="str">
        <f>Rates!B6</f>
        <v>$</v>
      </c>
      <c r="C5" s="29">
        <f>Rates!D6</f>
        <v>1</v>
      </c>
      <c r="D5" s="30">
        <f>Rates!F6</f>
        <v>1</v>
      </c>
    </row>
    <row r="6" spans="1:4" ht="12">
      <c r="A6" s="27" t="str">
        <f>Rates!A7</f>
        <v>Distribution Volumetric Rate</v>
      </c>
      <c r="B6" s="28" t="str">
        <f>Rates!B7</f>
        <v>$/kWh</v>
      </c>
      <c r="C6" s="31">
        <f>Rates!D7</f>
        <v>0.0294</v>
      </c>
      <c r="D6" s="32">
        <f>Rates!F7</f>
        <v>0.0302</v>
      </c>
    </row>
    <row r="7" spans="1:4" ht="12">
      <c r="A7" s="27" t="str">
        <f>Rates!A8</f>
        <v>Rate Rider for Foregone Revenue Recovery - effective until December 31, 2012</v>
      </c>
      <c r="B7" s="28" t="str">
        <f>Rates!B8</f>
        <v>$/kWh</v>
      </c>
      <c r="C7" s="31">
        <f>Rates!D8</f>
        <v>0</v>
      </c>
      <c r="D7" s="32">
        <f>Rates!F8</f>
        <v>0.0003</v>
      </c>
    </row>
    <row r="8" spans="1:4" ht="12">
      <c r="A8" s="27" t="str">
        <f>Rates!A9</f>
        <v>Rate Rider for Deferral/Variance Account Disposition - effective until May 31, 2013</v>
      </c>
      <c r="B8" s="28" t="str">
        <f>Rates!B9</f>
        <v>$/kWh</v>
      </c>
      <c r="C8" s="31">
        <f>Rates!D9</f>
        <v>0.0044</v>
      </c>
      <c r="D8" s="32">
        <f>Rates!F9</f>
        <v>0.0046</v>
      </c>
    </row>
    <row r="9" spans="1:4" ht="12">
      <c r="A9" s="27" t="str">
        <f>Rates!A10</f>
        <v>Rate Rider for Deferral/Variance Account Disposition - effective until May 31, 2013</v>
      </c>
      <c r="B9" s="28" t="str">
        <f>Rates!B10</f>
        <v>$/kWh</v>
      </c>
      <c r="C9" s="31"/>
      <c r="D9" s="32">
        <f>Rates!F10</f>
        <v>-0.0061</v>
      </c>
    </row>
    <row r="10" spans="1:4" ht="12">
      <c r="A10" s="27" t="str">
        <f>Rates!A11</f>
        <v>Rate Rider for Tax Changes - effective until December 31, 2012</v>
      </c>
      <c r="B10" s="28" t="str">
        <f>Rates!B11</f>
        <v>$/kWh</v>
      </c>
      <c r="C10" s="31">
        <f>Rates!D11</f>
        <v>0</v>
      </c>
      <c r="D10" s="32">
        <f>Rates!F11</f>
        <v>-0.0002</v>
      </c>
    </row>
    <row r="11" spans="1:4" ht="12">
      <c r="A11" s="27" t="str">
        <f>Rates!A12</f>
        <v>Retail Transmission Rate - Network Service Rate</v>
      </c>
      <c r="B11" s="28" t="str">
        <f>Rates!B12</f>
        <v>$/kWh</v>
      </c>
      <c r="C11" s="31">
        <f>Rates!D12</f>
        <v>0.0057</v>
      </c>
      <c r="D11" s="32">
        <f>Rates!F12</f>
        <v>0.0071</v>
      </c>
    </row>
    <row r="12" spans="1:4" ht="12">
      <c r="A12" s="27" t="str">
        <f>Rates!A13</f>
        <v>Retail Transmission Rate - Line and Transformation Connection Service Rate</v>
      </c>
      <c r="B12" s="28" t="str">
        <f>Rates!B13</f>
        <v>$/kWh</v>
      </c>
      <c r="C12" s="31">
        <f>Rates!D13</f>
        <v>0.0047</v>
      </c>
      <c r="D12" s="32">
        <f>Rates!F13</f>
        <v>0.0051</v>
      </c>
    </row>
    <row r="13" spans="1:4" ht="12">
      <c r="A13" s="19" t="str">
        <f>Rates!A14</f>
        <v>Wholesale Market Service Rate</v>
      </c>
      <c r="B13" s="20" t="str">
        <f>Rates!B14</f>
        <v>$/kWh</v>
      </c>
      <c r="C13" s="21">
        <f>Rates!D14</f>
        <v>0.0052</v>
      </c>
      <c r="D13" s="22">
        <f>Rates!F14</f>
        <v>0.0052</v>
      </c>
    </row>
    <row r="14" spans="1:4" ht="12">
      <c r="A14" s="27" t="str">
        <f>Rates!A15</f>
        <v>Rural Rate Protection Charge</v>
      </c>
      <c r="B14" s="28" t="str">
        <f>Rates!B15</f>
        <v>$/kWh</v>
      </c>
      <c r="C14" s="31">
        <f>Rates!D15</f>
        <v>0.0013</v>
      </c>
      <c r="D14" s="32">
        <f>Rates!F15</f>
        <v>0.0013</v>
      </c>
    </row>
    <row r="15" spans="1:4" ht="12">
      <c r="A15" s="106" t="str">
        <f>Rates!A16</f>
        <v>Special Purpose Charge</v>
      </c>
      <c r="B15" s="28" t="str">
        <f>Rates!B16</f>
        <v>$/kWh</v>
      </c>
      <c r="C15" s="31">
        <f>Rates!D16</f>
        <v>0</v>
      </c>
      <c r="D15" s="32">
        <f>Rates!F16</f>
        <v>0</v>
      </c>
    </row>
    <row r="16" spans="1:4" ht="12.75" thickBot="1">
      <c r="A16" s="12" t="str">
        <f>Rates!A17</f>
        <v>Standard Supply Service - Administarive Charge (if applicable)</v>
      </c>
      <c r="B16" s="17" t="str">
        <f>Rates!B17</f>
        <v>$</v>
      </c>
      <c r="C16" s="18">
        <f>Rates!D17</f>
        <v>0.25</v>
      </c>
      <c r="D16" s="13">
        <f>Rates!F17</f>
        <v>0.25</v>
      </c>
    </row>
    <row r="18" ht="12.75" thickBot="1"/>
    <row r="19" spans="1:8" ht="13.5" thickBot="1">
      <c r="A19" s="33" t="s">
        <v>26</v>
      </c>
      <c r="B19" s="34">
        <v>2000</v>
      </c>
      <c r="C19" s="35" t="s">
        <v>27</v>
      </c>
      <c r="D19" s="36"/>
      <c r="E19" s="35" t="s">
        <v>28</v>
      </c>
      <c r="G19" s="102" t="s">
        <v>23</v>
      </c>
      <c r="H19" s="53">
        <f>Rates!F74</f>
        <v>1.0864</v>
      </c>
    </row>
    <row r="20" spans="1:5" ht="13.5" thickBot="1">
      <c r="A20" s="33" t="s">
        <v>29</v>
      </c>
      <c r="B20" s="34">
        <v>750</v>
      </c>
      <c r="C20" s="35" t="s">
        <v>27</v>
      </c>
      <c r="D20" s="37" t="s">
        <v>30</v>
      </c>
      <c r="E20" s="38" t="str">
        <f>IF(D19&gt;0,B19/(D19*24*30.4)," ")</f>
        <v> </v>
      </c>
    </row>
    <row r="21" ht="12.75" thickBot="1"/>
    <row r="22" spans="1:10" ht="12.75" customHeight="1">
      <c r="A22" s="148" t="str">
        <f>A3</f>
        <v>Residential - R1</v>
      </c>
      <c r="B22" s="150" t="s">
        <v>31</v>
      </c>
      <c r="C22" s="49" t="s">
        <v>37</v>
      </c>
      <c r="D22" s="49" t="s">
        <v>38</v>
      </c>
      <c r="E22" s="150" t="s">
        <v>31</v>
      </c>
      <c r="F22" s="49" t="s">
        <v>37</v>
      </c>
      <c r="G22" s="49" t="s">
        <v>38</v>
      </c>
      <c r="H22" s="152" t="s">
        <v>44</v>
      </c>
      <c r="I22" s="152"/>
      <c r="J22" s="153"/>
    </row>
    <row r="23" spans="1:10" ht="12.75" thickBot="1">
      <c r="A23" s="149"/>
      <c r="B23" s="151"/>
      <c r="C23" s="50" t="s">
        <v>15</v>
      </c>
      <c r="D23" s="50" t="s">
        <v>15</v>
      </c>
      <c r="E23" s="151"/>
      <c r="F23" s="50" t="s">
        <v>15</v>
      </c>
      <c r="G23" s="50" t="s">
        <v>15</v>
      </c>
      <c r="H23" s="50" t="s">
        <v>15</v>
      </c>
      <c r="I23" s="51" t="s">
        <v>22</v>
      </c>
      <c r="J23" s="52" t="s">
        <v>34</v>
      </c>
    </row>
    <row r="24" spans="1:10" ht="12">
      <c r="A24" s="54" t="s">
        <v>35</v>
      </c>
      <c r="B24" s="55">
        <f>IF(B19*Rates!D74&gt;B20,B20,B19*Rates!D74)</f>
        <v>750</v>
      </c>
      <c r="C24" s="56">
        <f>Rates!D69</f>
        <v>0.068</v>
      </c>
      <c r="D24" s="57">
        <f>B24*C24</f>
        <v>51.00000000000001</v>
      </c>
      <c r="E24" s="55">
        <f>IF(B19*H19&gt;B20,B20,B19*H19)</f>
        <v>750</v>
      </c>
      <c r="F24" s="56">
        <f>Rates!F69</f>
        <v>0.068</v>
      </c>
      <c r="G24" s="57">
        <f>E24*F24</f>
        <v>51.00000000000001</v>
      </c>
      <c r="H24" s="58">
        <f>G24-D24</f>
        <v>0</v>
      </c>
      <c r="I24" s="59">
        <f>IF(ISERROR(H24/D24),1,H24/D24)</f>
        <v>0</v>
      </c>
      <c r="J24" s="60">
        <f aca="true" t="shared" si="0" ref="J24:J47">IF(ISERROR(G24/G$47),0,G24/G$47)</f>
        <v>0.1564975995318044</v>
      </c>
    </row>
    <row r="25" spans="1:10" ht="12.75" thickBot="1">
      <c r="A25" s="63" t="s">
        <v>36</v>
      </c>
      <c r="B25" s="64">
        <f>IF(B19*Rates!D74&gt;=B20,B19*Rates!D74-B20,0)</f>
        <v>1422.8000000000002</v>
      </c>
      <c r="C25" s="65">
        <f>Rates!D70</f>
        <v>0.079</v>
      </c>
      <c r="D25" s="66">
        <f>B25*C25</f>
        <v>112.40120000000002</v>
      </c>
      <c r="E25" s="64">
        <f>IF(B19*H19&gt;=B20,B19*H19-B20,0)</f>
        <v>1422.8000000000002</v>
      </c>
      <c r="F25" s="65">
        <f>Rates!F70</f>
        <v>0.079</v>
      </c>
      <c r="G25" s="66">
        <f>E25*F25</f>
        <v>112.40120000000002</v>
      </c>
      <c r="H25" s="66">
        <f aca="true" t="shared" si="1" ref="H25:H47">G25-D25</f>
        <v>0</v>
      </c>
      <c r="I25" s="67">
        <f aca="true" t="shared" si="2" ref="I25:I47">IF(ISERROR(H25/D25),0,H25/D25)</f>
        <v>0</v>
      </c>
      <c r="J25" s="68">
        <f t="shared" si="0"/>
        <v>0.3449121173430245</v>
      </c>
    </row>
    <row r="26" spans="1:10" ht="12.75" thickBot="1">
      <c r="A26" s="73" t="s">
        <v>39</v>
      </c>
      <c r="B26" s="74"/>
      <c r="C26" s="75"/>
      <c r="D26" s="76">
        <f>SUM(D24:D25)</f>
        <v>163.40120000000002</v>
      </c>
      <c r="E26" s="75"/>
      <c r="F26" s="75"/>
      <c r="G26" s="76">
        <f>SUM(G24:G25)</f>
        <v>163.40120000000002</v>
      </c>
      <c r="H26" s="76">
        <f t="shared" si="1"/>
        <v>0</v>
      </c>
      <c r="I26" s="77">
        <f t="shared" si="2"/>
        <v>0</v>
      </c>
      <c r="J26" s="78">
        <f t="shared" si="0"/>
        <v>0.5014097168748289</v>
      </c>
    </row>
    <row r="27" spans="1:10" ht="12">
      <c r="A27" s="69" t="str">
        <f aca="true" t="shared" si="3" ref="A27:A33">A4</f>
        <v>Monthly Service Charge</v>
      </c>
      <c r="B27" s="70">
        <v>1</v>
      </c>
      <c r="C27" s="46">
        <f aca="true" t="shared" si="4" ref="C27:C33">C4</f>
        <v>20.92</v>
      </c>
      <c r="D27" s="46">
        <f>B27*C27</f>
        <v>20.92</v>
      </c>
      <c r="E27" s="71">
        <f>B27</f>
        <v>1</v>
      </c>
      <c r="F27" s="47">
        <f aca="true" t="shared" si="5" ref="F27:F33">D4</f>
        <v>21.51</v>
      </c>
      <c r="G27" s="47">
        <f>E27*F27</f>
        <v>21.51</v>
      </c>
      <c r="H27" s="47">
        <f t="shared" si="1"/>
        <v>0.5899999999999999</v>
      </c>
      <c r="I27" s="48">
        <f t="shared" si="2"/>
        <v>0.028202676864244734</v>
      </c>
      <c r="J27" s="72">
        <f t="shared" si="0"/>
        <v>0.06600516403782573</v>
      </c>
    </row>
    <row r="28" spans="1:10" ht="12">
      <c r="A28" s="61" t="str">
        <f t="shared" si="3"/>
        <v>Smart Meter Rate Adder</v>
      </c>
      <c r="B28" s="43">
        <f>B27</f>
        <v>1</v>
      </c>
      <c r="C28" s="41">
        <f t="shared" si="4"/>
        <v>1</v>
      </c>
      <c r="D28" s="41">
        <f aca="true" t="shared" si="6" ref="D28:D33">B28*C28</f>
        <v>1</v>
      </c>
      <c r="E28" s="43">
        <f>B28</f>
        <v>1</v>
      </c>
      <c r="F28" s="41">
        <f t="shared" si="5"/>
        <v>1</v>
      </c>
      <c r="G28" s="41">
        <f aca="true" t="shared" si="7" ref="G28:G33">E28*F28</f>
        <v>1</v>
      </c>
      <c r="H28" s="41">
        <f t="shared" si="1"/>
        <v>0</v>
      </c>
      <c r="I28" s="42">
        <f>IF(ISERROR(H28/D28),1,H28/D28)</f>
        <v>0</v>
      </c>
      <c r="J28" s="62">
        <f t="shared" si="0"/>
        <v>0.0030685803829765563</v>
      </c>
    </row>
    <row r="29" spans="1:10" ht="12">
      <c r="A29" s="61" t="str">
        <f t="shared" si="3"/>
        <v>Distribution Volumetric Rate</v>
      </c>
      <c r="B29" s="43">
        <f>B19</f>
        <v>2000</v>
      </c>
      <c r="C29" s="40">
        <f t="shared" si="4"/>
        <v>0.0294</v>
      </c>
      <c r="D29" s="41">
        <f t="shared" si="6"/>
        <v>58.8</v>
      </c>
      <c r="E29" s="43">
        <f>B19</f>
        <v>2000</v>
      </c>
      <c r="F29" s="40">
        <f t="shared" si="5"/>
        <v>0.0302</v>
      </c>
      <c r="G29" s="41">
        <f t="shared" si="7"/>
        <v>60.400000000000006</v>
      </c>
      <c r="H29" s="41">
        <f t="shared" si="1"/>
        <v>1.6000000000000085</v>
      </c>
      <c r="I29" s="42">
        <f t="shared" si="2"/>
        <v>0.02721088435374164</v>
      </c>
      <c r="J29" s="62">
        <f t="shared" si="0"/>
        <v>0.185342255131784</v>
      </c>
    </row>
    <row r="30" spans="1:10" ht="12">
      <c r="A30" s="61" t="str">
        <f t="shared" si="3"/>
        <v>Rate Rider for Foregone Revenue Recovery - effective until December 31, 2012</v>
      </c>
      <c r="B30" s="43">
        <f>B19</f>
        <v>2000</v>
      </c>
      <c r="C30" s="40">
        <f t="shared" si="4"/>
        <v>0</v>
      </c>
      <c r="D30" s="41">
        <f t="shared" si="6"/>
        <v>0</v>
      </c>
      <c r="E30" s="43">
        <f>B19</f>
        <v>2000</v>
      </c>
      <c r="F30" s="40">
        <f t="shared" si="5"/>
        <v>0.0003</v>
      </c>
      <c r="G30" s="41">
        <f>E30*F30</f>
        <v>0.6</v>
      </c>
      <c r="H30" s="41">
        <f>G30-D30</f>
        <v>0.6</v>
      </c>
      <c r="I30" s="42">
        <f>IF(ISERROR(H30/D30),0,H30/D30)</f>
        <v>0</v>
      </c>
      <c r="J30" s="62">
        <f>IF(ISERROR(G30/G$47),0,G30/G$47)</f>
        <v>0.0018411482297859337</v>
      </c>
    </row>
    <row r="31" spans="1:10" ht="12">
      <c r="A31" s="61" t="str">
        <f t="shared" si="3"/>
        <v>Rate Rider for Deferral/Variance Account Disposition - effective until May 31, 2013</v>
      </c>
      <c r="B31" s="43">
        <f>B19</f>
        <v>2000</v>
      </c>
      <c r="C31" s="40">
        <f t="shared" si="4"/>
        <v>0.0044</v>
      </c>
      <c r="D31" s="41">
        <f t="shared" si="6"/>
        <v>8.8</v>
      </c>
      <c r="E31" s="43">
        <f>B19</f>
        <v>2000</v>
      </c>
      <c r="F31" s="40">
        <f t="shared" si="5"/>
        <v>0.0046</v>
      </c>
      <c r="G31" s="41">
        <f t="shared" si="7"/>
        <v>9.2</v>
      </c>
      <c r="H31" s="41">
        <f t="shared" si="1"/>
        <v>0.3999999999999986</v>
      </c>
      <c r="I31" s="42">
        <f t="shared" si="2"/>
        <v>0.04545454545454529</v>
      </c>
      <c r="J31" s="62">
        <f t="shared" si="0"/>
        <v>0.028230939523384315</v>
      </c>
    </row>
    <row r="32" spans="1:10" ht="12">
      <c r="A32" s="61" t="str">
        <f t="shared" si="3"/>
        <v>Rate Rider for Deferral/Variance Account Disposition - effective until May 31, 2013</v>
      </c>
      <c r="B32" s="43">
        <f>B19</f>
        <v>2000</v>
      </c>
      <c r="C32" s="40">
        <f t="shared" si="4"/>
        <v>0</v>
      </c>
      <c r="D32" s="41">
        <f t="shared" si="6"/>
        <v>0</v>
      </c>
      <c r="E32" s="43">
        <f>B19</f>
        <v>2000</v>
      </c>
      <c r="F32" s="40">
        <f t="shared" si="5"/>
        <v>-0.0061</v>
      </c>
      <c r="G32" s="41">
        <f>E32*F32</f>
        <v>-12.200000000000001</v>
      </c>
      <c r="H32" s="41">
        <f>G32-D32</f>
        <v>-12.200000000000001</v>
      </c>
      <c r="I32" s="42">
        <f>IF(ISERROR(H32/D32),0,H32/D32)</f>
        <v>0</v>
      </c>
      <c r="J32" s="62">
        <f>IF(ISERROR(G32/G$47),0,G32/G$47)</f>
        <v>-0.03743668067231399</v>
      </c>
    </row>
    <row r="33" spans="1:10" ht="12.75" thickBot="1">
      <c r="A33" s="61" t="str">
        <f t="shared" si="3"/>
        <v>Rate Rider for Tax Changes - effective until December 31, 2012</v>
      </c>
      <c r="B33" s="43">
        <f>B19</f>
        <v>2000</v>
      </c>
      <c r="C33" s="40">
        <f t="shared" si="4"/>
        <v>0</v>
      </c>
      <c r="D33" s="41">
        <f t="shared" si="6"/>
        <v>0</v>
      </c>
      <c r="E33" s="43">
        <f>B19</f>
        <v>2000</v>
      </c>
      <c r="F33" s="40">
        <f t="shared" si="5"/>
        <v>-0.0002</v>
      </c>
      <c r="G33" s="41">
        <f t="shared" si="7"/>
        <v>-0.4</v>
      </c>
      <c r="H33" s="41">
        <f t="shared" si="1"/>
        <v>-0.4</v>
      </c>
      <c r="I33" s="42">
        <f t="shared" si="2"/>
        <v>0</v>
      </c>
      <c r="J33" s="62">
        <f t="shared" si="0"/>
        <v>-0.0012274321531906226</v>
      </c>
    </row>
    <row r="34" spans="1:10" ht="12.75" thickBot="1">
      <c r="A34" s="73" t="s">
        <v>40</v>
      </c>
      <c r="B34" s="74"/>
      <c r="C34" s="75"/>
      <c r="D34" s="80">
        <f>SUM(D27:D33)</f>
        <v>89.52</v>
      </c>
      <c r="E34" s="75"/>
      <c r="F34" s="75"/>
      <c r="G34" s="76">
        <f>SUM(G27:G33)</f>
        <v>80.11</v>
      </c>
      <c r="H34" s="76">
        <f t="shared" si="1"/>
        <v>-9.409999999999997</v>
      </c>
      <c r="I34" s="77">
        <f t="shared" si="2"/>
        <v>-0.1051161751563896</v>
      </c>
      <c r="J34" s="78">
        <f t="shared" si="0"/>
        <v>0.24582397448025192</v>
      </c>
    </row>
    <row r="35" spans="1:10" ht="12">
      <c r="A35" s="69" t="str">
        <f>A11</f>
        <v>Retail Transmission Rate - Network Service Rate</v>
      </c>
      <c r="B35" s="44">
        <f>B19*Rates!D74</f>
        <v>2172.8</v>
      </c>
      <c r="C35" s="45">
        <f>C11</f>
        <v>0.0057</v>
      </c>
      <c r="D35" s="47">
        <f>B35*C35</f>
        <v>12.384960000000001</v>
      </c>
      <c r="E35" s="44">
        <f>B19*H19</f>
        <v>2172.8</v>
      </c>
      <c r="F35" s="45">
        <f>D11</f>
        <v>0.0071</v>
      </c>
      <c r="G35" s="47">
        <f>E35*F35</f>
        <v>15.426880000000002</v>
      </c>
      <c r="H35" s="47">
        <f t="shared" si="1"/>
        <v>3.041920000000001</v>
      </c>
      <c r="I35" s="48">
        <f t="shared" si="2"/>
        <v>0.24561403508771937</v>
      </c>
      <c r="J35" s="72">
        <f t="shared" si="0"/>
        <v>0.04733862133853338</v>
      </c>
    </row>
    <row r="36" spans="1:10" ht="12.75" thickBot="1">
      <c r="A36" s="63" t="str">
        <f>A12</f>
        <v>Retail Transmission Rate - Line and Transformation Connection Service Rate</v>
      </c>
      <c r="B36" s="64">
        <f>B19*Rates!D74</f>
        <v>2172.8</v>
      </c>
      <c r="C36" s="65">
        <f>C12</f>
        <v>0.0047</v>
      </c>
      <c r="D36" s="66">
        <f>B36*C36</f>
        <v>10.21216</v>
      </c>
      <c r="E36" s="64">
        <f>B19*H19</f>
        <v>2172.8</v>
      </c>
      <c r="F36" s="65">
        <f>D12</f>
        <v>0.0051</v>
      </c>
      <c r="G36" s="66">
        <f>E36*F36</f>
        <v>11.081280000000001</v>
      </c>
      <c r="H36" s="66">
        <f t="shared" si="1"/>
        <v>0.8691200000000006</v>
      </c>
      <c r="I36" s="67">
        <f t="shared" si="2"/>
        <v>0.08510638297872346</v>
      </c>
      <c r="J36" s="68">
        <f t="shared" si="0"/>
        <v>0.03400379842627046</v>
      </c>
    </row>
    <row r="37" spans="1:10" ht="12.75" thickBot="1">
      <c r="A37" s="73" t="s">
        <v>32</v>
      </c>
      <c r="B37" s="74"/>
      <c r="C37" s="75"/>
      <c r="D37" s="76">
        <f>SUM(D35:D36)</f>
        <v>22.597120000000004</v>
      </c>
      <c r="E37" s="75"/>
      <c r="F37" s="75"/>
      <c r="G37" s="76">
        <f>SUM(G35:G36)</f>
        <v>26.508160000000004</v>
      </c>
      <c r="H37" s="76">
        <f t="shared" si="1"/>
        <v>3.91104</v>
      </c>
      <c r="I37" s="77">
        <f t="shared" si="2"/>
        <v>0.17307692307692304</v>
      </c>
      <c r="J37" s="78">
        <f t="shared" si="0"/>
        <v>0.08134241976480384</v>
      </c>
    </row>
    <row r="38" spans="1:10" ht="12.75" thickBot="1">
      <c r="A38" s="81" t="s">
        <v>41</v>
      </c>
      <c r="B38" s="82"/>
      <c r="C38" s="83"/>
      <c r="D38" s="84">
        <f>D34+D37</f>
        <v>112.11712</v>
      </c>
      <c r="E38" s="83"/>
      <c r="F38" s="83"/>
      <c r="G38" s="84">
        <f>G34+G37</f>
        <v>106.61816</v>
      </c>
      <c r="H38" s="84">
        <f t="shared" si="1"/>
        <v>-5.498959999999997</v>
      </c>
      <c r="I38" s="85">
        <f t="shared" si="2"/>
        <v>-0.04904656844556832</v>
      </c>
      <c r="J38" s="86">
        <f t="shared" si="0"/>
        <v>0.3271663942450557</v>
      </c>
    </row>
    <row r="39" spans="1:10" ht="12">
      <c r="A39" s="69" t="str">
        <f>A13</f>
        <v>Wholesale Market Service Rate</v>
      </c>
      <c r="B39" s="44">
        <f>B19*Rates!D74</f>
        <v>2172.8</v>
      </c>
      <c r="C39" s="45">
        <f>C13</f>
        <v>0.0052</v>
      </c>
      <c r="D39" s="47">
        <f>B39*C39</f>
        <v>11.29856</v>
      </c>
      <c r="E39" s="44">
        <f>B19*H19</f>
        <v>2172.8</v>
      </c>
      <c r="F39" s="45">
        <f>D13</f>
        <v>0.0052</v>
      </c>
      <c r="G39" s="47">
        <f>E39*F39</f>
        <v>11.29856</v>
      </c>
      <c r="H39" s="47">
        <f t="shared" si="1"/>
        <v>0</v>
      </c>
      <c r="I39" s="48">
        <f t="shared" si="2"/>
        <v>0</v>
      </c>
      <c r="J39" s="72">
        <f t="shared" si="0"/>
        <v>0.034670539571883596</v>
      </c>
    </row>
    <row r="40" spans="1:10" ht="12">
      <c r="A40" s="61" t="str">
        <f>A14</f>
        <v>Rural Rate Protection Charge</v>
      </c>
      <c r="B40" s="39">
        <f>B19*Rates!D74</f>
        <v>2172.8</v>
      </c>
      <c r="C40" s="40">
        <f>C14</f>
        <v>0.0013</v>
      </c>
      <c r="D40" s="41">
        <f>B40*C40</f>
        <v>2.82464</v>
      </c>
      <c r="E40" s="39">
        <f>B19*H19</f>
        <v>2172.8</v>
      </c>
      <c r="F40" s="40">
        <f>D14</f>
        <v>0.0013</v>
      </c>
      <c r="G40" s="41">
        <f>E40*F40</f>
        <v>2.82464</v>
      </c>
      <c r="H40" s="41">
        <f t="shared" si="1"/>
        <v>0</v>
      </c>
      <c r="I40" s="42">
        <f t="shared" si="2"/>
        <v>0</v>
      </c>
      <c r="J40" s="62">
        <f t="shared" si="0"/>
        <v>0.008667634892970899</v>
      </c>
    </row>
    <row r="41" spans="1:10" ht="12">
      <c r="A41" s="63" t="s">
        <v>45</v>
      </c>
      <c r="B41" s="64">
        <f>B19*Rates!D74</f>
        <v>2172.8</v>
      </c>
      <c r="C41" s="65">
        <f>Rates!D16</f>
        <v>0</v>
      </c>
      <c r="D41" s="66">
        <f>B41*C41</f>
        <v>0</v>
      </c>
      <c r="E41" s="64">
        <f>B19*Rates!F74</f>
        <v>2172.8</v>
      </c>
      <c r="F41" s="65">
        <f>Rates!F16</f>
        <v>0</v>
      </c>
      <c r="G41" s="66">
        <f>E41*F41</f>
        <v>0</v>
      </c>
      <c r="H41" s="41">
        <f>G41-D41</f>
        <v>0</v>
      </c>
      <c r="I41" s="42">
        <f>IF(ISERROR(H41/D41),0,H41/D41)</f>
        <v>0</v>
      </c>
      <c r="J41" s="62">
        <f t="shared" si="0"/>
        <v>0</v>
      </c>
    </row>
    <row r="42" spans="1:10" ht="12.75" thickBot="1">
      <c r="A42" s="63" t="str">
        <f>A16</f>
        <v>Standard Supply Service - Administarive Charge (if applicable)</v>
      </c>
      <c r="B42" s="79">
        <f>B27</f>
        <v>1</v>
      </c>
      <c r="C42" s="66">
        <f>C16</f>
        <v>0.25</v>
      </c>
      <c r="D42" s="66">
        <f>B42*C42</f>
        <v>0.25</v>
      </c>
      <c r="E42" s="64">
        <f>B27</f>
        <v>1</v>
      </c>
      <c r="F42" s="66">
        <f>D16</f>
        <v>0.25</v>
      </c>
      <c r="G42" s="66">
        <f>E42*F42</f>
        <v>0.25</v>
      </c>
      <c r="H42" s="66">
        <f t="shared" si="1"/>
        <v>0</v>
      </c>
      <c r="I42" s="67">
        <f t="shared" si="2"/>
        <v>0</v>
      </c>
      <c r="J42" s="68">
        <f t="shared" si="0"/>
        <v>0.0007671450957441391</v>
      </c>
    </row>
    <row r="43" spans="1:10" ht="12.75" thickBot="1">
      <c r="A43" s="73" t="s">
        <v>42</v>
      </c>
      <c r="B43" s="74"/>
      <c r="C43" s="75"/>
      <c r="D43" s="76">
        <f>SUM(D39:D42)</f>
        <v>14.3732</v>
      </c>
      <c r="E43" s="75"/>
      <c r="F43" s="75"/>
      <c r="G43" s="76">
        <f>SUM(G39:G42)</f>
        <v>14.3732</v>
      </c>
      <c r="H43" s="76">
        <f t="shared" si="1"/>
        <v>0</v>
      </c>
      <c r="I43" s="77">
        <f t="shared" si="2"/>
        <v>0</v>
      </c>
      <c r="J43" s="78">
        <f t="shared" si="0"/>
        <v>0.04410531956059864</v>
      </c>
    </row>
    <row r="44" spans="1:10" ht="12.75" thickBot="1">
      <c r="A44" s="87" t="s">
        <v>19</v>
      </c>
      <c r="B44" s="88">
        <f>B19</f>
        <v>2000</v>
      </c>
      <c r="C44" s="89">
        <f>Rates!D68</f>
        <v>0.002</v>
      </c>
      <c r="D44" s="90">
        <f>B44*C44</f>
        <v>4</v>
      </c>
      <c r="E44" s="88">
        <f>B19</f>
        <v>2000</v>
      </c>
      <c r="F44" s="89">
        <f>Rates!F68</f>
        <v>0.002</v>
      </c>
      <c r="G44" s="90">
        <f>E44*F44</f>
        <v>4</v>
      </c>
      <c r="H44" s="90">
        <f t="shared" si="1"/>
        <v>0</v>
      </c>
      <c r="I44" s="91">
        <f t="shared" si="2"/>
        <v>0</v>
      </c>
      <c r="J44" s="92">
        <f t="shared" si="0"/>
        <v>0.012274321531906225</v>
      </c>
    </row>
    <row r="45" spans="1:10" ht="12.75" thickBot="1">
      <c r="A45" s="73" t="s">
        <v>43</v>
      </c>
      <c r="B45" s="74"/>
      <c r="C45" s="75"/>
      <c r="D45" s="76">
        <f>D26+D38+D43+D44</f>
        <v>293.89152</v>
      </c>
      <c r="E45" s="75"/>
      <c r="F45" s="75"/>
      <c r="G45" s="76">
        <f>G26+G38+G43+G44</f>
        <v>288.39256</v>
      </c>
      <c r="H45" s="76">
        <f t="shared" si="1"/>
        <v>-5.498960000000011</v>
      </c>
      <c r="I45" s="77">
        <f t="shared" si="2"/>
        <v>-0.0187108494998427</v>
      </c>
      <c r="J45" s="78">
        <f t="shared" si="0"/>
        <v>0.8849557522123894</v>
      </c>
    </row>
    <row r="46" spans="1:10" ht="12.75" thickBot="1">
      <c r="A46" s="93" t="s">
        <v>46</v>
      </c>
      <c r="B46" s="94"/>
      <c r="C46" s="95">
        <f>Rates!D75</f>
        <v>0.13</v>
      </c>
      <c r="D46" s="90">
        <f>C46*D45</f>
        <v>38.2058976</v>
      </c>
      <c r="E46" s="96"/>
      <c r="F46" s="95">
        <f>Rates!F75</f>
        <v>0.13</v>
      </c>
      <c r="G46" s="90">
        <f>F46*G45</f>
        <v>37.4910328</v>
      </c>
      <c r="H46" s="90">
        <f t="shared" si="1"/>
        <v>-0.7148648000000009</v>
      </c>
      <c r="I46" s="91">
        <f t="shared" si="2"/>
        <v>-0.018710849499842686</v>
      </c>
      <c r="J46" s="92">
        <f t="shared" si="0"/>
        <v>0.11504424778761063</v>
      </c>
    </row>
    <row r="47" spans="1:10" ht="12.75" thickBot="1">
      <c r="A47" s="81" t="s">
        <v>33</v>
      </c>
      <c r="B47" s="82"/>
      <c r="C47" s="83"/>
      <c r="D47" s="104">
        <f>D45+D46</f>
        <v>332.0974176</v>
      </c>
      <c r="E47" s="83"/>
      <c r="F47" s="83"/>
      <c r="G47" s="104">
        <f>G45+G46</f>
        <v>325.8835928</v>
      </c>
      <c r="H47" s="104">
        <f t="shared" si="1"/>
        <v>-6.213824800000054</v>
      </c>
      <c r="I47" s="85">
        <f t="shared" si="2"/>
        <v>-0.018710849499842825</v>
      </c>
      <c r="J47" s="86">
        <f t="shared" si="0"/>
        <v>1</v>
      </c>
    </row>
    <row r="48" spans="1:10" ht="12">
      <c r="A48" s="130"/>
      <c r="B48" s="131"/>
      <c r="C48" s="132"/>
      <c r="D48" s="132"/>
      <c r="E48" s="132"/>
      <c r="F48" s="132"/>
      <c r="G48" s="132"/>
      <c r="H48" s="132"/>
      <c r="I48" s="132"/>
      <c r="J48" s="133"/>
    </row>
    <row r="49" spans="1:10" ht="12">
      <c r="A49" s="134" t="s">
        <v>66</v>
      </c>
      <c r="B49" s="135"/>
      <c r="C49" s="136"/>
      <c r="D49" s="137">
        <f>D47*0.1</f>
        <v>33.20974176000001</v>
      </c>
      <c r="E49" s="136"/>
      <c r="F49" s="136"/>
      <c r="G49" s="137">
        <f>G47*0.1</f>
        <v>32.58835928</v>
      </c>
      <c r="H49" s="136"/>
      <c r="I49" s="136"/>
      <c r="J49" s="138"/>
    </row>
    <row r="50" spans="1:10" ht="12.75" thickBot="1">
      <c r="A50" s="139" t="s">
        <v>67</v>
      </c>
      <c r="B50" s="140"/>
      <c r="C50" s="141"/>
      <c r="D50" s="142">
        <f>D47-D49</f>
        <v>298.88767584000004</v>
      </c>
      <c r="E50" s="141"/>
      <c r="F50" s="141"/>
      <c r="G50" s="142">
        <f>G47-G49</f>
        <v>293.29523351999995</v>
      </c>
      <c r="H50" s="144">
        <f>G50-D50</f>
        <v>-5.592442320000089</v>
      </c>
      <c r="I50" s="145">
        <f>H50/D50</f>
        <v>-0.018710849499842957</v>
      </c>
      <c r="J50" s="143"/>
    </row>
  </sheetData>
  <sheetProtection/>
  <mergeCells count="4">
    <mergeCell ref="A22:A23"/>
    <mergeCell ref="B22:B23"/>
    <mergeCell ref="E22:E23"/>
    <mergeCell ref="H22:J22"/>
  </mergeCells>
  <printOptions/>
  <pageMargins left="0.75" right="0.75" top="1" bottom="1" header="0.5" footer="0.5"/>
  <pageSetup fitToHeight="1" fitToWidth="1" horizontalDpi="600" verticalDpi="600" orientation="landscape" scale="73" r:id="rId1"/>
  <headerFooter alignWithMargins="0">
    <oddHeader xml:space="preserve">&amp;C&amp;"Arial,Bold"&amp;16Electricity Distribution Impacts
Rates Effective January 1, 2012&amp;"Arial,Regular"&amp;10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PageLayoutView="0" workbookViewId="0" topLeftCell="A7">
      <selection activeCell="H34" sqref="H34"/>
    </sheetView>
  </sheetViews>
  <sheetFormatPr defaultColWidth="9.140625" defaultRowHeight="12.75"/>
  <cols>
    <col min="1" max="1" width="80.140625" style="8" bestFit="1" customWidth="1"/>
    <col min="2" max="2" width="9.00390625" style="11" bestFit="1" customWidth="1"/>
    <col min="3" max="3" width="9.8515625" style="8" bestFit="1" customWidth="1"/>
    <col min="4" max="4" width="11.00390625" style="8" bestFit="1" customWidth="1"/>
    <col min="5" max="6" width="9.140625" style="8" customWidth="1"/>
    <col min="7" max="7" width="11.00390625" style="8" bestFit="1" customWidth="1"/>
    <col min="8" max="8" width="10.00390625" style="8" bestFit="1" customWidth="1"/>
    <col min="9" max="9" width="9.140625" style="8" customWidth="1"/>
    <col min="10" max="10" width="11.57421875" style="8" bestFit="1" customWidth="1"/>
    <col min="11" max="16384" width="9.140625" style="8" customWidth="1"/>
  </cols>
  <sheetData>
    <row r="2" ht="12.75" thickBot="1"/>
    <row r="3" spans="1:4" ht="36.75" thickBot="1">
      <c r="A3" s="14" t="str">
        <f>Rates!A19</f>
        <v>Residential - R2</v>
      </c>
      <c r="B3" s="16" t="str">
        <f>Rates!B3</f>
        <v>Metric</v>
      </c>
      <c r="C3" s="15" t="str">
        <f>Rates!D3</f>
        <v>Current Approved Rates</v>
      </c>
      <c r="D3" s="15" t="str">
        <f>Rates!F3</f>
        <v>Proposed January 1, 2012</v>
      </c>
    </row>
    <row r="4" spans="1:4" ht="12">
      <c r="A4" s="23" t="str">
        <f>Rates!A20</f>
        <v>Monthly Service Charge</v>
      </c>
      <c r="B4" s="24" t="str">
        <f>Rates!B20</f>
        <v>$</v>
      </c>
      <c r="C4" s="25">
        <f>Rates!D20</f>
        <v>596.12</v>
      </c>
      <c r="D4" s="26">
        <f>Rates!F20</f>
        <v>596.12</v>
      </c>
    </row>
    <row r="5" spans="1:4" ht="12">
      <c r="A5" s="27" t="str">
        <f>Rates!A21</f>
        <v>Smart Meter Rate Adder</v>
      </c>
      <c r="B5" s="28" t="str">
        <f>Rates!B21</f>
        <v>$</v>
      </c>
      <c r="C5" s="29">
        <f>Rates!D21</f>
        <v>1</v>
      </c>
      <c r="D5" s="30">
        <f>Rates!F21</f>
        <v>1</v>
      </c>
    </row>
    <row r="6" spans="1:4" ht="12">
      <c r="A6" s="27" t="str">
        <f>Rates!A22</f>
        <v>Distribution Volumetric Rate</v>
      </c>
      <c r="B6" s="28" t="str">
        <f>Rates!B22</f>
        <v>$/kW</v>
      </c>
      <c r="C6" s="31">
        <f>Rates!D22</f>
        <v>2.5728</v>
      </c>
      <c r="D6" s="32">
        <f>Rates!F22</f>
        <v>2.7086</v>
      </c>
    </row>
    <row r="7" spans="1:4" ht="12">
      <c r="A7" s="27" t="str">
        <f>Rates!A23</f>
        <v>Rate Rider for Foregone Revenue Recovery - effective until December 31, 2012</v>
      </c>
      <c r="B7" s="28" t="str">
        <f>Rates!B23</f>
        <v>$/kW</v>
      </c>
      <c r="C7" s="31">
        <f>Rates!D23</f>
        <v>0</v>
      </c>
      <c r="D7" s="32">
        <f>Rates!F23</f>
        <v>0.0272</v>
      </c>
    </row>
    <row r="8" spans="1:4" ht="12">
      <c r="A8" s="27" t="str">
        <f>Rates!A24</f>
        <v>Rate Rider for Deferral/Variance Account Disposition - effective until May 31, 2013</v>
      </c>
      <c r="B8" s="28" t="str">
        <f>Rates!B24</f>
        <v>$/kW</v>
      </c>
      <c r="C8" s="31">
        <f>Rates!D24</f>
        <v>2.1951</v>
      </c>
      <c r="D8" s="32">
        <f>Rates!F24</f>
        <v>2.2664</v>
      </c>
    </row>
    <row r="9" spans="1:4" ht="12">
      <c r="A9" s="27" t="str">
        <f>Rates!A25</f>
        <v>Rate Rider for Deferral/Variance Account Disposition - effective until May 31, 2013</v>
      </c>
      <c r="B9" s="28" t="str">
        <f>Rates!B25</f>
        <v>$/kW</v>
      </c>
      <c r="C9" s="31"/>
      <c r="D9" s="32">
        <f>Rates!F25</f>
        <v>-2.8219</v>
      </c>
    </row>
    <row r="10" spans="1:4" ht="12">
      <c r="A10" s="27" t="str">
        <f>Rates!A26</f>
        <v>Rate Rider for Tax Changes - effective until December 31, 2012</v>
      </c>
      <c r="B10" s="28" t="str">
        <f>Rates!B26</f>
        <v>$/kW</v>
      </c>
      <c r="C10" s="31">
        <f>Rates!D26</f>
        <v>0</v>
      </c>
      <c r="D10" s="32">
        <f>Rates!F26</f>
        <v>-0.0273</v>
      </c>
    </row>
    <row r="11" spans="1:4" ht="12">
      <c r="A11" s="27" t="str">
        <f>Rates!A27</f>
        <v>Retail Transmission Rate - Network Service Rate</v>
      </c>
      <c r="B11" s="28" t="str">
        <f>Rates!B27</f>
        <v>$/kW</v>
      </c>
      <c r="C11" s="31">
        <f>Rates!D27</f>
        <v>2.1218</v>
      </c>
      <c r="D11" s="32">
        <f>Rates!F27</f>
        <v>2.6396</v>
      </c>
    </row>
    <row r="12" spans="1:4" ht="12">
      <c r="A12" s="27" t="str">
        <f>Rates!A28</f>
        <v>Retail Transmission Rate - Line and Transformation Connection Service Rate</v>
      </c>
      <c r="B12" s="28" t="str">
        <f>Rates!B28</f>
        <v>$/kW</v>
      </c>
      <c r="C12" s="31">
        <f>Rates!D28</f>
        <v>1.6634</v>
      </c>
      <c r="D12" s="32">
        <f>Rates!F28</f>
        <v>1.8099</v>
      </c>
    </row>
    <row r="13" spans="1:4" ht="12">
      <c r="A13" s="19" t="str">
        <f>Rates!A29</f>
        <v>Retail Transmission Rate - Network Service Rate - Interval Meter &gt; 1,000 kW</v>
      </c>
      <c r="B13" s="20" t="str">
        <f>Rates!B29</f>
        <v>$/kW</v>
      </c>
      <c r="C13" s="21">
        <f>Rates!D29</f>
        <v>2.2508</v>
      </c>
      <c r="D13" s="22">
        <f>Rates!F29</f>
        <v>2.8001</v>
      </c>
    </row>
    <row r="14" spans="1:4" ht="12">
      <c r="A14" s="19" t="str">
        <f>Rates!A30</f>
        <v>Retail Transmission Rate - Line and Transformation Connection Service Rate - Interval &gt; 1,000 kW</v>
      </c>
      <c r="B14" s="20" t="str">
        <f>Rates!B30</f>
        <v>$/kW</v>
      </c>
      <c r="C14" s="21">
        <f>Rates!D30</f>
        <v>1.8384</v>
      </c>
      <c r="D14" s="22">
        <f>Rates!F30</f>
        <v>2.0003</v>
      </c>
    </row>
    <row r="15" spans="1:4" ht="12">
      <c r="A15" s="19" t="str">
        <f>Rates!A31</f>
        <v>Wholesale Market Service Rate</v>
      </c>
      <c r="B15" s="20" t="str">
        <f>Rates!B31</f>
        <v>$/kWh</v>
      </c>
      <c r="C15" s="21">
        <f>Rates!D31</f>
        <v>0.0052</v>
      </c>
      <c r="D15" s="22">
        <f>Rates!F31</f>
        <v>0.0052</v>
      </c>
    </row>
    <row r="16" spans="1:4" ht="12">
      <c r="A16" s="19" t="str">
        <f>Rates!A32</f>
        <v>Rural Rate Protection Charge</v>
      </c>
      <c r="B16" s="20" t="str">
        <f>Rates!B32</f>
        <v>$/kWh</v>
      </c>
      <c r="C16" s="21">
        <f>Rates!D32</f>
        <v>0.0013</v>
      </c>
      <c r="D16" s="22">
        <f>Rates!F32</f>
        <v>0.0013</v>
      </c>
    </row>
    <row r="17" spans="1:4" ht="12">
      <c r="A17" s="27" t="str">
        <f>Rates!A33</f>
        <v>Special Purpose Charge</v>
      </c>
      <c r="B17" s="28" t="str">
        <f>Rates!B33</f>
        <v>$/kWh</v>
      </c>
      <c r="C17" s="31">
        <f>Rates!D33</f>
        <v>0</v>
      </c>
      <c r="D17" s="32">
        <f>Rates!F33</f>
        <v>0</v>
      </c>
    </row>
    <row r="18" spans="1:4" ht="12.75" thickBot="1">
      <c r="A18" s="12" t="str">
        <f>Rates!A34</f>
        <v>Standard Supply Service - Administarive Charge (if applicable)</v>
      </c>
      <c r="B18" s="17" t="str">
        <f>Rates!B34</f>
        <v>$</v>
      </c>
      <c r="C18" s="18">
        <f>Rates!D34</f>
        <v>0.25</v>
      </c>
      <c r="D18" s="13">
        <f>Rates!F34</f>
        <v>0.25</v>
      </c>
    </row>
    <row r="20" ht="12.75" thickBot="1"/>
    <row r="21" spans="1:8" ht="13.5" thickBot="1">
      <c r="A21" s="33" t="s">
        <v>26</v>
      </c>
      <c r="B21" s="34">
        <v>90000</v>
      </c>
      <c r="C21" s="35" t="s">
        <v>27</v>
      </c>
      <c r="D21" s="36">
        <v>225</v>
      </c>
      <c r="E21" s="35" t="s">
        <v>28</v>
      </c>
      <c r="G21" s="37" t="s">
        <v>23</v>
      </c>
      <c r="H21" s="53">
        <f>Rates!F74</f>
        <v>1.0864</v>
      </c>
    </row>
    <row r="22" spans="1:5" ht="13.5" thickBot="1">
      <c r="A22" s="33" t="s">
        <v>29</v>
      </c>
      <c r="B22" s="34">
        <v>750</v>
      </c>
      <c r="C22" s="35" t="s">
        <v>27</v>
      </c>
      <c r="D22" s="37" t="s">
        <v>30</v>
      </c>
      <c r="E22" s="97">
        <f>IF(D21&gt;0,B21/(D21*24*30.4)," ")</f>
        <v>0.5482456140350878</v>
      </c>
    </row>
    <row r="23" ht="12.75" thickBot="1"/>
    <row r="24" spans="1:10" ht="12.75" customHeight="1">
      <c r="A24" s="148" t="str">
        <f>A3</f>
        <v>Residential - R2</v>
      </c>
      <c r="B24" s="150" t="s">
        <v>31</v>
      </c>
      <c r="C24" s="49" t="s">
        <v>37</v>
      </c>
      <c r="D24" s="49" t="s">
        <v>38</v>
      </c>
      <c r="E24" s="150" t="s">
        <v>31</v>
      </c>
      <c r="F24" s="49" t="s">
        <v>37</v>
      </c>
      <c r="G24" s="49" t="s">
        <v>38</v>
      </c>
      <c r="H24" s="152" t="s">
        <v>44</v>
      </c>
      <c r="I24" s="152"/>
      <c r="J24" s="153"/>
    </row>
    <row r="25" spans="1:10" ht="12.75" thickBot="1">
      <c r="A25" s="149"/>
      <c r="B25" s="151"/>
      <c r="C25" s="50" t="s">
        <v>15</v>
      </c>
      <c r="D25" s="50" t="s">
        <v>15</v>
      </c>
      <c r="E25" s="151"/>
      <c r="F25" s="50" t="s">
        <v>15</v>
      </c>
      <c r="G25" s="50" t="s">
        <v>15</v>
      </c>
      <c r="H25" s="50" t="s">
        <v>15</v>
      </c>
      <c r="I25" s="51" t="s">
        <v>22</v>
      </c>
      <c r="J25" s="52" t="s">
        <v>34</v>
      </c>
    </row>
    <row r="26" spans="1:10" ht="12">
      <c r="A26" s="54" t="s">
        <v>35</v>
      </c>
      <c r="B26" s="55">
        <f>IF(B21*Rates!D74&gt;B22,B22,B21*Rates!D74)</f>
        <v>750</v>
      </c>
      <c r="C26" s="56">
        <f>Rates!D69</f>
        <v>0.068</v>
      </c>
      <c r="D26" s="57">
        <f>B26*C26</f>
        <v>51.00000000000001</v>
      </c>
      <c r="E26" s="55">
        <f>IF(B21*H21&gt;B22,B22,B21*H21)</f>
        <v>750</v>
      </c>
      <c r="F26" s="56">
        <f>Rates!F69</f>
        <v>0.068</v>
      </c>
      <c r="G26" s="57">
        <f>E26*F26</f>
        <v>51.00000000000001</v>
      </c>
      <c r="H26" s="58">
        <f aca="true" t="shared" si="0" ref="H26:H49">G26-D26</f>
        <v>0</v>
      </c>
      <c r="I26" s="59">
        <f>IF(ISERROR(H26/D26),1,H26/D26)</f>
        <v>0</v>
      </c>
      <c r="J26" s="60">
        <f aca="true" t="shared" si="1" ref="J26:J49">IF(ISERROR(G26/G$49),0,G26/G$49)</f>
        <v>0.004217607885251558</v>
      </c>
    </row>
    <row r="27" spans="1:10" ht="12.75" thickBot="1">
      <c r="A27" s="63" t="s">
        <v>36</v>
      </c>
      <c r="B27" s="64">
        <f>IF(B21*Rates!D74&gt;=B22,B21*Rates!D74-B22,0)</f>
        <v>97026</v>
      </c>
      <c r="C27" s="65">
        <f>Rates!D70</f>
        <v>0.079</v>
      </c>
      <c r="D27" s="66">
        <f>B27*C27</f>
        <v>7665.054</v>
      </c>
      <c r="E27" s="64">
        <f>IF(B21*H21&gt;=B22,B21*H21-B22,0)</f>
        <v>97026</v>
      </c>
      <c r="F27" s="65">
        <f>Rates!F70</f>
        <v>0.079</v>
      </c>
      <c r="G27" s="66">
        <f>E27*F27</f>
        <v>7665.054</v>
      </c>
      <c r="H27" s="66">
        <f t="shared" si="0"/>
        <v>0</v>
      </c>
      <c r="I27" s="67">
        <f>IF(ISERROR(H27/D27),0,H27/D27)</f>
        <v>0</v>
      </c>
      <c r="J27" s="68">
        <f t="shared" si="1"/>
        <v>0.6338861213976272</v>
      </c>
    </row>
    <row r="28" spans="1:10" ht="12.75" thickBot="1">
      <c r="A28" s="73" t="s">
        <v>39</v>
      </c>
      <c r="B28" s="74"/>
      <c r="C28" s="75"/>
      <c r="D28" s="76">
        <f>SUM(D26:D27)</f>
        <v>7716.054</v>
      </c>
      <c r="E28" s="75"/>
      <c r="F28" s="75"/>
      <c r="G28" s="76">
        <f>SUM(G26:G27)</f>
        <v>7716.054</v>
      </c>
      <c r="H28" s="76">
        <f t="shared" si="0"/>
        <v>0</v>
      </c>
      <c r="I28" s="77">
        <f>IF(ISERROR(H28/D28),0,H28/D28)</f>
        <v>0</v>
      </c>
      <c r="J28" s="78">
        <f t="shared" si="1"/>
        <v>0.6381037292828788</v>
      </c>
    </row>
    <row r="29" spans="1:10" ht="12">
      <c r="A29" s="69" t="str">
        <f aca="true" t="shared" si="2" ref="A29:A35">A4</f>
        <v>Monthly Service Charge</v>
      </c>
      <c r="B29" s="70">
        <v>1</v>
      </c>
      <c r="C29" s="46">
        <f aca="true" t="shared" si="3" ref="C29:C35">C4</f>
        <v>596.12</v>
      </c>
      <c r="D29" s="46">
        <f aca="true" t="shared" si="4" ref="D29:D35">B29*C29</f>
        <v>596.12</v>
      </c>
      <c r="E29" s="71">
        <f>B29</f>
        <v>1</v>
      </c>
      <c r="F29" s="47">
        <f aca="true" t="shared" si="5" ref="F29:F35">D4</f>
        <v>596.12</v>
      </c>
      <c r="G29" s="47">
        <f aca="true" t="shared" si="6" ref="G29:G35">E29*F29</f>
        <v>596.12</v>
      </c>
      <c r="H29" s="47">
        <f t="shared" si="0"/>
        <v>0</v>
      </c>
      <c r="I29" s="48">
        <f>IF(ISERROR(H29/D29),0,H29/D29)</f>
        <v>0</v>
      </c>
      <c r="J29" s="72">
        <f t="shared" si="1"/>
        <v>0.04929804730502271</v>
      </c>
    </row>
    <row r="30" spans="1:10" ht="12">
      <c r="A30" s="61" t="str">
        <f t="shared" si="2"/>
        <v>Smart Meter Rate Adder</v>
      </c>
      <c r="B30" s="43">
        <f>B29</f>
        <v>1</v>
      </c>
      <c r="C30" s="41">
        <f t="shared" si="3"/>
        <v>1</v>
      </c>
      <c r="D30" s="41">
        <f t="shared" si="4"/>
        <v>1</v>
      </c>
      <c r="E30" s="43">
        <f>B30</f>
        <v>1</v>
      </c>
      <c r="F30" s="41">
        <f t="shared" si="5"/>
        <v>1</v>
      </c>
      <c r="G30" s="41">
        <f t="shared" si="6"/>
        <v>1</v>
      </c>
      <c r="H30" s="41">
        <f t="shared" si="0"/>
        <v>0</v>
      </c>
      <c r="I30" s="42">
        <f>IF(ISERROR(H30/D30),1,H30/D30)</f>
        <v>0</v>
      </c>
      <c r="J30" s="62">
        <f t="shared" si="1"/>
        <v>8.269819382846191E-05</v>
      </c>
    </row>
    <row r="31" spans="1:10" ht="12">
      <c r="A31" s="61" t="str">
        <f t="shared" si="2"/>
        <v>Distribution Volumetric Rate</v>
      </c>
      <c r="B31" s="43">
        <f>D21</f>
        <v>225</v>
      </c>
      <c r="C31" s="40">
        <f t="shared" si="3"/>
        <v>2.5728</v>
      </c>
      <c r="D31" s="41">
        <f t="shared" si="4"/>
        <v>578.88</v>
      </c>
      <c r="E31" s="43">
        <f>D21</f>
        <v>225</v>
      </c>
      <c r="F31" s="40">
        <f t="shared" si="5"/>
        <v>2.7086</v>
      </c>
      <c r="G31" s="41">
        <f t="shared" si="6"/>
        <v>609.4350000000001</v>
      </c>
      <c r="H31" s="41">
        <f t="shared" si="0"/>
        <v>30.555000000000064</v>
      </c>
      <c r="I31" s="42">
        <f aca="true" t="shared" si="7" ref="I31:I49">IF(ISERROR(H31/D31),0,H31/D31)</f>
        <v>0.05278296019900509</v>
      </c>
      <c r="J31" s="62">
        <f t="shared" si="1"/>
        <v>0.05039917375584869</v>
      </c>
    </row>
    <row r="32" spans="1:10" ht="12">
      <c r="A32" s="61" t="str">
        <f t="shared" si="2"/>
        <v>Rate Rider for Foregone Revenue Recovery - effective until December 31, 2012</v>
      </c>
      <c r="B32" s="43">
        <f>D21</f>
        <v>225</v>
      </c>
      <c r="C32" s="40">
        <f t="shared" si="3"/>
        <v>0</v>
      </c>
      <c r="D32" s="41">
        <f t="shared" si="4"/>
        <v>0</v>
      </c>
      <c r="E32" s="43">
        <f>D21</f>
        <v>225</v>
      </c>
      <c r="F32" s="40">
        <f t="shared" si="5"/>
        <v>0.0272</v>
      </c>
      <c r="G32" s="41">
        <f>E32*F32</f>
        <v>6.119999999999999</v>
      </c>
      <c r="H32" s="41">
        <f>G32-D32</f>
        <v>6.119999999999999</v>
      </c>
      <c r="I32" s="42">
        <f>IF(ISERROR(H32/D32),0,H32/D32)</f>
        <v>0</v>
      </c>
      <c r="J32" s="62">
        <f>IF(ISERROR(G32/G$49),0,G32/G$49)</f>
        <v>0.0005061129462301868</v>
      </c>
    </row>
    <row r="33" spans="1:10" ht="12">
      <c r="A33" s="61" t="str">
        <f t="shared" si="2"/>
        <v>Rate Rider for Deferral/Variance Account Disposition - effective until May 31, 2013</v>
      </c>
      <c r="B33" s="43">
        <f>D21</f>
        <v>225</v>
      </c>
      <c r="C33" s="40">
        <f t="shared" si="3"/>
        <v>2.1951</v>
      </c>
      <c r="D33" s="41">
        <f t="shared" si="4"/>
        <v>493.89750000000004</v>
      </c>
      <c r="E33" s="43">
        <f>D21</f>
        <v>225</v>
      </c>
      <c r="F33" s="40">
        <f t="shared" si="5"/>
        <v>2.2664</v>
      </c>
      <c r="G33" s="41">
        <f t="shared" si="6"/>
        <v>509.94</v>
      </c>
      <c r="H33" s="41">
        <f t="shared" si="0"/>
        <v>16.04249999999996</v>
      </c>
      <c r="I33" s="42">
        <f t="shared" si="7"/>
        <v>0.03248143592547029</v>
      </c>
      <c r="J33" s="62">
        <f t="shared" si="1"/>
        <v>0.042171116960885865</v>
      </c>
    </row>
    <row r="34" spans="1:10" ht="12">
      <c r="A34" s="61" t="str">
        <f t="shared" si="2"/>
        <v>Rate Rider for Deferral/Variance Account Disposition - effective until May 31, 2013</v>
      </c>
      <c r="B34" s="43">
        <f>D21</f>
        <v>225</v>
      </c>
      <c r="C34" s="40">
        <f t="shared" si="3"/>
        <v>0</v>
      </c>
      <c r="D34" s="41">
        <f t="shared" si="4"/>
        <v>0</v>
      </c>
      <c r="E34" s="43">
        <f>D21</f>
        <v>225</v>
      </c>
      <c r="F34" s="40">
        <f t="shared" si="5"/>
        <v>-2.8219</v>
      </c>
      <c r="G34" s="41">
        <f>E34*F34</f>
        <v>-634.9275</v>
      </c>
      <c r="H34" s="41">
        <f>G34-D34</f>
        <v>-634.9275</v>
      </c>
      <c r="I34" s="42">
        <f>IF(ISERROR(H34/D34),0,H34/D34)</f>
        <v>0</v>
      </c>
      <c r="J34" s="62">
        <f>IF(ISERROR(G34/G$49),0,G34/G$49)</f>
        <v>-0.05250735746202075</v>
      </c>
    </row>
    <row r="35" spans="1:10" ht="12.75" thickBot="1">
      <c r="A35" s="61" t="str">
        <f t="shared" si="2"/>
        <v>Rate Rider for Tax Changes - effective until December 31, 2012</v>
      </c>
      <c r="B35" s="43">
        <f>D21</f>
        <v>225</v>
      </c>
      <c r="C35" s="40">
        <f t="shared" si="3"/>
        <v>0</v>
      </c>
      <c r="D35" s="41">
        <f t="shared" si="4"/>
        <v>0</v>
      </c>
      <c r="E35" s="43">
        <f>D21</f>
        <v>225</v>
      </c>
      <c r="F35" s="40">
        <f t="shared" si="5"/>
        <v>-0.0273</v>
      </c>
      <c r="G35" s="41">
        <f t="shared" si="6"/>
        <v>-6.1425</v>
      </c>
      <c r="H35" s="41">
        <f t="shared" si="0"/>
        <v>-6.1425</v>
      </c>
      <c r="I35" s="42">
        <f t="shared" si="7"/>
        <v>0</v>
      </c>
      <c r="J35" s="62">
        <f t="shared" si="1"/>
        <v>-0.0005079736555913273</v>
      </c>
    </row>
    <row r="36" spans="1:10" ht="12.75" thickBot="1">
      <c r="A36" s="73" t="s">
        <v>40</v>
      </c>
      <c r="B36" s="74"/>
      <c r="C36" s="75"/>
      <c r="D36" s="80">
        <f>SUM(D29:D35)</f>
        <v>1669.8975</v>
      </c>
      <c r="E36" s="75"/>
      <c r="F36" s="75"/>
      <c r="G36" s="76">
        <f>SUM(G29:G35)</f>
        <v>1081.545</v>
      </c>
      <c r="H36" s="76">
        <f t="shared" si="0"/>
        <v>-588.3525</v>
      </c>
      <c r="I36" s="77">
        <f t="shared" si="7"/>
        <v>-0.35232851118107544</v>
      </c>
      <c r="J36" s="78">
        <f t="shared" si="1"/>
        <v>0.08944181804420384</v>
      </c>
    </row>
    <row r="37" spans="1:10" ht="12">
      <c r="A37" s="69" t="str">
        <f>A11</f>
        <v>Retail Transmission Rate - Network Service Rate</v>
      </c>
      <c r="B37" s="44">
        <f>D21*Rates!D74</f>
        <v>244.44</v>
      </c>
      <c r="C37" s="45">
        <f>C11</f>
        <v>2.1218</v>
      </c>
      <c r="D37" s="47">
        <f>B37*C37</f>
        <v>518.652792</v>
      </c>
      <c r="E37" s="44">
        <f>D21*H21</f>
        <v>244.44</v>
      </c>
      <c r="F37" s="45">
        <f>D11</f>
        <v>2.6396</v>
      </c>
      <c r="G37" s="47">
        <f>E37*F37</f>
        <v>645.223824</v>
      </c>
      <c r="H37" s="47">
        <f t="shared" si="0"/>
        <v>126.57103200000006</v>
      </c>
      <c r="I37" s="48">
        <f t="shared" si="7"/>
        <v>0.24403808087472914</v>
      </c>
      <c r="J37" s="72">
        <f t="shared" si="1"/>
        <v>0.053358844859893395</v>
      </c>
    </row>
    <row r="38" spans="1:10" ht="12.75" thickBot="1">
      <c r="A38" s="63" t="str">
        <f>A12</f>
        <v>Retail Transmission Rate - Line and Transformation Connection Service Rate</v>
      </c>
      <c r="B38" s="64">
        <f>D21*Rates!D74</f>
        <v>244.44</v>
      </c>
      <c r="C38" s="65">
        <f>C12</f>
        <v>1.6634</v>
      </c>
      <c r="D38" s="66">
        <f>B38*C38</f>
        <v>406.601496</v>
      </c>
      <c r="E38" s="64">
        <f>D21*H21</f>
        <v>244.44</v>
      </c>
      <c r="F38" s="65">
        <f>D12</f>
        <v>1.8099</v>
      </c>
      <c r="G38" s="66">
        <f>E38*F38</f>
        <v>442.41195600000003</v>
      </c>
      <c r="H38" s="66">
        <f t="shared" si="0"/>
        <v>35.810460000000035</v>
      </c>
      <c r="I38" s="67">
        <f t="shared" si="7"/>
        <v>0.08807262233978606</v>
      </c>
      <c r="J38" s="68">
        <f t="shared" si="1"/>
        <v>0.03658666968931697</v>
      </c>
    </row>
    <row r="39" spans="1:10" ht="12.75" thickBot="1">
      <c r="A39" s="73" t="s">
        <v>32</v>
      </c>
      <c r="B39" s="74"/>
      <c r="C39" s="75"/>
      <c r="D39" s="76">
        <f>SUM(D37:D38)</f>
        <v>925.254288</v>
      </c>
      <c r="E39" s="75"/>
      <c r="F39" s="75"/>
      <c r="G39" s="76">
        <f>SUM(G37:G38)</f>
        <v>1087.63578</v>
      </c>
      <c r="H39" s="76">
        <f t="shared" si="0"/>
        <v>162.3814920000001</v>
      </c>
      <c r="I39" s="77">
        <f t="shared" si="7"/>
        <v>0.1754993131142345</v>
      </c>
      <c r="J39" s="78">
        <f t="shared" si="1"/>
        <v>0.08994551454921036</v>
      </c>
    </row>
    <row r="40" spans="1:10" ht="12.75" thickBot="1">
      <c r="A40" s="81" t="s">
        <v>41</v>
      </c>
      <c r="B40" s="82"/>
      <c r="C40" s="83"/>
      <c r="D40" s="84">
        <f>D36+D39</f>
        <v>2595.151788</v>
      </c>
      <c r="E40" s="83"/>
      <c r="F40" s="83"/>
      <c r="G40" s="84">
        <f>G36+G39</f>
        <v>2169.18078</v>
      </c>
      <c r="H40" s="84">
        <f t="shared" si="0"/>
        <v>-425.971008</v>
      </c>
      <c r="I40" s="85">
        <f t="shared" si="7"/>
        <v>-0.16414107643710588</v>
      </c>
      <c r="J40" s="86">
        <f t="shared" si="1"/>
        <v>0.1793873325934142</v>
      </c>
    </row>
    <row r="41" spans="1:10" ht="12">
      <c r="A41" s="69" t="str">
        <f>A15</f>
        <v>Wholesale Market Service Rate</v>
      </c>
      <c r="B41" s="44">
        <f>B21*Rates!D74</f>
        <v>97776</v>
      </c>
      <c r="C41" s="45">
        <f>C15</f>
        <v>0.0052</v>
      </c>
      <c r="D41" s="47">
        <f>B41*C41</f>
        <v>508.43519999999995</v>
      </c>
      <c r="E41" s="44">
        <f>B21*H21</f>
        <v>97776</v>
      </c>
      <c r="F41" s="45">
        <f>D15</f>
        <v>0.0052</v>
      </c>
      <c r="G41" s="47">
        <f>E41*F41</f>
        <v>508.43519999999995</v>
      </c>
      <c r="H41" s="47">
        <f t="shared" si="0"/>
        <v>0</v>
      </c>
      <c r="I41" s="48">
        <f t="shared" si="7"/>
        <v>0</v>
      </c>
      <c r="J41" s="72">
        <f t="shared" si="1"/>
        <v>0.042046672718812794</v>
      </c>
    </row>
    <row r="42" spans="1:10" ht="12">
      <c r="A42" s="61" t="str">
        <f>A16</f>
        <v>Rural Rate Protection Charge</v>
      </c>
      <c r="B42" s="39">
        <f>B21*Rates!D74</f>
        <v>97776</v>
      </c>
      <c r="C42" s="40">
        <f>C16</f>
        <v>0.0013</v>
      </c>
      <c r="D42" s="41">
        <f>B42*C42</f>
        <v>127.10879999999999</v>
      </c>
      <c r="E42" s="39">
        <f>B21*H21</f>
        <v>97776</v>
      </c>
      <c r="F42" s="40">
        <f>D16</f>
        <v>0.0013</v>
      </c>
      <c r="G42" s="41">
        <f>E42*F42</f>
        <v>127.10879999999999</v>
      </c>
      <c r="H42" s="41">
        <f t="shared" si="0"/>
        <v>0</v>
      </c>
      <c r="I42" s="42">
        <f t="shared" si="7"/>
        <v>0</v>
      </c>
      <c r="J42" s="62">
        <f t="shared" si="1"/>
        <v>0.010511668179703199</v>
      </c>
    </row>
    <row r="43" spans="1:10" ht="12">
      <c r="A43" s="63" t="s">
        <v>45</v>
      </c>
      <c r="B43" s="64">
        <f>B21*Rates!D74</f>
        <v>97776</v>
      </c>
      <c r="C43" s="65">
        <f>Rates!D33</f>
        <v>0</v>
      </c>
      <c r="D43" s="66">
        <f>B43*C43</f>
        <v>0</v>
      </c>
      <c r="E43" s="64">
        <f>B21*Rates!F74</f>
        <v>97776</v>
      </c>
      <c r="F43" s="65">
        <f>Rates!F33</f>
        <v>0</v>
      </c>
      <c r="G43" s="66">
        <f>E43*F43</f>
        <v>0</v>
      </c>
      <c r="H43" s="41">
        <f>G43-D43</f>
        <v>0</v>
      </c>
      <c r="I43" s="42">
        <f>IF(ISERROR(H43/D43),0,H43/D43)</f>
        <v>0</v>
      </c>
      <c r="J43" s="62">
        <f t="shared" si="1"/>
        <v>0</v>
      </c>
    </row>
    <row r="44" spans="1:10" ht="12.75" thickBot="1">
      <c r="A44" s="63" t="str">
        <f>A18</f>
        <v>Standard Supply Service - Administarive Charge (if applicable)</v>
      </c>
      <c r="B44" s="79">
        <f>B29</f>
        <v>1</v>
      </c>
      <c r="C44" s="66">
        <f>C18</f>
        <v>0.25</v>
      </c>
      <c r="D44" s="66">
        <f>B44*C44</f>
        <v>0.25</v>
      </c>
      <c r="E44" s="64">
        <f>B29</f>
        <v>1</v>
      </c>
      <c r="F44" s="66">
        <f>D18</f>
        <v>0.25</v>
      </c>
      <c r="G44" s="66">
        <f>E44*F44</f>
        <v>0.25</v>
      </c>
      <c r="H44" s="66">
        <f t="shared" si="0"/>
        <v>0</v>
      </c>
      <c r="I44" s="67">
        <f t="shared" si="7"/>
        <v>0</v>
      </c>
      <c r="J44" s="68">
        <f t="shared" si="1"/>
        <v>2.0674548457115477E-05</v>
      </c>
    </row>
    <row r="45" spans="1:10" ht="12.75" thickBot="1">
      <c r="A45" s="73" t="s">
        <v>42</v>
      </c>
      <c r="B45" s="74"/>
      <c r="C45" s="75"/>
      <c r="D45" s="76">
        <f>SUM(D41:D44)</f>
        <v>635.794</v>
      </c>
      <c r="E45" s="75"/>
      <c r="F45" s="75"/>
      <c r="G45" s="76">
        <f>SUM(G41:G44)</f>
        <v>635.794</v>
      </c>
      <c r="H45" s="76">
        <f t="shared" si="0"/>
        <v>0</v>
      </c>
      <c r="I45" s="77">
        <f t="shared" si="7"/>
        <v>0</v>
      </c>
      <c r="J45" s="78">
        <f t="shared" si="1"/>
        <v>0.05257901544697311</v>
      </c>
    </row>
    <row r="46" spans="1:10" ht="12.75" thickBot="1">
      <c r="A46" s="87" t="s">
        <v>19</v>
      </c>
      <c r="B46" s="88">
        <f>B21</f>
        <v>90000</v>
      </c>
      <c r="C46" s="89">
        <f>Rates!D68</f>
        <v>0.002</v>
      </c>
      <c r="D46" s="90">
        <f>B46*C46</f>
        <v>180</v>
      </c>
      <c r="E46" s="88">
        <f>B21</f>
        <v>90000</v>
      </c>
      <c r="F46" s="89">
        <f>Rates!F68</f>
        <v>0.002</v>
      </c>
      <c r="G46" s="90">
        <f>E46*F46</f>
        <v>180</v>
      </c>
      <c r="H46" s="90">
        <f t="shared" si="0"/>
        <v>0</v>
      </c>
      <c r="I46" s="91">
        <f t="shared" si="7"/>
        <v>0</v>
      </c>
      <c r="J46" s="92">
        <f t="shared" si="1"/>
        <v>0.014885674889123143</v>
      </c>
    </row>
    <row r="47" spans="1:10" ht="12.75" thickBot="1">
      <c r="A47" s="73" t="s">
        <v>43</v>
      </c>
      <c r="B47" s="74"/>
      <c r="C47" s="75"/>
      <c r="D47" s="76">
        <f>D28+D40+D45+D46</f>
        <v>11126.999788</v>
      </c>
      <c r="E47" s="75"/>
      <c r="F47" s="75"/>
      <c r="G47" s="76">
        <f>G28+G40+G45+G46</f>
        <v>10701.02878</v>
      </c>
      <c r="H47" s="76">
        <f t="shared" si="0"/>
        <v>-425.9710079999986</v>
      </c>
      <c r="I47" s="77">
        <f t="shared" si="7"/>
        <v>-0.03828264726484406</v>
      </c>
      <c r="J47" s="78">
        <f t="shared" si="1"/>
        <v>0.8849557522123893</v>
      </c>
    </row>
    <row r="48" spans="1:10" ht="12.75" thickBot="1">
      <c r="A48" s="93" t="s">
        <v>46</v>
      </c>
      <c r="B48" s="94"/>
      <c r="C48" s="95">
        <f>Rates!D75</f>
        <v>0.13</v>
      </c>
      <c r="D48" s="90">
        <f>C48*D47</f>
        <v>1446.50997244</v>
      </c>
      <c r="E48" s="96"/>
      <c r="F48" s="95">
        <f>Rates!F75</f>
        <v>0.13</v>
      </c>
      <c r="G48" s="90">
        <f>F48*G47</f>
        <v>1391.1337414000002</v>
      </c>
      <c r="H48" s="90">
        <f t="shared" si="0"/>
        <v>-55.376231039999766</v>
      </c>
      <c r="I48" s="91">
        <f t="shared" si="7"/>
        <v>-0.038282647264844025</v>
      </c>
      <c r="J48" s="92">
        <f t="shared" si="1"/>
        <v>0.11504424778761062</v>
      </c>
    </row>
    <row r="49" spans="1:10" ht="12.75" thickBot="1">
      <c r="A49" s="81" t="s">
        <v>33</v>
      </c>
      <c r="B49" s="82"/>
      <c r="C49" s="83"/>
      <c r="D49" s="104">
        <f>D47+D48</f>
        <v>12573.50976044</v>
      </c>
      <c r="E49" s="83"/>
      <c r="F49" s="83"/>
      <c r="G49" s="104">
        <f>G47+G48</f>
        <v>12092.162521400001</v>
      </c>
      <c r="H49" s="104">
        <f t="shared" si="0"/>
        <v>-481.3472390399984</v>
      </c>
      <c r="I49" s="85">
        <f t="shared" si="7"/>
        <v>-0.03828264726484405</v>
      </c>
      <c r="J49" s="86">
        <f t="shared" si="1"/>
        <v>1</v>
      </c>
    </row>
  </sheetData>
  <sheetProtection/>
  <mergeCells count="4">
    <mergeCell ref="A24:A25"/>
    <mergeCell ref="B24:B25"/>
    <mergeCell ref="E24:E25"/>
    <mergeCell ref="H24:J24"/>
  </mergeCells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 xml:space="preserve">&amp;C&amp;"Arial,Bold"&amp;16Electricity Distribution Impacts
Rates Effective January 1, 2012&amp;"Arial,Regular"&amp;10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zoomScalePageLayoutView="0" workbookViewId="0" topLeftCell="A7">
      <selection activeCell="H34" sqref="H34"/>
    </sheetView>
  </sheetViews>
  <sheetFormatPr defaultColWidth="9.140625" defaultRowHeight="12.75"/>
  <cols>
    <col min="1" max="1" width="81.8515625" style="8" bestFit="1" customWidth="1"/>
    <col min="2" max="2" width="10.00390625" style="11" bestFit="1" customWidth="1"/>
    <col min="3" max="3" width="9.8515625" style="8" bestFit="1" customWidth="1"/>
    <col min="4" max="4" width="12.00390625" style="8" bestFit="1" customWidth="1"/>
    <col min="5" max="6" width="9.140625" style="8" customWidth="1"/>
    <col min="7" max="7" width="12.00390625" style="8" bestFit="1" customWidth="1"/>
    <col min="8" max="8" width="10.57421875" style="8" bestFit="1" customWidth="1"/>
    <col min="9" max="9" width="9.140625" style="8" customWidth="1"/>
    <col min="10" max="10" width="11.57421875" style="8" bestFit="1" customWidth="1"/>
    <col min="11" max="16384" width="9.140625" style="8" customWidth="1"/>
  </cols>
  <sheetData>
    <row r="2" ht="18.75" thickBot="1">
      <c r="A2" s="107" t="s">
        <v>48</v>
      </c>
    </row>
    <row r="3" spans="1:4" ht="36.75" thickBot="1">
      <c r="A3" s="14" t="str">
        <f>Rates!A19</f>
        <v>Residential - R2</v>
      </c>
      <c r="B3" s="16" t="str">
        <f>Rates!B3</f>
        <v>Metric</v>
      </c>
      <c r="C3" s="15" t="str">
        <f>Rates!D3</f>
        <v>Current Approved Rates</v>
      </c>
      <c r="D3" s="15" t="str">
        <f>Rates!F3</f>
        <v>Proposed January 1, 2012</v>
      </c>
    </row>
    <row r="4" spans="1:4" ht="12">
      <c r="A4" s="23" t="str">
        <f>Rates!A20</f>
        <v>Monthly Service Charge</v>
      </c>
      <c r="B4" s="24" t="str">
        <f>Rates!B20</f>
        <v>$</v>
      </c>
      <c r="C4" s="25">
        <f>Rates!D20</f>
        <v>596.12</v>
      </c>
      <c r="D4" s="26">
        <f>Rates!F20</f>
        <v>596.12</v>
      </c>
    </row>
    <row r="5" spans="1:4" ht="12">
      <c r="A5" s="27" t="str">
        <f>Rates!A21</f>
        <v>Smart Meter Rate Adder</v>
      </c>
      <c r="B5" s="28" t="str">
        <f>Rates!B21</f>
        <v>$</v>
      </c>
      <c r="C5" s="29">
        <f>Rates!D21</f>
        <v>1</v>
      </c>
      <c r="D5" s="30">
        <f>Rates!F21</f>
        <v>1</v>
      </c>
    </row>
    <row r="6" spans="1:4" ht="12">
      <c r="A6" s="27" t="str">
        <f>Rates!A22</f>
        <v>Distribution Volumetric Rate</v>
      </c>
      <c r="B6" s="28" t="str">
        <f>Rates!B22</f>
        <v>$/kW</v>
      </c>
      <c r="C6" s="31">
        <f>Rates!D22</f>
        <v>2.5728</v>
      </c>
      <c r="D6" s="32">
        <f>Rates!F22</f>
        <v>2.7086</v>
      </c>
    </row>
    <row r="7" spans="1:4" ht="12">
      <c r="A7" s="27" t="str">
        <f>Rates!A23</f>
        <v>Rate Rider for Foregone Revenue Recovery - effective until December 31, 2012</v>
      </c>
      <c r="B7" s="28" t="str">
        <f>Rates!B23</f>
        <v>$/kW</v>
      </c>
      <c r="C7" s="31">
        <f>Rates!D23</f>
        <v>0</v>
      </c>
      <c r="D7" s="32">
        <f>Rates!F23</f>
        <v>0.0272</v>
      </c>
    </row>
    <row r="8" spans="1:4" ht="12">
      <c r="A8" s="27" t="str">
        <f>Rates!A24</f>
        <v>Rate Rider for Deferral/Variance Account Disposition - effective until May 31, 2013</v>
      </c>
      <c r="B8" s="28" t="str">
        <f>Rates!B24</f>
        <v>$/kW</v>
      </c>
      <c r="C8" s="31">
        <f>Rates!D24</f>
        <v>2.1951</v>
      </c>
      <c r="D8" s="32">
        <f>Rates!F24</f>
        <v>2.2664</v>
      </c>
    </row>
    <row r="9" spans="1:4" ht="12">
      <c r="A9" s="27" t="str">
        <f>Rates!A25</f>
        <v>Rate Rider for Deferral/Variance Account Disposition - effective until May 31, 2013</v>
      </c>
      <c r="B9" s="28" t="str">
        <f>Rates!B25</f>
        <v>$/kW</v>
      </c>
      <c r="C9" s="31"/>
      <c r="D9" s="32">
        <f>Rates!F25</f>
        <v>-2.8219</v>
      </c>
    </row>
    <row r="10" spans="1:4" ht="12">
      <c r="A10" s="27" t="str">
        <f>Rates!A26</f>
        <v>Rate Rider for Tax Changes - effective until December 31, 2012</v>
      </c>
      <c r="B10" s="28" t="str">
        <f>Rates!B26</f>
        <v>$/kW</v>
      </c>
      <c r="C10" s="31">
        <f>Rates!D26</f>
        <v>0</v>
      </c>
      <c r="D10" s="32">
        <f>Rates!F26</f>
        <v>-0.0273</v>
      </c>
    </row>
    <row r="11" spans="1:4" ht="12">
      <c r="A11" s="27" t="str">
        <f>Rates!A27</f>
        <v>Retail Transmission Rate - Network Service Rate</v>
      </c>
      <c r="B11" s="28" t="str">
        <f>Rates!B27</f>
        <v>$/kW</v>
      </c>
      <c r="C11" s="31">
        <f>Rates!D27</f>
        <v>2.1218</v>
      </c>
      <c r="D11" s="32">
        <f>Rates!F27</f>
        <v>2.6396</v>
      </c>
    </row>
    <row r="12" spans="1:4" ht="12">
      <c r="A12" s="27" t="str">
        <f>Rates!A28</f>
        <v>Retail Transmission Rate - Line and Transformation Connection Service Rate</v>
      </c>
      <c r="B12" s="28" t="str">
        <f>Rates!B28</f>
        <v>$/kW</v>
      </c>
      <c r="C12" s="31">
        <f>Rates!D28</f>
        <v>1.6634</v>
      </c>
      <c r="D12" s="32">
        <f>Rates!F28</f>
        <v>1.8099</v>
      </c>
    </row>
    <row r="13" spans="1:4" ht="12">
      <c r="A13" s="19" t="str">
        <f>Rates!A29</f>
        <v>Retail Transmission Rate - Network Service Rate - Interval Meter &gt; 1,000 kW</v>
      </c>
      <c r="B13" s="20" t="str">
        <f>Rates!B29</f>
        <v>$/kW</v>
      </c>
      <c r="C13" s="21">
        <f>Rates!D29</f>
        <v>2.2508</v>
      </c>
      <c r="D13" s="22">
        <f>Rates!F29</f>
        <v>2.8001</v>
      </c>
    </row>
    <row r="14" spans="1:4" ht="12">
      <c r="A14" s="19" t="str">
        <f>Rates!A30</f>
        <v>Retail Transmission Rate - Line and Transformation Connection Service Rate - Interval &gt; 1,000 kW</v>
      </c>
      <c r="B14" s="20" t="str">
        <f>Rates!B30</f>
        <v>$/kW</v>
      </c>
      <c r="C14" s="21">
        <f>Rates!D30</f>
        <v>1.8384</v>
      </c>
      <c r="D14" s="22">
        <f>Rates!F30</f>
        <v>2.0003</v>
      </c>
    </row>
    <row r="15" spans="1:4" ht="12">
      <c r="A15" s="19" t="str">
        <f>Rates!A31</f>
        <v>Wholesale Market Service Rate</v>
      </c>
      <c r="B15" s="20" t="str">
        <f>Rates!B31</f>
        <v>$/kWh</v>
      </c>
      <c r="C15" s="21">
        <f>Rates!D31</f>
        <v>0.0052</v>
      </c>
      <c r="D15" s="22">
        <f>Rates!F31</f>
        <v>0.0052</v>
      </c>
    </row>
    <row r="16" spans="1:4" ht="12">
      <c r="A16" s="19" t="str">
        <f>Rates!A32</f>
        <v>Rural Rate Protection Charge</v>
      </c>
      <c r="B16" s="20" t="str">
        <f>Rates!B32</f>
        <v>$/kWh</v>
      </c>
      <c r="C16" s="21">
        <f>Rates!D32</f>
        <v>0.0013</v>
      </c>
      <c r="D16" s="22">
        <f>Rates!F32</f>
        <v>0.0013</v>
      </c>
    </row>
    <row r="17" spans="1:4" ht="12">
      <c r="A17" s="27" t="str">
        <f>Rates!A33</f>
        <v>Special Purpose Charge</v>
      </c>
      <c r="B17" s="28" t="str">
        <f>Rates!B33</f>
        <v>$/kWh</v>
      </c>
      <c r="C17" s="31">
        <f>Rates!D33</f>
        <v>0</v>
      </c>
      <c r="D17" s="32">
        <f>Rates!F33</f>
        <v>0</v>
      </c>
    </row>
    <row r="18" spans="1:4" ht="12.75" thickBot="1">
      <c r="A18" s="12" t="str">
        <f>Rates!A34</f>
        <v>Standard Supply Service - Administarive Charge (if applicable)</v>
      </c>
      <c r="B18" s="17" t="str">
        <f>Rates!B34</f>
        <v>$</v>
      </c>
      <c r="C18" s="18">
        <f>Rates!D34</f>
        <v>0.25</v>
      </c>
      <c r="D18" s="13">
        <f>Rates!F34</f>
        <v>0.25</v>
      </c>
    </row>
    <row r="20" ht="12.75" thickBot="1"/>
    <row r="21" spans="1:8" ht="13.5" thickBot="1">
      <c r="A21" s="33" t="s">
        <v>26</v>
      </c>
      <c r="B21" s="34">
        <v>1100000</v>
      </c>
      <c r="C21" s="35" t="s">
        <v>27</v>
      </c>
      <c r="D21" s="36">
        <v>2500</v>
      </c>
      <c r="E21" s="35" t="s">
        <v>28</v>
      </c>
      <c r="G21" s="37" t="s">
        <v>23</v>
      </c>
      <c r="H21" s="53">
        <f>Rates!F74</f>
        <v>1.0864</v>
      </c>
    </row>
    <row r="22" spans="1:5" ht="13.5" thickBot="1">
      <c r="A22" s="33" t="s">
        <v>29</v>
      </c>
      <c r="B22" s="34">
        <v>750</v>
      </c>
      <c r="C22" s="35" t="s">
        <v>27</v>
      </c>
      <c r="D22" s="37" t="s">
        <v>30</v>
      </c>
      <c r="E22" s="97">
        <f>IF(D21&gt;0,B21/(D21*24*30.4)," ")</f>
        <v>0.6030701754385965</v>
      </c>
    </row>
    <row r="23" ht="12.75" thickBot="1"/>
    <row r="24" spans="1:10" ht="12.75" customHeight="1">
      <c r="A24" s="148" t="str">
        <f>A3</f>
        <v>Residential - R2</v>
      </c>
      <c r="B24" s="150" t="s">
        <v>31</v>
      </c>
      <c r="C24" s="49" t="s">
        <v>37</v>
      </c>
      <c r="D24" s="49" t="s">
        <v>38</v>
      </c>
      <c r="E24" s="150" t="s">
        <v>31</v>
      </c>
      <c r="F24" s="49" t="s">
        <v>37</v>
      </c>
      <c r="G24" s="49" t="s">
        <v>38</v>
      </c>
      <c r="H24" s="152" t="s">
        <v>44</v>
      </c>
      <c r="I24" s="152"/>
      <c r="J24" s="153"/>
    </row>
    <row r="25" spans="1:10" ht="12.75" thickBot="1">
      <c r="A25" s="149"/>
      <c r="B25" s="151"/>
      <c r="C25" s="50" t="s">
        <v>15</v>
      </c>
      <c r="D25" s="50" t="s">
        <v>15</v>
      </c>
      <c r="E25" s="151"/>
      <c r="F25" s="50" t="s">
        <v>15</v>
      </c>
      <c r="G25" s="50" t="s">
        <v>15</v>
      </c>
      <c r="H25" s="50" t="s">
        <v>15</v>
      </c>
      <c r="I25" s="51" t="s">
        <v>22</v>
      </c>
      <c r="J25" s="52" t="s">
        <v>34</v>
      </c>
    </row>
    <row r="26" spans="1:10" ht="12">
      <c r="A26" s="54" t="s">
        <v>35</v>
      </c>
      <c r="B26" s="55">
        <f>IF(B21*Rates!D74&gt;B22,B22,B21*Rates!D74)</f>
        <v>750</v>
      </c>
      <c r="C26" s="56">
        <f>Rates!D69</f>
        <v>0.068</v>
      </c>
      <c r="D26" s="57">
        <f>B26*C26</f>
        <v>51.00000000000001</v>
      </c>
      <c r="E26" s="55">
        <f>IF(B21*H21&gt;B22,B22,B21*H21)</f>
        <v>750</v>
      </c>
      <c r="F26" s="56">
        <f>Rates!F69</f>
        <v>0.068</v>
      </c>
      <c r="G26" s="57">
        <f>E26*F26</f>
        <v>51.00000000000001</v>
      </c>
      <c r="H26" s="58">
        <f aca="true" t="shared" si="0" ref="H26:H49">G26-D26</f>
        <v>0</v>
      </c>
      <c r="I26" s="59">
        <f>IF(ISERROR(H26/D26),1,H26/D26)</f>
        <v>0</v>
      </c>
      <c r="J26" s="60">
        <f aca="true" t="shared" si="1" ref="J26:J49">IF(ISERROR(G26/G$49),0,G26/G$49)</f>
        <v>0.0003657866628147574</v>
      </c>
    </row>
    <row r="27" spans="1:10" ht="12.75" thickBot="1">
      <c r="A27" s="63" t="s">
        <v>36</v>
      </c>
      <c r="B27" s="64">
        <f>IF(B21*Rates!D74&gt;=B22,B21*Rates!D74-B22,0)</f>
        <v>1194290</v>
      </c>
      <c r="C27" s="65">
        <f>Rates!D70</f>
        <v>0.079</v>
      </c>
      <c r="D27" s="66">
        <f>B27*C27</f>
        <v>94348.91</v>
      </c>
      <c r="E27" s="64">
        <f>IF(B21*H21&gt;=B22,B21*H21-B22,0)</f>
        <v>1194290</v>
      </c>
      <c r="F27" s="65">
        <f>Rates!F70</f>
        <v>0.079</v>
      </c>
      <c r="G27" s="66">
        <f>E27*F27</f>
        <v>94348.91</v>
      </c>
      <c r="H27" s="66">
        <f t="shared" si="0"/>
        <v>0</v>
      </c>
      <c r="I27" s="67">
        <f>IF(ISERROR(H27/D27),0,H27/D27)</f>
        <v>0</v>
      </c>
      <c r="J27" s="68">
        <f t="shared" si="1"/>
        <v>0.6766975084139193</v>
      </c>
    </row>
    <row r="28" spans="1:10" ht="12.75" thickBot="1">
      <c r="A28" s="73" t="s">
        <v>39</v>
      </c>
      <c r="B28" s="74"/>
      <c r="C28" s="75"/>
      <c r="D28" s="76">
        <f>SUM(D26:D27)</f>
        <v>94399.91</v>
      </c>
      <c r="E28" s="75"/>
      <c r="F28" s="75"/>
      <c r="G28" s="76">
        <f>SUM(G26:G27)</f>
        <v>94399.91</v>
      </c>
      <c r="H28" s="76">
        <f t="shared" si="0"/>
        <v>0</v>
      </c>
      <c r="I28" s="77">
        <f>IF(ISERROR(H28/D28),0,H28/D28)</f>
        <v>0</v>
      </c>
      <c r="J28" s="78">
        <f t="shared" si="1"/>
        <v>0.6770632950767341</v>
      </c>
    </row>
    <row r="29" spans="1:10" ht="12">
      <c r="A29" s="69" t="str">
        <f aca="true" t="shared" si="2" ref="A29:A35">A4</f>
        <v>Monthly Service Charge</v>
      </c>
      <c r="B29" s="70">
        <v>1</v>
      </c>
      <c r="C29" s="46">
        <f aca="true" t="shared" si="3" ref="C29:C35">C4</f>
        <v>596.12</v>
      </c>
      <c r="D29" s="46">
        <f aca="true" t="shared" si="4" ref="D29:D35">B29*C29</f>
        <v>596.12</v>
      </c>
      <c r="E29" s="71">
        <f>B29</f>
        <v>1</v>
      </c>
      <c r="F29" s="47">
        <f aca="true" t="shared" si="5" ref="F29:F35">D4</f>
        <v>596.12</v>
      </c>
      <c r="G29" s="47">
        <f aca="true" t="shared" si="6" ref="G29:G35">E29*F29</f>
        <v>596.12</v>
      </c>
      <c r="H29" s="47">
        <f t="shared" si="0"/>
        <v>0</v>
      </c>
      <c r="I29" s="48">
        <f>IF(ISERROR(H29/D29),0,H29/D29)</f>
        <v>0</v>
      </c>
      <c r="J29" s="72">
        <f t="shared" si="1"/>
        <v>0.004275544028179081</v>
      </c>
    </row>
    <row r="30" spans="1:10" ht="12">
      <c r="A30" s="61" t="str">
        <f t="shared" si="2"/>
        <v>Smart Meter Rate Adder</v>
      </c>
      <c r="B30" s="43">
        <f>B29</f>
        <v>1</v>
      </c>
      <c r="C30" s="41">
        <f t="shared" si="3"/>
        <v>1</v>
      </c>
      <c r="D30" s="41">
        <f t="shared" si="4"/>
        <v>1</v>
      </c>
      <c r="E30" s="43">
        <f>B30</f>
        <v>1</v>
      </c>
      <c r="F30" s="41">
        <f t="shared" si="5"/>
        <v>1</v>
      </c>
      <c r="G30" s="41">
        <f t="shared" si="6"/>
        <v>1</v>
      </c>
      <c r="H30" s="41">
        <f t="shared" si="0"/>
        <v>0</v>
      </c>
      <c r="I30" s="42">
        <f>IF(ISERROR(H30/D30),1,H30/D30)</f>
        <v>0</v>
      </c>
      <c r="J30" s="62">
        <f t="shared" si="1"/>
        <v>7.172287506171712E-06</v>
      </c>
    </row>
    <row r="31" spans="1:10" ht="12">
      <c r="A31" s="61" t="str">
        <f t="shared" si="2"/>
        <v>Distribution Volumetric Rate</v>
      </c>
      <c r="B31" s="43">
        <f>D21</f>
        <v>2500</v>
      </c>
      <c r="C31" s="40">
        <f t="shared" si="3"/>
        <v>2.5728</v>
      </c>
      <c r="D31" s="41">
        <f t="shared" si="4"/>
        <v>6432</v>
      </c>
      <c r="E31" s="43">
        <f>D21</f>
        <v>2500</v>
      </c>
      <c r="F31" s="40">
        <f t="shared" si="5"/>
        <v>2.7086</v>
      </c>
      <c r="G31" s="41">
        <f t="shared" si="6"/>
        <v>6771.5</v>
      </c>
      <c r="H31" s="41">
        <f t="shared" si="0"/>
        <v>339.5</v>
      </c>
      <c r="I31" s="42">
        <f aca="true" t="shared" si="7" ref="I31:I49">IF(ISERROR(H31/D31),0,H31/D31)</f>
        <v>0.052782960199004976</v>
      </c>
      <c r="J31" s="62">
        <f t="shared" si="1"/>
        <v>0.04856714484804175</v>
      </c>
    </row>
    <row r="32" spans="1:10" ht="12">
      <c r="A32" s="61" t="str">
        <f t="shared" si="2"/>
        <v>Rate Rider for Foregone Revenue Recovery - effective until December 31, 2012</v>
      </c>
      <c r="B32" s="43">
        <f>D21</f>
        <v>2500</v>
      </c>
      <c r="C32" s="40">
        <f t="shared" si="3"/>
        <v>0</v>
      </c>
      <c r="D32" s="41">
        <f t="shared" si="4"/>
        <v>0</v>
      </c>
      <c r="E32" s="43">
        <f>D21</f>
        <v>2500</v>
      </c>
      <c r="F32" s="40">
        <f t="shared" si="5"/>
        <v>0.0272</v>
      </c>
      <c r="G32" s="41">
        <f>E32*F32</f>
        <v>68</v>
      </c>
      <c r="H32" s="41">
        <f>G32-D32</f>
        <v>68</v>
      </c>
      <c r="I32" s="42">
        <f>IF(ISERROR(H32/D32),0,H32/D32)</f>
        <v>0</v>
      </c>
      <c r="J32" s="62">
        <f>IF(ISERROR(G32/G$49),0,G32/G$49)</f>
        <v>0.0004877155504196764</v>
      </c>
    </row>
    <row r="33" spans="1:10" ht="12">
      <c r="A33" s="61" t="str">
        <f t="shared" si="2"/>
        <v>Rate Rider for Deferral/Variance Account Disposition - effective until May 31, 2013</v>
      </c>
      <c r="B33" s="43">
        <f>D21</f>
        <v>2500</v>
      </c>
      <c r="C33" s="40">
        <f t="shared" si="3"/>
        <v>2.1951</v>
      </c>
      <c r="D33" s="41">
        <f t="shared" si="4"/>
        <v>5487.75</v>
      </c>
      <c r="E33" s="43">
        <f>D21</f>
        <v>2500</v>
      </c>
      <c r="F33" s="40">
        <f t="shared" si="5"/>
        <v>2.2664</v>
      </c>
      <c r="G33" s="41">
        <f t="shared" si="6"/>
        <v>5666</v>
      </c>
      <c r="H33" s="41">
        <f t="shared" si="0"/>
        <v>178.25</v>
      </c>
      <c r="I33" s="42">
        <f t="shared" si="7"/>
        <v>0.03248143592547036</v>
      </c>
      <c r="J33" s="62">
        <f t="shared" si="1"/>
        <v>0.040638181009968924</v>
      </c>
    </row>
    <row r="34" spans="1:10" ht="12">
      <c r="A34" s="61" t="str">
        <f t="shared" si="2"/>
        <v>Rate Rider for Deferral/Variance Account Disposition - effective until May 31, 2013</v>
      </c>
      <c r="B34" s="43">
        <f>D21</f>
        <v>2500</v>
      </c>
      <c r="C34" s="40">
        <f t="shared" si="3"/>
        <v>0</v>
      </c>
      <c r="D34" s="41">
        <f t="shared" si="4"/>
        <v>0</v>
      </c>
      <c r="E34" s="43">
        <f>D21</f>
        <v>2500</v>
      </c>
      <c r="F34" s="40">
        <f t="shared" si="5"/>
        <v>-2.8219</v>
      </c>
      <c r="G34" s="41">
        <f>E34*F34</f>
        <v>-7054.75</v>
      </c>
      <c r="H34" s="41">
        <f>G34-D34</f>
        <v>-7054.75</v>
      </c>
      <c r="I34" s="42">
        <f>IF(ISERROR(H34/D34),0,H34/D34)</f>
        <v>0</v>
      </c>
      <c r="J34" s="62">
        <f>IF(ISERROR(G34/G$49),0,G34/G$49)</f>
        <v>-0.050598695284164885</v>
      </c>
    </row>
    <row r="35" spans="1:10" ht="12.75" thickBot="1">
      <c r="A35" s="61" t="str">
        <f t="shared" si="2"/>
        <v>Rate Rider for Tax Changes - effective until December 31, 2012</v>
      </c>
      <c r="B35" s="43">
        <f>D21</f>
        <v>2500</v>
      </c>
      <c r="C35" s="40">
        <f t="shared" si="3"/>
        <v>0</v>
      </c>
      <c r="D35" s="41">
        <f t="shared" si="4"/>
        <v>0</v>
      </c>
      <c r="E35" s="43">
        <f>D21</f>
        <v>2500</v>
      </c>
      <c r="F35" s="40">
        <f t="shared" si="5"/>
        <v>-0.0273</v>
      </c>
      <c r="G35" s="41">
        <f t="shared" si="6"/>
        <v>-68.25</v>
      </c>
      <c r="H35" s="41">
        <f t="shared" si="0"/>
        <v>-68.25</v>
      </c>
      <c r="I35" s="42">
        <f t="shared" si="7"/>
        <v>0</v>
      </c>
      <c r="J35" s="62">
        <f t="shared" si="1"/>
        <v>-0.0004895086222962194</v>
      </c>
    </row>
    <row r="36" spans="1:10" ht="12.75" thickBot="1">
      <c r="A36" s="73" t="s">
        <v>40</v>
      </c>
      <c r="B36" s="74"/>
      <c r="C36" s="75"/>
      <c r="D36" s="80">
        <f>SUM(D29:D35)</f>
        <v>12516.869999999999</v>
      </c>
      <c r="E36" s="75"/>
      <c r="F36" s="75"/>
      <c r="G36" s="76">
        <f>SUM(G29:G35)</f>
        <v>5979.619999999999</v>
      </c>
      <c r="H36" s="76">
        <f t="shared" si="0"/>
        <v>-6537.25</v>
      </c>
      <c r="I36" s="77">
        <f t="shared" si="7"/>
        <v>-0.5222751374744645</v>
      </c>
      <c r="J36" s="78">
        <f t="shared" si="1"/>
        <v>0.04288755381765449</v>
      </c>
    </row>
    <row r="37" spans="1:10" ht="12">
      <c r="A37" s="69" t="str">
        <f>A13</f>
        <v>Retail Transmission Rate - Network Service Rate - Interval Meter &gt; 1,000 kW</v>
      </c>
      <c r="B37" s="44">
        <f>D21*Rates!D74</f>
        <v>2716</v>
      </c>
      <c r="C37" s="45">
        <f>C13</f>
        <v>2.2508</v>
      </c>
      <c r="D37" s="47">
        <f>B37*C37</f>
        <v>6113.172799999999</v>
      </c>
      <c r="E37" s="44">
        <f>D21*H21</f>
        <v>2716</v>
      </c>
      <c r="F37" s="45">
        <f>D13</f>
        <v>2.8001</v>
      </c>
      <c r="G37" s="47">
        <f>E37*F37</f>
        <v>7605.0716</v>
      </c>
      <c r="H37" s="47">
        <f t="shared" si="0"/>
        <v>1491.8988000000008</v>
      </c>
      <c r="I37" s="48">
        <f t="shared" si="7"/>
        <v>0.24404656122267654</v>
      </c>
      <c r="J37" s="72">
        <f t="shared" si="1"/>
        <v>0.054545760020221316</v>
      </c>
    </row>
    <row r="38" spans="1:10" ht="12.75" thickBot="1">
      <c r="A38" s="63" t="str">
        <f>A14</f>
        <v>Retail Transmission Rate - Line and Transformation Connection Service Rate - Interval &gt; 1,000 kW</v>
      </c>
      <c r="B38" s="64">
        <f>D21*Rates!D74</f>
        <v>2716</v>
      </c>
      <c r="C38" s="65">
        <f>C14</f>
        <v>1.8384</v>
      </c>
      <c r="D38" s="66">
        <f>B38*C38</f>
        <v>4993.0944</v>
      </c>
      <c r="E38" s="64">
        <f>D21*H21</f>
        <v>2716</v>
      </c>
      <c r="F38" s="65">
        <f>D14</f>
        <v>2.0003</v>
      </c>
      <c r="G38" s="66">
        <f>E38*F38</f>
        <v>5432.8148</v>
      </c>
      <c r="H38" s="66">
        <f t="shared" si="0"/>
        <v>439.72040000000015</v>
      </c>
      <c r="I38" s="67">
        <f t="shared" si="7"/>
        <v>0.08806570931244563</v>
      </c>
      <c r="J38" s="68">
        <f t="shared" si="1"/>
        <v>0.03896570971338477</v>
      </c>
    </row>
    <row r="39" spans="1:10" ht="12.75" thickBot="1">
      <c r="A39" s="73" t="s">
        <v>32</v>
      </c>
      <c r="B39" s="74"/>
      <c r="C39" s="75"/>
      <c r="D39" s="76">
        <f>SUM(D37:D38)</f>
        <v>11106.267199999998</v>
      </c>
      <c r="E39" s="75"/>
      <c r="F39" s="75"/>
      <c r="G39" s="76">
        <f>SUM(G37:G38)</f>
        <v>13037.8864</v>
      </c>
      <c r="H39" s="76">
        <f t="shared" si="0"/>
        <v>1931.619200000001</v>
      </c>
      <c r="I39" s="77">
        <f t="shared" si="7"/>
        <v>0.17392154944732477</v>
      </c>
      <c r="J39" s="78">
        <f t="shared" si="1"/>
        <v>0.09351146973360608</v>
      </c>
    </row>
    <row r="40" spans="1:10" ht="12.75" thickBot="1">
      <c r="A40" s="81" t="s">
        <v>41</v>
      </c>
      <c r="B40" s="82"/>
      <c r="C40" s="83"/>
      <c r="D40" s="84">
        <f>D36+D39</f>
        <v>23623.137199999997</v>
      </c>
      <c r="E40" s="83"/>
      <c r="F40" s="83"/>
      <c r="G40" s="84">
        <f>G36+G39</f>
        <v>19017.5064</v>
      </c>
      <c r="H40" s="84">
        <f t="shared" si="0"/>
        <v>-4605.630799999999</v>
      </c>
      <c r="I40" s="85">
        <f t="shared" si="7"/>
        <v>-0.19496270800137416</v>
      </c>
      <c r="J40" s="86">
        <f t="shared" si="1"/>
        <v>0.13639902355126057</v>
      </c>
    </row>
    <row r="41" spans="1:10" ht="12">
      <c r="A41" s="69" t="str">
        <f>A15</f>
        <v>Wholesale Market Service Rate</v>
      </c>
      <c r="B41" s="44">
        <f>B21*Rates!D74</f>
        <v>1195040</v>
      </c>
      <c r="C41" s="45">
        <f>C15</f>
        <v>0.0052</v>
      </c>
      <c r="D41" s="47">
        <f>B41*C41</f>
        <v>6214.208</v>
      </c>
      <c r="E41" s="44">
        <f>B21*H21</f>
        <v>1195040</v>
      </c>
      <c r="F41" s="45">
        <f>D15</f>
        <v>0.0052</v>
      </c>
      <c r="G41" s="47">
        <f>E41*F41</f>
        <v>6214.208</v>
      </c>
      <c r="H41" s="47">
        <f t="shared" si="0"/>
        <v>0</v>
      </c>
      <c r="I41" s="48">
        <f t="shared" si="7"/>
        <v>0</v>
      </c>
      <c r="J41" s="72">
        <f t="shared" si="1"/>
        <v>0.0445700863991523</v>
      </c>
    </row>
    <row r="42" spans="1:10" ht="12">
      <c r="A42" s="61" t="str">
        <f>A16</f>
        <v>Rural Rate Protection Charge</v>
      </c>
      <c r="B42" s="39">
        <f>B21*Rates!D74</f>
        <v>1195040</v>
      </c>
      <c r="C42" s="40">
        <f>C16</f>
        <v>0.0013</v>
      </c>
      <c r="D42" s="41">
        <f>B42*C42</f>
        <v>1553.552</v>
      </c>
      <c r="E42" s="39">
        <f>B21*H21</f>
        <v>1195040</v>
      </c>
      <c r="F42" s="40">
        <f>D16</f>
        <v>0.0013</v>
      </c>
      <c r="G42" s="41">
        <f>E42*F42</f>
        <v>1553.552</v>
      </c>
      <c r="H42" s="41">
        <f t="shared" si="0"/>
        <v>0</v>
      </c>
      <c r="I42" s="42">
        <f t="shared" si="7"/>
        <v>0</v>
      </c>
      <c r="J42" s="62">
        <f t="shared" si="1"/>
        <v>0.011142521599788076</v>
      </c>
    </row>
    <row r="43" spans="1:10" ht="12">
      <c r="A43" s="63" t="s">
        <v>45</v>
      </c>
      <c r="B43" s="64">
        <f>B21*Rates!D74</f>
        <v>1195040</v>
      </c>
      <c r="C43" s="65">
        <f>Rates!D33</f>
        <v>0</v>
      </c>
      <c r="D43" s="66">
        <f>B43*C43</f>
        <v>0</v>
      </c>
      <c r="E43" s="64">
        <f>B21*Rates!F74</f>
        <v>1195040</v>
      </c>
      <c r="F43" s="65">
        <f>Rates!F33</f>
        <v>0</v>
      </c>
      <c r="G43" s="66">
        <f>E43*F43</f>
        <v>0</v>
      </c>
      <c r="H43" s="41">
        <f>G43-D43</f>
        <v>0</v>
      </c>
      <c r="I43" s="42">
        <f>IF(ISERROR(H43/D43),0,H43/D43)</f>
        <v>0</v>
      </c>
      <c r="J43" s="62">
        <f t="shared" si="1"/>
        <v>0</v>
      </c>
    </row>
    <row r="44" spans="1:10" ht="12.75" thickBot="1">
      <c r="A44" s="63" t="str">
        <f>A18</f>
        <v>Standard Supply Service - Administarive Charge (if applicable)</v>
      </c>
      <c r="B44" s="79">
        <f>B29</f>
        <v>1</v>
      </c>
      <c r="C44" s="66">
        <f>C18</f>
        <v>0.25</v>
      </c>
      <c r="D44" s="66">
        <f>B44*C44</f>
        <v>0.25</v>
      </c>
      <c r="E44" s="64">
        <f>B29</f>
        <v>1</v>
      </c>
      <c r="F44" s="66">
        <f>D18</f>
        <v>0.25</v>
      </c>
      <c r="G44" s="66">
        <f>E44*F44</f>
        <v>0.25</v>
      </c>
      <c r="H44" s="66">
        <f t="shared" si="0"/>
        <v>0</v>
      </c>
      <c r="I44" s="67">
        <f t="shared" si="7"/>
        <v>0</v>
      </c>
      <c r="J44" s="68">
        <f t="shared" si="1"/>
        <v>1.793071876542928E-06</v>
      </c>
    </row>
    <row r="45" spans="1:10" ht="12.75" thickBot="1">
      <c r="A45" s="73" t="s">
        <v>42</v>
      </c>
      <c r="B45" s="74"/>
      <c r="C45" s="75"/>
      <c r="D45" s="76">
        <f>SUM(D41:D44)</f>
        <v>7768.009999999999</v>
      </c>
      <c r="E45" s="75"/>
      <c r="F45" s="75"/>
      <c r="G45" s="76">
        <f>SUM(G41:G44)</f>
        <v>7768.009999999999</v>
      </c>
      <c r="H45" s="76">
        <f t="shared" si="0"/>
        <v>0</v>
      </c>
      <c r="I45" s="77">
        <f t="shared" si="7"/>
        <v>0</v>
      </c>
      <c r="J45" s="78">
        <f t="shared" si="1"/>
        <v>0.05571440107081692</v>
      </c>
    </row>
    <row r="46" spans="1:10" ht="12.75" thickBot="1">
      <c r="A46" s="87" t="s">
        <v>19</v>
      </c>
      <c r="B46" s="88">
        <f>B21</f>
        <v>1100000</v>
      </c>
      <c r="C46" s="89">
        <f>Rates!D68</f>
        <v>0.002</v>
      </c>
      <c r="D46" s="90">
        <f>B46*C46</f>
        <v>2200</v>
      </c>
      <c r="E46" s="88">
        <f>B21</f>
        <v>1100000</v>
      </c>
      <c r="F46" s="89">
        <f>Rates!F68</f>
        <v>0.002</v>
      </c>
      <c r="G46" s="90">
        <f>E46*F46</f>
        <v>2200</v>
      </c>
      <c r="H46" s="90">
        <f t="shared" si="0"/>
        <v>0</v>
      </c>
      <c r="I46" s="91">
        <f t="shared" si="7"/>
        <v>0</v>
      </c>
      <c r="J46" s="92">
        <f t="shared" si="1"/>
        <v>0.015779032513577766</v>
      </c>
    </row>
    <row r="47" spans="1:10" ht="12.75" thickBot="1">
      <c r="A47" s="73" t="s">
        <v>43</v>
      </c>
      <c r="B47" s="74"/>
      <c r="C47" s="75"/>
      <c r="D47" s="76">
        <f>D28+D40+D45+D46</f>
        <v>127991.0572</v>
      </c>
      <c r="E47" s="75"/>
      <c r="F47" s="75"/>
      <c r="G47" s="76">
        <f>G28+G40+G45+G46</f>
        <v>123385.4264</v>
      </c>
      <c r="H47" s="76">
        <f t="shared" si="0"/>
        <v>-4605.630799999999</v>
      </c>
      <c r="I47" s="77">
        <f t="shared" si="7"/>
        <v>-0.03598400466997626</v>
      </c>
      <c r="J47" s="78">
        <f t="shared" si="1"/>
        <v>0.8849557522123893</v>
      </c>
    </row>
    <row r="48" spans="1:10" ht="12.75" thickBot="1">
      <c r="A48" s="93" t="s">
        <v>46</v>
      </c>
      <c r="B48" s="94"/>
      <c r="C48" s="95">
        <f>Rates!D75</f>
        <v>0.13</v>
      </c>
      <c r="D48" s="90">
        <f>C48*D47</f>
        <v>16638.837436</v>
      </c>
      <c r="E48" s="96"/>
      <c r="F48" s="95">
        <f>Rates!F75</f>
        <v>0.13</v>
      </c>
      <c r="G48" s="90">
        <f>F48*G47</f>
        <v>16040.105432</v>
      </c>
      <c r="H48" s="90">
        <f t="shared" si="0"/>
        <v>-598.7320040000013</v>
      </c>
      <c r="I48" s="91">
        <f t="shared" si="7"/>
        <v>-0.035984004669976345</v>
      </c>
      <c r="J48" s="92">
        <f t="shared" si="1"/>
        <v>0.11504424778761062</v>
      </c>
    </row>
    <row r="49" spans="1:10" ht="12.75" thickBot="1">
      <c r="A49" s="81" t="s">
        <v>33</v>
      </c>
      <c r="B49" s="82"/>
      <c r="C49" s="83"/>
      <c r="D49" s="104">
        <f>D47+D48</f>
        <v>144629.89463599998</v>
      </c>
      <c r="E49" s="83"/>
      <c r="F49" s="83"/>
      <c r="G49" s="104">
        <f>G47+G48</f>
        <v>139425.531832</v>
      </c>
      <c r="H49" s="104">
        <f t="shared" si="0"/>
        <v>-5204.362803999975</v>
      </c>
      <c r="I49" s="85">
        <f t="shared" si="7"/>
        <v>-0.0359840046699761</v>
      </c>
      <c r="J49" s="86">
        <f t="shared" si="1"/>
        <v>1</v>
      </c>
    </row>
  </sheetData>
  <sheetProtection/>
  <mergeCells count="4">
    <mergeCell ref="A24:A25"/>
    <mergeCell ref="B24:B25"/>
    <mergeCell ref="E24:E25"/>
    <mergeCell ref="H24:J24"/>
  </mergeCells>
  <printOptions/>
  <pageMargins left="0.75" right="0.75" top="1" bottom="1" header="0.5" footer="0.5"/>
  <pageSetup fitToHeight="1" fitToWidth="1" horizontalDpi="600" verticalDpi="600" orientation="landscape" scale="69" r:id="rId1"/>
  <headerFooter alignWithMargins="0">
    <oddHeader xml:space="preserve">&amp;C&amp;"Arial,Bold"&amp;16Electricity Distribution Impacts
Rates Effective January 1, 2012&amp;"Arial,Regular"&amp;10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2"/>
  <sheetViews>
    <sheetView zoomScalePageLayoutView="0" workbookViewId="0" topLeftCell="A7">
      <selection activeCell="G30" sqref="G30:J31"/>
    </sheetView>
  </sheetViews>
  <sheetFormatPr defaultColWidth="9.140625" defaultRowHeight="12.75"/>
  <cols>
    <col min="1" max="1" width="73.140625" style="8" bestFit="1" customWidth="1"/>
    <col min="2" max="2" width="9.00390625" style="11" bestFit="1" customWidth="1"/>
    <col min="3" max="3" width="9.8515625" style="8" bestFit="1" customWidth="1"/>
    <col min="4" max="4" width="10.28125" style="8" bestFit="1" customWidth="1"/>
    <col min="5" max="6" width="9.140625" style="8" customWidth="1"/>
    <col min="7" max="7" width="10.28125" style="8" bestFit="1" customWidth="1"/>
    <col min="8" max="9" width="9.140625" style="8" customWidth="1"/>
    <col min="10" max="10" width="11.57421875" style="8" bestFit="1" customWidth="1"/>
    <col min="11" max="16384" width="9.140625" style="8" customWidth="1"/>
  </cols>
  <sheetData>
    <row r="2" ht="12.75" thickBot="1"/>
    <row r="3" spans="1:4" ht="36.75" thickBot="1">
      <c r="A3" s="14" t="str">
        <f>Rates!A36</f>
        <v>Seasonal</v>
      </c>
      <c r="B3" s="16" t="str">
        <f>Rates!B3</f>
        <v>Metric</v>
      </c>
      <c r="C3" s="15" t="str">
        <f>Rates!D3</f>
        <v>Current Approved Rates</v>
      </c>
      <c r="D3" s="15" t="str">
        <f>Rates!F3</f>
        <v>Proposed January 1, 2012</v>
      </c>
    </row>
    <row r="4" spans="1:4" ht="12">
      <c r="A4" s="23" t="str">
        <f>Rates!A37</f>
        <v>Monthly Service Charge</v>
      </c>
      <c r="B4" s="24" t="str">
        <f>Rates!B37</f>
        <v>$</v>
      </c>
      <c r="C4" s="25">
        <f>Rates!D37</f>
        <v>26.07</v>
      </c>
      <c r="D4" s="26">
        <f>Rates!F37</f>
        <v>26.15</v>
      </c>
    </row>
    <row r="5" spans="1:4" ht="12">
      <c r="A5" s="27" t="str">
        <f>Rates!A38</f>
        <v>Smart Meter Rate Adder</v>
      </c>
      <c r="B5" s="28" t="str">
        <f>Rates!B38</f>
        <v>$</v>
      </c>
      <c r="C5" s="29">
        <f>Rates!D38</f>
        <v>1</v>
      </c>
      <c r="D5" s="30">
        <f>Rates!F38</f>
        <v>1</v>
      </c>
    </row>
    <row r="6" spans="1:4" ht="12">
      <c r="A6" s="27" t="str">
        <f>Rates!A39</f>
        <v>Distribution Volumetric Rate</v>
      </c>
      <c r="B6" s="28" t="str">
        <f>Rates!B39</f>
        <v>$/kWh</v>
      </c>
      <c r="C6" s="31">
        <f>Rates!D39</f>
        <v>0.1001</v>
      </c>
      <c r="D6" s="32">
        <f>Rates!F39</f>
        <v>0.1006</v>
      </c>
    </row>
    <row r="7" spans="1:4" ht="12">
      <c r="A7" s="27" t="str">
        <f>Rates!A40</f>
        <v>Rate Rider for Foregone Revenue Recovery - effective until December 31, 2012</v>
      </c>
      <c r="B7" s="28" t="str">
        <f>Rates!B40</f>
        <v>$/kWh</v>
      </c>
      <c r="C7" s="31">
        <f>Rates!D40</f>
        <v>0</v>
      </c>
      <c r="D7" s="32">
        <f>Rates!F40</f>
        <v>0.0002</v>
      </c>
    </row>
    <row r="8" spans="1:4" ht="12">
      <c r="A8" s="27" t="str">
        <f>Rates!A41</f>
        <v>Rate Rider for Deferral/Variance Account Disposition - effective until May 31, 2013</v>
      </c>
      <c r="B8" s="28" t="str">
        <f>Rates!B41</f>
        <v>$/kWh</v>
      </c>
      <c r="C8" s="31">
        <f>Rates!D41</f>
        <v>0.0045</v>
      </c>
      <c r="D8" s="32">
        <f>Rates!F41</f>
        <v>0.0046</v>
      </c>
    </row>
    <row r="9" spans="1:4" ht="12">
      <c r="A9" s="27" t="str">
        <f>Rates!A42</f>
        <v>Rate Rider for Deferral/Variance Account Disposition - effective until May 31, 2013</v>
      </c>
      <c r="B9" s="28" t="str">
        <f>Rates!B42</f>
        <v>$/kWh</v>
      </c>
      <c r="C9" s="31"/>
      <c r="D9" s="32">
        <f>Rates!F42</f>
        <v>-0.0061</v>
      </c>
    </row>
    <row r="10" spans="1:4" ht="12">
      <c r="A10" s="27" t="str">
        <f>Rates!A43</f>
        <v>Rate Rider for Deferral/Variance Account Disposition - effective until November 30, 2015</v>
      </c>
      <c r="B10" s="28" t="str">
        <f>Rates!B43</f>
        <v>$/kWh</v>
      </c>
      <c r="C10" s="31">
        <f>Rates!D43</f>
        <v>0.0307</v>
      </c>
      <c r="D10" s="32">
        <f>Rates!F43</f>
        <v>0.0307</v>
      </c>
    </row>
    <row r="11" spans="1:4" ht="12">
      <c r="A11" s="27" t="str">
        <f>Rates!A44</f>
        <v>Rate Rider for Tax Changes - effective until December 31, 2012</v>
      </c>
      <c r="B11" s="28" t="str">
        <f>Rates!B44</f>
        <v>$/kWh</v>
      </c>
      <c r="C11" s="31">
        <f>Rates!D44</f>
        <v>0</v>
      </c>
      <c r="D11" s="32">
        <f>Rates!F44</f>
        <v>-0.0003</v>
      </c>
    </row>
    <row r="12" spans="1:4" ht="12">
      <c r="A12" s="27" t="str">
        <f>Rates!A45</f>
        <v>Retail Transmission Rate - Network Service Rate</v>
      </c>
      <c r="B12" s="28" t="str">
        <f>Rates!B45</f>
        <v>$/kWh</v>
      </c>
      <c r="C12" s="31">
        <f>Rates!D45</f>
        <v>0.0057</v>
      </c>
      <c r="D12" s="32">
        <f>Rates!F45</f>
        <v>0.0071</v>
      </c>
    </row>
    <row r="13" spans="1:4" ht="12">
      <c r="A13" s="27" t="str">
        <f>Rates!A46</f>
        <v>Retail Transmission Rate - Line and Transformation Connection Service Rate</v>
      </c>
      <c r="B13" s="28" t="str">
        <f>Rates!B46</f>
        <v>$/kWh</v>
      </c>
      <c r="C13" s="31">
        <f>Rates!D46</f>
        <v>0.0047</v>
      </c>
      <c r="D13" s="32">
        <f>Rates!F46</f>
        <v>0.0051</v>
      </c>
    </row>
    <row r="14" spans="1:4" ht="12">
      <c r="A14" s="27" t="str">
        <f>Rates!A47</f>
        <v>Wholesale Market Service Rate</v>
      </c>
      <c r="B14" s="28" t="str">
        <f>Rates!B47</f>
        <v>$/kWh</v>
      </c>
      <c r="C14" s="31">
        <f>Rates!D47</f>
        <v>0.0052</v>
      </c>
      <c r="D14" s="32">
        <f>Rates!F47</f>
        <v>0.0052</v>
      </c>
    </row>
    <row r="15" spans="1:4" ht="12">
      <c r="A15" s="27" t="str">
        <f>Rates!A48</f>
        <v>Rural Rate Protection Charge</v>
      </c>
      <c r="B15" s="28" t="str">
        <f>Rates!B48</f>
        <v>$/kWh</v>
      </c>
      <c r="C15" s="31">
        <f>Rates!D48</f>
        <v>0.0013</v>
      </c>
      <c r="D15" s="32">
        <f>Rates!F48</f>
        <v>0.0013</v>
      </c>
    </row>
    <row r="16" spans="1:4" ht="12">
      <c r="A16" s="27" t="str">
        <f>Rates!A49</f>
        <v>Special Purpose Charge</v>
      </c>
      <c r="B16" s="28" t="str">
        <f>Rates!B49</f>
        <v>$/kWh</v>
      </c>
      <c r="C16" s="31">
        <f>Rates!D49</f>
        <v>0</v>
      </c>
      <c r="D16" s="32">
        <f>Rates!F49</f>
        <v>0</v>
      </c>
    </row>
    <row r="17" spans="1:4" ht="12.75" thickBot="1">
      <c r="A17" s="12" t="str">
        <f>Rates!A50</f>
        <v>Standard Supply Service - Administarive Charge (if applicable)</v>
      </c>
      <c r="B17" s="17" t="str">
        <f>Rates!B50</f>
        <v>$</v>
      </c>
      <c r="C17" s="18">
        <f>Rates!D50</f>
        <v>0.25</v>
      </c>
      <c r="D17" s="13">
        <f>Rates!F50</f>
        <v>0.25</v>
      </c>
    </row>
    <row r="19" ht="12.75" thickBot="1"/>
    <row r="20" spans="1:8" ht="13.5" thickBot="1">
      <c r="A20" s="33" t="s">
        <v>26</v>
      </c>
      <c r="B20" s="34">
        <v>287</v>
      </c>
      <c r="C20" s="35" t="s">
        <v>27</v>
      </c>
      <c r="D20" s="36"/>
      <c r="E20" s="35" t="s">
        <v>28</v>
      </c>
      <c r="G20" s="37" t="s">
        <v>23</v>
      </c>
      <c r="H20" s="53">
        <f>Rates!F74</f>
        <v>1.0864</v>
      </c>
    </row>
    <row r="21" spans="1:5" ht="13.5" thickBot="1">
      <c r="A21" s="33" t="s">
        <v>29</v>
      </c>
      <c r="B21" s="34">
        <v>750</v>
      </c>
      <c r="C21" s="35" t="s">
        <v>27</v>
      </c>
      <c r="D21" s="37" t="s">
        <v>30</v>
      </c>
      <c r="E21" s="38" t="str">
        <f>IF(D20&gt;0,B20/(D20*24*30.4)," ")</f>
        <v> </v>
      </c>
    </row>
    <row r="22" ht="12.75" thickBot="1"/>
    <row r="23" spans="1:10" ht="12.75" customHeight="1">
      <c r="A23" s="148" t="str">
        <f>A3</f>
        <v>Seasonal</v>
      </c>
      <c r="B23" s="150" t="s">
        <v>31</v>
      </c>
      <c r="C23" s="49" t="s">
        <v>37</v>
      </c>
      <c r="D23" s="49" t="s">
        <v>38</v>
      </c>
      <c r="E23" s="150" t="s">
        <v>31</v>
      </c>
      <c r="F23" s="49" t="s">
        <v>37</v>
      </c>
      <c r="G23" s="49" t="s">
        <v>38</v>
      </c>
      <c r="H23" s="152" t="s">
        <v>44</v>
      </c>
      <c r="I23" s="152"/>
      <c r="J23" s="153"/>
    </row>
    <row r="24" spans="1:10" ht="12.75" thickBot="1">
      <c r="A24" s="149"/>
      <c r="B24" s="151"/>
      <c r="C24" s="50" t="s">
        <v>15</v>
      </c>
      <c r="D24" s="50" t="s">
        <v>15</v>
      </c>
      <c r="E24" s="151"/>
      <c r="F24" s="50" t="s">
        <v>15</v>
      </c>
      <c r="G24" s="50" t="s">
        <v>15</v>
      </c>
      <c r="H24" s="50" t="s">
        <v>15</v>
      </c>
      <c r="I24" s="51" t="s">
        <v>22</v>
      </c>
      <c r="J24" s="52" t="s">
        <v>34</v>
      </c>
    </row>
    <row r="25" spans="1:10" ht="12">
      <c r="A25" s="54" t="s">
        <v>35</v>
      </c>
      <c r="B25" s="55">
        <f>IF(B20*Rates!D74&gt;B21,B21,B20*Rates!D74)</f>
        <v>311.7968</v>
      </c>
      <c r="C25" s="56">
        <f>Rates!D69</f>
        <v>0.068</v>
      </c>
      <c r="D25" s="58">
        <f>B25*C25</f>
        <v>21.2021824</v>
      </c>
      <c r="E25" s="55">
        <f>IF(B20*H20&gt;B21,B21,B20*H20)</f>
        <v>311.7968</v>
      </c>
      <c r="F25" s="56">
        <f>Rates!F69</f>
        <v>0.068</v>
      </c>
      <c r="G25" s="58">
        <f>E25*F25</f>
        <v>21.2021824</v>
      </c>
      <c r="H25" s="58">
        <f aca="true" t="shared" si="0" ref="H25:H49">G25-D25</f>
        <v>0</v>
      </c>
      <c r="I25" s="59">
        <f>IF(ISERROR(H25/D25),1,H25/D25)</f>
        <v>0</v>
      </c>
      <c r="J25" s="60">
        <f aca="true" t="shared" si="1" ref="J25:J49">IF(ISERROR(G25/G$49),0,G25/G$49)</f>
        <v>0.203435481051874</v>
      </c>
    </row>
    <row r="26" spans="1:10" ht="12.75" thickBot="1">
      <c r="A26" s="63" t="s">
        <v>36</v>
      </c>
      <c r="B26" s="64">
        <f>IF(B20*Rates!D74&gt;=B21,B20*Rates!D74-B21,0)</f>
        <v>0</v>
      </c>
      <c r="C26" s="65">
        <f>Rates!D70</f>
        <v>0.079</v>
      </c>
      <c r="D26" s="66">
        <f>B26*C26</f>
        <v>0</v>
      </c>
      <c r="E26" s="64">
        <f>IF(B20*H20&gt;=B21,B20*H20-B21,0)</f>
        <v>0</v>
      </c>
      <c r="F26" s="65">
        <f>Rates!F70</f>
        <v>0.079</v>
      </c>
      <c r="G26" s="66">
        <f>E26*F26</f>
        <v>0</v>
      </c>
      <c r="H26" s="66">
        <f t="shared" si="0"/>
        <v>0</v>
      </c>
      <c r="I26" s="67">
        <f>IF(ISERROR(H26/D26),0,H26/D26)</f>
        <v>0</v>
      </c>
      <c r="J26" s="68">
        <f t="shared" si="1"/>
        <v>0</v>
      </c>
    </row>
    <row r="27" spans="1:10" ht="12.75" thickBot="1">
      <c r="A27" s="73" t="s">
        <v>39</v>
      </c>
      <c r="B27" s="74"/>
      <c r="C27" s="75"/>
      <c r="D27" s="76">
        <f>SUM(D25:D26)</f>
        <v>21.2021824</v>
      </c>
      <c r="E27" s="75"/>
      <c r="F27" s="75"/>
      <c r="G27" s="76">
        <f>SUM(G25:G26)</f>
        <v>21.2021824</v>
      </c>
      <c r="H27" s="76">
        <f t="shared" si="0"/>
        <v>0</v>
      </c>
      <c r="I27" s="77">
        <f>IF(ISERROR(H27/D27),0,H27/D27)</f>
        <v>0</v>
      </c>
      <c r="J27" s="78">
        <f t="shared" si="1"/>
        <v>0.203435481051874</v>
      </c>
    </row>
    <row r="28" spans="1:10" ht="12">
      <c r="A28" s="69" t="str">
        <f aca="true" t="shared" si="2" ref="A28:A33">A4</f>
        <v>Monthly Service Charge</v>
      </c>
      <c r="B28" s="70">
        <v>1</v>
      </c>
      <c r="C28" s="46">
        <f aca="true" t="shared" si="3" ref="C28:C33">C4</f>
        <v>26.07</v>
      </c>
      <c r="D28" s="46">
        <f aca="true" t="shared" si="4" ref="D28:D35">B28*C28</f>
        <v>26.07</v>
      </c>
      <c r="E28" s="71">
        <f>B28</f>
        <v>1</v>
      </c>
      <c r="F28" s="47">
        <f aca="true" t="shared" si="5" ref="F28:F33">D4</f>
        <v>26.15</v>
      </c>
      <c r="G28" s="47">
        <f aca="true" t="shared" si="6" ref="G28:G35">E28*F28</f>
        <v>26.15</v>
      </c>
      <c r="H28" s="47">
        <f t="shared" si="0"/>
        <v>0.0799999999999983</v>
      </c>
      <c r="I28" s="48">
        <f>IF(ISERROR(H28/D28),0,H28/D28)</f>
        <v>0.003068661296509332</v>
      </c>
      <c r="J28" s="72">
        <f t="shared" si="1"/>
        <v>0.25090991715581623</v>
      </c>
    </row>
    <row r="29" spans="1:10" ht="12">
      <c r="A29" s="61" t="str">
        <f t="shared" si="2"/>
        <v>Smart Meter Rate Adder</v>
      </c>
      <c r="B29" s="43">
        <f>B28</f>
        <v>1</v>
      </c>
      <c r="C29" s="41">
        <f t="shared" si="3"/>
        <v>1</v>
      </c>
      <c r="D29" s="41">
        <f t="shared" si="4"/>
        <v>1</v>
      </c>
      <c r="E29" s="43">
        <f>B29</f>
        <v>1</v>
      </c>
      <c r="F29" s="41">
        <f t="shared" si="5"/>
        <v>1</v>
      </c>
      <c r="G29" s="41">
        <f t="shared" si="6"/>
        <v>1</v>
      </c>
      <c r="H29" s="41">
        <f t="shared" si="0"/>
        <v>0</v>
      </c>
      <c r="I29" s="42">
        <f>IF(ISERROR(H29/D29),1,H29/D29)</f>
        <v>0</v>
      </c>
      <c r="J29" s="62">
        <f t="shared" si="1"/>
        <v>0.009595025512650715</v>
      </c>
    </row>
    <row r="30" spans="1:10" ht="12">
      <c r="A30" s="61" t="str">
        <f t="shared" si="2"/>
        <v>Distribution Volumetric Rate</v>
      </c>
      <c r="B30" s="43">
        <f>B20</f>
        <v>287</v>
      </c>
      <c r="C30" s="40">
        <f t="shared" si="3"/>
        <v>0.1001</v>
      </c>
      <c r="D30" s="41">
        <f t="shared" si="4"/>
        <v>28.7287</v>
      </c>
      <c r="E30" s="43">
        <f>B20</f>
        <v>287</v>
      </c>
      <c r="F30" s="40">
        <f t="shared" si="5"/>
        <v>0.1006</v>
      </c>
      <c r="G30" s="41">
        <f t="shared" si="6"/>
        <v>28.8722</v>
      </c>
      <c r="H30" s="41">
        <f t="shared" si="0"/>
        <v>0.14349999999999952</v>
      </c>
      <c r="I30" s="42">
        <f aca="true" t="shared" si="7" ref="I30:I49">IF(ISERROR(H30/D30),0,H30/D30)</f>
        <v>0.0049950049950049785</v>
      </c>
      <c r="J30" s="62">
        <f t="shared" si="1"/>
        <v>0.277029495606354</v>
      </c>
    </row>
    <row r="31" spans="1:10" ht="12">
      <c r="A31" s="61" t="str">
        <f t="shared" si="2"/>
        <v>Rate Rider for Foregone Revenue Recovery - effective until December 31, 2012</v>
      </c>
      <c r="B31" s="43">
        <f>B20</f>
        <v>287</v>
      </c>
      <c r="C31" s="40">
        <f t="shared" si="3"/>
        <v>0</v>
      </c>
      <c r="D31" s="41">
        <f t="shared" si="4"/>
        <v>0</v>
      </c>
      <c r="E31" s="43">
        <f>B20</f>
        <v>287</v>
      </c>
      <c r="F31" s="40">
        <f t="shared" si="5"/>
        <v>0.0002</v>
      </c>
      <c r="G31" s="41">
        <f>E31*F31</f>
        <v>0.0574</v>
      </c>
      <c r="H31" s="41">
        <f>G31-D31</f>
        <v>0.0574</v>
      </c>
      <c r="I31" s="42">
        <f>IF(ISERROR(H31/D31),0,H31/D31)</f>
        <v>0</v>
      </c>
      <c r="J31" s="62">
        <f>IF(ISERROR(G31/G$49),0,G31/G$49)</f>
        <v>0.000550754464426151</v>
      </c>
    </row>
    <row r="32" spans="1:10" ht="12">
      <c r="A32" s="61" t="str">
        <f t="shared" si="2"/>
        <v>Rate Rider for Deferral/Variance Account Disposition - effective until May 31, 2013</v>
      </c>
      <c r="B32" s="43">
        <f>B20</f>
        <v>287</v>
      </c>
      <c r="C32" s="40">
        <f t="shared" si="3"/>
        <v>0.0045</v>
      </c>
      <c r="D32" s="41">
        <f t="shared" si="4"/>
        <v>1.2914999999999999</v>
      </c>
      <c r="E32" s="43">
        <f>B20</f>
        <v>287</v>
      </c>
      <c r="F32" s="40">
        <f t="shared" si="5"/>
        <v>0.0046</v>
      </c>
      <c r="G32" s="41">
        <f t="shared" si="6"/>
        <v>1.3202</v>
      </c>
      <c r="H32" s="41">
        <f t="shared" si="0"/>
        <v>0.02870000000000017</v>
      </c>
      <c r="I32" s="42">
        <f t="shared" si="7"/>
        <v>0.022222222222222355</v>
      </c>
      <c r="J32" s="62">
        <f t="shared" si="1"/>
        <v>0.012667352681801476</v>
      </c>
    </row>
    <row r="33" spans="1:10" ht="12">
      <c r="A33" s="61" t="str">
        <f t="shared" si="2"/>
        <v>Rate Rider for Deferral/Variance Account Disposition - effective until May 31, 2013</v>
      </c>
      <c r="B33" s="43">
        <f>B20</f>
        <v>287</v>
      </c>
      <c r="C33" s="40">
        <f t="shared" si="3"/>
        <v>0</v>
      </c>
      <c r="D33" s="41">
        <f t="shared" si="4"/>
        <v>0</v>
      </c>
      <c r="E33" s="43">
        <f>B20</f>
        <v>287</v>
      </c>
      <c r="F33" s="40">
        <f t="shared" si="5"/>
        <v>-0.0061</v>
      </c>
      <c r="G33" s="41">
        <f>E33*F33</f>
        <v>-1.7507000000000001</v>
      </c>
      <c r="H33" s="41">
        <f>G33-D33</f>
        <v>-1.7507000000000001</v>
      </c>
      <c r="I33" s="42">
        <f>IF(ISERROR(H33/D33),0,H33/D33)</f>
        <v>0</v>
      </c>
      <c r="J33" s="62">
        <f>IF(ISERROR(G33/G$49),0,G33/G$49)</f>
        <v>-0.01679801116499761</v>
      </c>
    </row>
    <row r="34" spans="1:10" ht="12">
      <c r="A34" s="61" t="str">
        <f>A10</f>
        <v>Rate Rider for Deferral/Variance Account Disposition - effective until November 30, 2015</v>
      </c>
      <c r="B34" s="43">
        <f>B20</f>
        <v>287</v>
      </c>
      <c r="C34" s="40">
        <f>C10</f>
        <v>0.0307</v>
      </c>
      <c r="D34" s="41">
        <f t="shared" si="4"/>
        <v>8.8109</v>
      </c>
      <c r="E34" s="43">
        <f>B20</f>
        <v>287</v>
      </c>
      <c r="F34" s="40">
        <f>D10</f>
        <v>0.0307</v>
      </c>
      <c r="G34" s="41">
        <f t="shared" si="6"/>
        <v>8.8109</v>
      </c>
      <c r="H34" s="41">
        <f t="shared" si="0"/>
        <v>0</v>
      </c>
      <c r="I34" s="42">
        <f t="shared" si="7"/>
        <v>0</v>
      </c>
      <c r="J34" s="62">
        <f t="shared" si="1"/>
        <v>0.0845408102894142</v>
      </c>
    </row>
    <row r="35" spans="1:10" ht="12.75" thickBot="1">
      <c r="A35" s="61" t="str">
        <f>A11</f>
        <v>Rate Rider for Tax Changes - effective until December 31, 2012</v>
      </c>
      <c r="B35" s="43">
        <f>B20</f>
        <v>287</v>
      </c>
      <c r="C35" s="40">
        <f>C11</f>
        <v>0</v>
      </c>
      <c r="D35" s="41">
        <f t="shared" si="4"/>
        <v>0</v>
      </c>
      <c r="E35" s="43">
        <f>B20</f>
        <v>287</v>
      </c>
      <c r="F35" s="40">
        <f>D11</f>
        <v>-0.0003</v>
      </c>
      <c r="G35" s="41">
        <f t="shared" si="6"/>
        <v>-0.0861</v>
      </c>
      <c r="H35" s="41">
        <f t="shared" si="0"/>
        <v>-0.0861</v>
      </c>
      <c r="I35" s="42">
        <f t="shared" si="7"/>
        <v>0</v>
      </c>
      <c r="J35" s="62">
        <f t="shared" si="1"/>
        <v>-0.0008261316966392266</v>
      </c>
    </row>
    <row r="36" spans="1:10" ht="12.75" thickBot="1">
      <c r="A36" s="73" t="s">
        <v>40</v>
      </c>
      <c r="B36" s="74"/>
      <c r="C36" s="75"/>
      <c r="D36" s="76">
        <f>SUM(D28:D35)</f>
        <v>65.9011</v>
      </c>
      <c r="E36" s="75"/>
      <c r="F36" s="75"/>
      <c r="G36" s="76">
        <f>SUM(G28:G35)</f>
        <v>64.37389999999999</v>
      </c>
      <c r="H36" s="76">
        <f t="shared" si="0"/>
        <v>-1.5272000000000077</v>
      </c>
      <c r="I36" s="77">
        <f t="shared" si="7"/>
        <v>-0.023174120007101666</v>
      </c>
      <c r="J36" s="78">
        <f t="shared" si="1"/>
        <v>0.6176692128488258</v>
      </c>
    </row>
    <row r="37" spans="1:10" ht="12">
      <c r="A37" s="69" t="str">
        <f>A12</f>
        <v>Retail Transmission Rate - Network Service Rate</v>
      </c>
      <c r="B37" s="44">
        <f>B20*Rates!D74</f>
        <v>311.7968</v>
      </c>
      <c r="C37" s="45">
        <f>C12</f>
        <v>0.0057</v>
      </c>
      <c r="D37" s="47">
        <f>B37*C37</f>
        <v>1.7772417600000001</v>
      </c>
      <c r="E37" s="44">
        <f>B20*H20</f>
        <v>311.7968</v>
      </c>
      <c r="F37" s="45">
        <f>D12</f>
        <v>0.0071</v>
      </c>
      <c r="G37" s="47">
        <f>E37*F37</f>
        <v>2.2137572800000003</v>
      </c>
      <c r="H37" s="47">
        <f t="shared" si="0"/>
        <v>0.43651552000000016</v>
      </c>
      <c r="I37" s="48">
        <f t="shared" si="7"/>
        <v>0.24561403508771937</v>
      </c>
      <c r="J37" s="72">
        <f t="shared" si="1"/>
        <v>0.021241057580416257</v>
      </c>
    </row>
    <row r="38" spans="1:10" ht="12.75" thickBot="1">
      <c r="A38" s="63" t="str">
        <f>A13</f>
        <v>Retail Transmission Rate - Line and Transformation Connection Service Rate</v>
      </c>
      <c r="B38" s="64">
        <f>B20*Rates!D74</f>
        <v>311.7968</v>
      </c>
      <c r="C38" s="65">
        <f>C13</f>
        <v>0.0047</v>
      </c>
      <c r="D38" s="66">
        <f>B38*C38</f>
        <v>1.4654449600000001</v>
      </c>
      <c r="E38" s="64">
        <f>B20*H20</f>
        <v>311.7968</v>
      </c>
      <c r="F38" s="65">
        <f>D13</f>
        <v>0.0051</v>
      </c>
      <c r="G38" s="66">
        <f>E38*F38</f>
        <v>1.5901636800000003</v>
      </c>
      <c r="H38" s="66">
        <f t="shared" si="0"/>
        <v>0.12471872000000017</v>
      </c>
      <c r="I38" s="67">
        <f t="shared" si="7"/>
        <v>0.08510638297872351</v>
      </c>
      <c r="J38" s="68">
        <f t="shared" si="1"/>
        <v>0.015257661078890553</v>
      </c>
    </row>
    <row r="39" spans="1:10" ht="12.75" thickBot="1">
      <c r="A39" s="73" t="s">
        <v>32</v>
      </c>
      <c r="B39" s="74"/>
      <c r="C39" s="75"/>
      <c r="D39" s="76">
        <f>SUM(D37:D38)</f>
        <v>3.24268672</v>
      </c>
      <c r="E39" s="75"/>
      <c r="F39" s="75"/>
      <c r="G39" s="76">
        <f>SUM(G37:G38)</f>
        <v>3.8039209600000006</v>
      </c>
      <c r="H39" s="76">
        <f t="shared" si="0"/>
        <v>0.5612342400000006</v>
      </c>
      <c r="I39" s="77">
        <f t="shared" si="7"/>
        <v>0.17307692307692324</v>
      </c>
      <c r="J39" s="78">
        <f t="shared" si="1"/>
        <v>0.03649871865930681</v>
      </c>
    </row>
    <row r="40" spans="1:10" ht="12.75" thickBot="1">
      <c r="A40" s="81" t="s">
        <v>41</v>
      </c>
      <c r="B40" s="82"/>
      <c r="C40" s="83"/>
      <c r="D40" s="84">
        <f>D36+D39</f>
        <v>69.14378672</v>
      </c>
      <c r="E40" s="83"/>
      <c r="F40" s="83"/>
      <c r="G40" s="84">
        <f>G36+G39</f>
        <v>68.17782095999999</v>
      </c>
      <c r="H40" s="84">
        <f t="shared" si="0"/>
        <v>-0.9659657600000031</v>
      </c>
      <c r="I40" s="85">
        <f t="shared" si="7"/>
        <v>-0.013970391351455957</v>
      </c>
      <c r="J40" s="86">
        <f t="shared" si="1"/>
        <v>0.6541679315081327</v>
      </c>
    </row>
    <row r="41" spans="1:10" ht="12">
      <c r="A41" s="69" t="str">
        <f>A14</f>
        <v>Wholesale Market Service Rate</v>
      </c>
      <c r="B41" s="44">
        <f>B20*Rates!D74</f>
        <v>311.7968</v>
      </c>
      <c r="C41" s="45">
        <f>C14</f>
        <v>0.0052</v>
      </c>
      <c r="D41" s="47">
        <f>B41*C41</f>
        <v>1.62134336</v>
      </c>
      <c r="E41" s="44">
        <f>B20*H20</f>
        <v>311.7968</v>
      </c>
      <c r="F41" s="45">
        <f>D14</f>
        <v>0.0052</v>
      </c>
      <c r="G41" s="47">
        <f>E41*F41</f>
        <v>1.62134336</v>
      </c>
      <c r="H41" s="47">
        <f t="shared" si="0"/>
        <v>0</v>
      </c>
      <c r="I41" s="48">
        <f t="shared" si="7"/>
        <v>0</v>
      </c>
      <c r="J41" s="72">
        <f t="shared" si="1"/>
        <v>0.015556830903966834</v>
      </c>
    </row>
    <row r="42" spans="1:10" ht="12">
      <c r="A42" s="61" t="str">
        <f>A15</f>
        <v>Rural Rate Protection Charge</v>
      </c>
      <c r="B42" s="39">
        <f>B20*Rates!D74</f>
        <v>311.7968</v>
      </c>
      <c r="C42" s="40">
        <f>C15</f>
        <v>0.0013</v>
      </c>
      <c r="D42" s="41">
        <f>B42*C42</f>
        <v>0.40533584</v>
      </c>
      <c r="E42" s="39">
        <f>B20*H20</f>
        <v>311.7968</v>
      </c>
      <c r="F42" s="40">
        <f>D15</f>
        <v>0.0013</v>
      </c>
      <c r="G42" s="41">
        <f>E42*F42</f>
        <v>0.40533584</v>
      </c>
      <c r="H42" s="41">
        <f t="shared" si="0"/>
        <v>0</v>
      </c>
      <c r="I42" s="42">
        <f t="shared" si="7"/>
        <v>0</v>
      </c>
      <c r="J42" s="62">
        <f t="shared" si="1"/>
        <v>0.0038892077259917086</v>
      </c>
    </row>
    <row r="43" spans="1:10" ht="12">
      <c r="A43" s="63" t="s">
        <v>45</v>
      </c>
      <c r="B43" s="64">
        <f>B20*Rates!D74</f>
        <v>311.7968</v>
      </c>
      <c r="C43" s="65">
        <f>Rates!D49</f>
        <v>0</v>
      </c>
      <c r="D43" s="66">
        <f>B43*C43</f>
        <v>0</v>
      </c>
      <c r="E43" s="64">
        <f>B20*Rates!F74</f>
        <v>311.7968</v>
      </c>
      <c r="F43" s="65">
        <f>Rates!F49</f>
        <v>0</v>
      </c>
      <c r="G43" s="66">
        <f>E43*F43</f>
        <v>0</v>
      </c>
      <c r="H43" s="41">
        <f>G43-D43</f>
        <v>0</v>
      </c>
      <c r="I43" s="42">
        <f>IF(ISERROR(H43/D43),0,H43/D43)</f>
        <v>0</v>
      </c>
      <c r="J43" s="62">
        <f t="shared" si="1"/>
        <v>0</v>
      </c>
    </row>
    <row r="44" spans="1:10" ht="12.75" thickBot="1">
      <c r="A44" s="63" t="str">
        <f>A17</f>
        <v>Standard Supply Service - Administarive Charge (if applicable)</v>
      </c>
      <c r="B44" s="79">
        <f>B28</f>
        <v>1</v>
      </c>
      <c r="C44" s="66">
        <f>C17</f>
        <v>0.25</v>
      </c>
      <c r="D44" s="66">
        <f>B44*C44</f>
        <v>0.25</v>
      </c>
      <c r="E44" s="64">
        <f>B28</f>
        <v>1</v>
      </c>
      <c r="F44" s="66">
        <f>D17</f>
        <v>0.25</v>
      </c>
      <c r="G44" s="66">
        <f>E44*F44</f>
        <v>0.25</v>
      </c>
      <c r="H44" s="66">
        <f t="shared" si="0"/>
        <v>0</v>
      </c>
      <c r="I44" s="67">
        <f t="shared" si="7"/>
        <v>0</v>
      </c>
      <c r="J44" s="68">
        <f t="shared" si="1"/>
        <v>0.002398756378162679</v>
      </c>
    </row>
    <row r="45" spans="1:10" ht="12.75" thickBot="1">
      <c r="A45" s="73" t="s">
        <v>42</v>
      </c>
      <c r="B45" s="74"/>
      <c r="C45" s="75"/>
      <c r="D45" s="76">
        <f>SUM(D41:D44)</f>
        <v>2.2766792000000002</v>
      </c>
      <c r="E45" s="75"/>
      <c r="F45" s="75"/>
      <c r="G45" s="76">
        <f>SUM(G41:G44)</f>
        <v>2.2766792000000002</v>
      </c>
      <c r="H45" s="76">
        <f t="shared" si="0"/>
        <v>0</v>
      </c>
      <c r="I45" s="77">
        <f t="shared" si="7"/>
        <v>0</v>
      </c>
      <c r="J45" s="78">
        <f t="shared" si="1"/>
        <v>0.021844795008121223</v>
      </c>
    </row>
    <row r="46" spans="1:10" ht="12.75" thickBot="1">
      <c r="A46" s="87" t="s">
        <v>19</v>
      </c>
      <c r="B46" s="88">
        <f>B20</f>
        <v>287</v>
      </c>
      <c r="C46" s="89">
        <f>Rates!D68</f>
        <v>0.002</v>
      </c>
      <c r="D46" s="90">
        <f>B46*C46</f>
        <v>0.5740000000000001</v>
      </c>
      <c r="E46" s="88">
        <f>B20</f>
        <v>287</v>
      </c>
      <c r="F46" s="89">
        <f>Rates!F68</f>
        <v>0.002</v>
      </c>
      <c r="G46" s="90">
        <f>E46*F46</f>
        <v>0.5740000000000001</v>
      </c>
      <c r="H46" s="90">
        <f t="shared" si="0"/>
        <v>0</v>
      </c>
      <c r="I46" s="91">
        <f t="shared" si="7"/>
        <v>0</v>
      </c>
      <c r="J46" s="92">
        <f t="shared" si="1"/>
        <v>0.005507544644261512</v>
      </c>
    </row>
    <row r="47" spans="1:10" ht="12.75" thickBot="1">
      <c r="A47" s="73" t="s">
        <v>43</v>
      </c>
      <c r="B47" s="74"/>
      <c r="C47" s="75"/>
      <c r="D47" s="76">
        <f>D27+D40+D45+D46</f>
        <v>93.19664832</v>
      </c>
      <c r="E47" s="75"/>
      <c r="F47" s="75"/>
      <c r="G47" s="76">
        <f>G27+G40+G45+G46</f>
        <v>92.23068255999999</v>
      </c>
      <c r="H47" s="76">
        <f t="shared" si="0"/>
        <v>-0.9659657600000031</v>
      </c>
      <c r="I47" s="77">
        <f t="shared" si="7"/>
        <v>-0.01036481222675802</v>
      </c>
      <c r="J47" s="78">
        <f t="shared" si="1"/>
        <v>0.8849557522123893</v>
      </c>
    </row>
    <row r="48" spans="1:10" ht="12.75" thickBot="1">
      <c r="A48" s="93" t="s">
        <v>46</v>
      </c>
      <c r="B48" s="94"/>
      <c r="C48" s="95">
        <f>Rates!D75</f>
        <v>0.13</v>
      </c>
      <c r="D48" s="90">
        <f>C48*D47</f>
        <v>12.1155642816</v>
      </c>
      <c r="E48" s="96"/>
      <c r="F48" s="95">
        <f>Rates!F75</f>
        <v>0.13</v>
      </c>
      <c r="G48" s="90">
        <f>F48*G47</f>
        <v>11.989988732799999</v>
      </c>
      <c r="H48" s="90">
        <f t="shared" si="0"/>
        <v>-0.12557554880000055</v>
      </c>
      <c r="I48" s="91">
        <f t="shared" si="7"/>
        <v>-0.01036481222675803</v>
      </c>
      <c r="J48" s="92">
        <f t="shared" si="1"/>
        <v>0.11504424778761062</v>
      </c>
    </row>
    <row r="49" spans="1:10" ht="12.75" thickBot="1">
      <c r="A49" s="81" t="s">
        <v>33</v>
      </c>
      <c r="B49" s="82"/>
      <c r="C49" s="83"/>
      <c r="D49" s="104">
        <f>D47+D48</f>
        <v>105.3122126016</v>
      </c>
      <c r="E49" s="83"/>
      <c r="F49" s="83"/>
      <c r="G49" s="104">
        <f>G47+G48</f>
        <v>104.22067129279999</v>
      </c>
      <c r="H49" s="104">
        <f t="shared" si="0"/>
        <v>-1.0915413088000037</v>
      </c>
      <c r="I49" s="85">
        <f t="shared" si="7"/>
        <v>-0.01036481222675802</v>
      </c>
      <c r="J49" s="86">
        <f t="shared" si="1"/>
        <v>1</v>
      </c>
    </row>
    <row r="50" spans="1:10" ht="12">
      <c r="A50" s="130"/>
      <c r="B50" s="131"/>
      <c r="C50" s="132"/>
      <c r="D50" s="132"/>
      <c r="E50" s="132"/>
      <c r="F50" s="132"/>
      <c r="G50" s="132"/>
      <c r="H50" s="132"/>
      <c r="I50" s="132"/>
      <c r="J50" s="133"/>
    </row>
    <row r="51" spans="1:10" ht="12">
      <c r="A51" s="134" t="s">
        <v>66</v>
      </c>
      <c r="B51" s="135"/>
      <c r="C51" s="136"/>
      <c r="D51" s="137">
        <f>D49*0.1</f>
        <v>10.53122126016</v>
      </c>
      <c r="E51" s="136"/>
      <c r="F51" s="136"/>
      <c r="G51" s="137">
        <f>G49*0.1</f>
        <v>10.42206712928</v>
      </c>
      <c r="H51" s="136"/>
      <c r="I51" s="136"/>
      <c r="J51" s="138"/>
    </row>
    <row r="52" spans="1:10" ht="12.75" thickBot="1">
      <c r="A52" s="139" t="s">
        <v>67</v>
      </c>
      <c r="B52" s="140"/>
      <c r="C52" s="141"/>
      <c r="D52" s="142">
        <f>D49-D51</f>
        <v>94.78099134144</v>
      </c>
      <c r="E52" s="141"/>
      <c r="F52" s="141"/>
      <c r="G52" s="142">
        <f>G49-G51</f>
        <v>93.79860416352</v>
      </c>
      <c r="H52" s="144">
        <f>G52-D52</f>
        <v>-0.9823871779200033</v>
      </c>
      <c r="I52" s="145">
        <f>H52/D52</f>
        <v>-0.01036481222675802</v>
      </c>
      <c r="J52" s="143"/>
    </row>
  </sheetData>
  <sheetProtection/>
  <mergeCells count="4">
    <mergeCell ref="A23:A24"/>
    <mergeCell ref="B23:B24"/>
    <mergeCell ref="E23:E24"/>
    <mergeCell ref="H23:J23"/>
  </mergeCell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Header xml:space="preserve">&amp;C&amp;"Arial,Bold"&amp;16Electricity Distribution Impacts
Rates Effective January 1, 2012&amp;"Arial,Regular"&amp;10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J47"/>
  <sheetViews>
    <sheetView zoomScalePageLayoutView="0" workbookViewId="0" topLeftCell="A4">
      <selection activeCell="K40" sqref="K40"/>
    </sheetView>
  </sheetViews>
  <sheetFormatPr defaultColWidth="9.140625" defaultRowHeight="12.75"/>
  <cols>
    <col min="1" max="1" width="73.140625" style="8" bestFit="1" customWidth="1"/>
    <col min="2" max="2" width="9.00390625" style="11" bestFit="1" customWidth="1"/>
    <col min="3" max="3" width="9.8515625" style="8" bestFit="1" customWidth="1"/>
    <col min="4" max="4" width="10.28125" style="8" bestFit="1" customWidth="1"/>
    <col min="5" max="6" width="9.140625" style="8" customWidth="1"/>
    <col min="7" max="7" width="11.00390625" style="8" bestFit="1" customWidth="1"/>
    <col min="8" max="8" width="10.00390625" style="8" bestFit="1" customWidth="1"/>
    <col min="9" max="9" width="9.140625" style="8" customWidth="1"/>
    <col min="10" max="10" width="11.57421875" style="8" bestFit="1" customWidth="1"/>
    <col min="11" max="16384" width="9.140625" style="8" customWidth="1"/>
  </cols>
  <sheetData>
    <row r="2" ht="12.75" thickBot="1"/>
    <row r="3" spans="1:4" ht="36.75" thickBot="1">
      <c r="A3" s="14" t="str">
        <f>Rates!A52</f>
        <v>Street Lighting</v>
      </c>
      <c r="B3" s="16" t="str">
        <f>Rates!B3</f>
        <v>Metric</v>
      </c>
      <c r="C3" s="15" t="str">
        <f>Rates!D3</f>
        <v>Current Approved Rates</v>
      </c>
      <c r="D3" s="15" t="str">
        <f>Rates!F3</f>
        <v>Proposed January 1, 2012</v>
      </c>
    </row>
    <row r="4" spans="1:4" ht="12">
      <c r="A4" s="23" t="str">
        <f>Rates!A37</f>
        <v>Monthly Service Charge</v>
      </c>
      <c r="B4" s="24" t="str">
        <f>Rates!B53</f>
        <v>$</v>
      </c>
      <c r="C4" s="25">
        <f>Rates!D53</f>
        <v>0.96</v>
      </c>
      <c r="D4" s="26">
        <f>Rates!F53</f>
        <v>0.96</v>
      </c>
    </row>
    <row r="5" spans="1:4" ht="12">
      <c r="A5" s="27" t="str">
        <f>Rates!A38</f>
        <v>Smart Meter Rate Adder</v>
      </c>
      <c r="B5" s="28" t="str">
        <f>Rates!B54</f>
        <v>$</v>
      </c>
      <c r="C5" s="29">
        <f>Rates!D54</f>
        <v>0</v>
      </c>
      <c r="D5" s="30">
        <f>Rates!F54</f>
        <v>0</v>
      </c>
    </row>
    <row r="6" spans="1:4" ht="12">
      <c r="A6" s="27" t="str">
        <f>Rates!A39</f>
        <v>Distribution Volumetric Rate</v>
      </c>
      <c r="B6" s="28" t="str">
        <f>Rates!B55</f>
        <v>$/kWh</v>
      </c>
      <c r="C6" s="31">
        <f>Rates!D55</f>
        <v>0.1537</v>
      </c>
      <c r="D6" s="32">
        <f>Rates!F55</f>
        <v>0.1543</v>
      </c>
    </row>
    <row r="7" spans="1:4" ht="12">
      <c r="A7" s="27" t="str">
        <f>Rates!A56</f>
        <v>Rate Rider for Foregone Revenue Recovery - effective until December 31, 2012</v>
      </c>
      <c r="B7" s="28" t="str">
        <f>Rates!B56</f>
        <v>$/kWh</v>
      </c>
      <c r="C7" s="31">
        <f>Rates!D56</f>
        <v>0</v>
      </c>
      <c r="D7" s="32">
        <f>Rates!F56</f>
        <v>0.0001</v>
      </c>
    </row>
    <row r="8" spans="1:4" ht="12">
      <c r="A8" s="27" t="str">
        <f>Rates!A41</f>
        <v>Rate Rider for Deferral/Variance Account Disposition - effective until May 31, 2013</v>
      </c>
      <c r="B8" s="28" t="str">
        <f>Rates!B57</f>
        <v>$/kWh</v>
      </c>
      <c r="C8" s="31">
        <f>Rates!D57</f>
        <v>0.0047</v>
      </c>
      <c r="D8" s="32">
        <f>Rates!F57</f>
        <v>0.0048</v>
      </c>
    </row>
    <row r="9" spans="1:4" ht="12">
      <c r="A9" s="27" t="str">
        <f>Rates!A42</f>
        <v>Rate Rider for Deferral/Variance Account Disposition - effective until May 31, 2013</v>
      </c>
      <c r="B9" s="28" t="str">
        <f>Rates!B58</f>
        <v>$/kWh</v>
      </c>
      <c r="C9" s="31"/>
      <c r="D9" s="32">
        <f>Rates!F58</f>
        <v>-0.0061</v>
      </c>
    </row>
    <row r="10" spans="1:4" ht="12">
      <c r="A10" s="27" t="str">
        <f>Rates!A44</f>
        <v>Rate Rider for Tax Changes - effective until December 31, 2012</v>
      </c>
      <c r="B10" s="28" t="str">
        <f>Rates!B59</f>
        <v>$/kWh</v>
      </c>
      <c r="C10" s="31">
        <f>Rates!D59</f>
        <v>0</v>
      </c>
      <c r="D10" s="32">
        <f>Rates!F59</f>
        <v>-0.0002</v>
      </c>
    </row>
    <row r="11" spans="1:4" ht="12">
      <c r="A11" s="27" t="str">
        <f>Rates!A45</f>
        <v>Retail Transmission Rate - Network Service Rate</v>
      </c>
      <c r="B11" s="28" t="str">
        <f>Rates!B60</f>
        <v>$/kW</v>
      </c>
      <c r="C11" s="31">
        <f>Rates!D60</f>
        <v>1.6002</v>
      </c>
      <c r="D11" s="32">
        <f>Rates!F60</f>
        <v>1.9907</v>
      </c>
    </row>
    <row r="12" spans="1:4" ht="12">
      <c r="A12" s="27" t="str">
        <f>Rates!A46</f>
        <v>Retail Transmission Rate - Line and Transformation Connection Service Rate</v>
      </c>
      <c r="B12" s="28" t="str">
        <f>Rates!B61</f>
        <v>$/kW</v>
      </c>
      <c r="C12" s="31">
        <f>Rates!D61</f>
        <v>1.2859</v>
      </c>
      <c r="D12" s="32">
        <f>Rates!F61</f>
        <v>1.3992</v>
      </c>
    </row>
    <row r="13" spans="1:4" ht="12">
      <c r="A13" s="27" t="str">
        <f>Rates!A47</f>
        <v>Wholesale Market Service Rate</v>
      </c>
      <c r="B13" s="28" t="str">
        <f>Rates!B62</f>
        <v>$/kWh</v>
      </c>
      <c r="C13" s="31">
        <f>Rates!D62</f>
        <v>0.0052</v>
      </c>
      <c r="D13" s="32">
        <f>Rates!F62</f>
        <v>0.0052</v>
      </c>
    </row>
    <row r="14" spans="1:4" ht="12">
      <c r="A14" s="27" t="str">
        <f>Rates!A48</f>
        <v>Rural Rate Protection Charge</v>
      </c>
      <c r="B14" s="28" t="str">
        <f>Rates!B63</f>
        <v>$/kWh</v>
      </c>
      <c r="C14" s="31">
        <f>Rates!D63</f>
        <v>0.0013</v>
      </c>
      <c r="D14" s="32">
        <f>Rates!F63</f>
        <v>0.0013</v>
      </c>
    </row>
    <row r="15" spans="1:4" ht="12">
      <c r="A15" s="27" t="str">
        <f>Rates!A64</f>
        <v>Special Purpose Charge</v>
      </c>
      <c r="B15" s="28" t="str">
        <f>Rates!B64</f>
        <v>$/kWh</v>
      </c>
      <c r="C15" s="31">
        <f>Rates!D64</f>
        <v>0</v>
      </c>
      <c r="D15" s="32">
        <f>Rates!F64</f>
        <v>0</v>
      </c>
    </row>
    <row r="16" spans="1:4" ht="12.75" thickBot="1">
      <c r="A16" s="12" t="str">
        <f>Rates!A50</f>
        <v>Standard Supply Service - Administarive Charge (if applicable)</v>
      </c>
      <c r="B16" s="17" t="str">
        <f>Rates!B65</f>
        <v>$</v>
      </c>
      <c r="C16" s="18">
        <f>Rates!D65</f>
        <v>0.25</v>
      </c>
      <c r="D16" s="13">
        <f>Rates!F65</f>
        <v>0.25</v>
      </c>
    </row>
    <row r="18" ht="12.75" thickBot="1"/>
    <row r="19" spans="1:8" ht="13.5" thickBot="1">
      <c r="A19" s="33" t="s">
        <v>26</v>
      </c>
      <c r="B19" s="34">
        <v>25000</v>
      </c>
      <c r="C19" s="35" t="s">
        <v>27</v>
      </c>
      <c r="D19" s="36">
        <v>71.46</v>
      </c>
      <c r="E19" s="35" t="s">
        <v>28</v>
      </c>
      <c r="G19" s="37" t="s">
        <v>23</v>
      </c>
      <c r="H19" s="53">
        <f>Rates!F74</f>
        <v>1.0864</v>
      </c>
    </row>
    <row r="20" spans="1:5" ht="13.5" thickBot="1">
      <c r="A20" s="33" t="s">
        <v>29</v>
      </c>
      <c r="B20" s="34">
        <v>750</v>
      </c>
      <c r="C20" s="35" t="s">
        <v>27</v>
      </c>
      <c r="D20" s="37" t="s">
        <v>30</v>
      </c>
      <c r="E20" s="98">
        <f>IF(D19&gt;0,B19/(D19*24*30.4)," ")</f>
        <v>0.4795039305512593</v>
      </c>
    </row>
    <row r="21" ht="12.75" thickBot="1"/>
    <row r="22" spans="1:10" ht="12.75" customHeight="1">
      <c r="A22" s="148" t="str">
        <f>A3</f>
        <v>Street Lighting</v>
      </c>
      <c r="B22" s="150" t="s">
        <v>31</v>
      </c>
      <c r="C22" s="49" t="s">
        <v>37</v>
      </c>
      <c r="D22" s="49" t="s">
        <v>38</v>
      </c>
      <c r="E22" s="150" t="s">
        <v>31</v>
      </c>
      <c r="F22" s="49" t="s">
        <v>37</v>
      </c>
      <c r="G22" s="49" t="s">
        <v>38</v>
      </c>
      <c r="H22" s="152" t="s">
        <v>44</v>
      </c>
      <c r="I22" s="152"/>
      <c r="J22" s="153"/>
    </row>
    <row r="23" spans="1:10" ht="12.75" thickBot="1">
      <c r="A23" s="149"/>
      <c r="B23" s="151"/>
      <c r="C23" s="50" t="s">
        <v>15</v>
      </c>
      <c r="D23" s="50" t="s">
        <v>15</v>
      </c>
      <c r="E23" s="151"/>
      <c r="F23" s="50" t="s">
        <v>15</v>
      </c>
      <c r="G23" s="50" t="s">
        <v>15</v>
      </c>
      <c r="H23" s="50" t="s">
        <v>15</v>
      </c>
      <c r="I23" s="51" t="s">
        <v>22</v>
      </c>
      <c r="J23" s="52" t="s">
        <v>34</v>
      </c>
    </row>
    <row r="24" spans="1:10" ht="12">
      <c r="A24" s="54" t="s">
        <v>35</v>
      </c>
      <c r="B24" s="55">
        <f>IF(B19*Rates!D74&gt;B20,B20,B19*Rates!D74)</f>
        <v>750</v>
      </c>
      <c r="C24" s="56">
        <f>Rates!D69</f>
        <v>0.068</v>
      </c>
      <c r="D24" s="58">
        <f>B24*C24</f>
        <v>51.00000000000001</v>
      </c>
      <c r="E24" s="55">
        <f>IF(B19*H19&gt;B20,B20,B19*H19)</f>
        <v>750</v>
      </c>
      <c r="F24" s="56">
        <f>Rates!F69</f>
        <v>0.068</v>
      </c>
      <c r="G24" s="58">
        <f>E24*F24</f>
        <v>51.00000000000001</v>
      </c>
      <c r="H24" s="58">
        <f aca="true" t="shared" si="0" ref="H24:H47">G24-D24</f>
        <v>0</v>
      </c>
      <c r="I24" s="59">
        <f>IF(ISERROR(H24/D24),1,H24/D24)</f>
        <v>0</v>
      </c>
      <c r="J24" s="60">
        <f aca="true" t="shared" si="1" ref="J24:J47">IF(ISERROR(G24/G$47),0,G24/G$47)</f>
        <v>0.006477626129732975</v>
      </c>
    </row>
    <row r="25" spans="1:10" ht="12.75" thickBot="1">
      <c r="A25" s="63" t="s">
        <v>36</v>
      </c>
      <c r="B25" s="64">
        <f>IF(B19*Rates!D74&gt;=B20,B19*Rates!D74-B20,0)</f>
        <v>26410</v>
      </c>
      <c r="C25" s="65">
        <f>Rates!D70</f>
        <v>0.079</v>
      </c>
      <c r="D25" s="66">
        <f>B25*C25</f>
        <v>2086.39</v>
      </c>
      <c r="E25" s="64">
        <f>IF(B19*H19&gt;=B20,B19*H19-B20,0)</f>
        <v>26410</v>
      </c>
      <c r="F25" s="65">
        <f>Rates!F70</f>
        <v>0.079</v>
      </c>
      <c r="G25" s="66">
        <f>E25*F25</f>
        <v>2086.39</v>
      </c>
      <c r="H25" s="66">
        <f t="shared" si="0"/>
        <v>0</v>
      </c>
      <c r="I25" s="67">
        <f>IF(ISERROR(H25/D25),0,H25/D25)</f>
        <v>0</v>
      </c>
      <c r="J25" s="68">
        <f t="shared" si="1"/>
        <v>0.2649971447218349</v>
      </c>
    </row>
    <row r="26" spans="1:10" ht="12.75" thickBot="1">
      <c r="A26" s="73" t="s">
        <v>39</v>
      </c>
      <c r="B26" s="74"/>
      <c r="C26" s="75"/>
      <c r="D26" s="76">
        <f>SUM(D24:D25)</f>
        <v>2137.39</v>
      </c>
      <c r="E26" s="75"/>
      <c r="F26" s="75"/>
      <c r="G26" s="76">
        <f>SUM(G24:G25)</f>
        <v>2137.39</v>
      </c>
      <c r="H26" s="76">
        <f t="shared" si="0"/>
        <v>0</v>
      </c>
      <c r="I26" s="77">
        <f>IF(ISERROR(H26/D26),0,H26/D26)</f>
        <v>0</v>
      </c>
      <c r="J26" s="78">
        <f t="shared" si="1"/>
        <v>0.27147477085156785</v>
      </c>
    </row>
    <row r="27" spans="1:10" ht="12">
      <c r="A27" s="69" t="str">
        <f aca="true" t="shared" si="2" ref="A27:A33">A4</f>
        <v>Monthly Service Charge</v>
      </c>
      <c r="B27" s="70">
        <v>428</v>
      </c>
      <c r="C27" s="46">
        <f aca="true" t="shared" si="3" ref="C27:C33">C4</f>
        <v>0.96</v>
      </c>
      <c r="D27" s="46">
        <f aca="true" t="shared" si="4" ref="D27:D33">B27*C27</f>
        <v>410.88</v>
      </c>
      <c r="E27" s="71">
        <f>B27</f>
        <v>428</v>
      </c>
      <c r="F27" s="47">
        <f aca="true" t="shared" si="5" ref="F27:F33">D4</f>
        <v>0.96</v>
      </c>
      <c r="G27" s="47">
        <f aca="true" t="shared" si="6" ref="G27:G33">E27*F27</f>
        <v>410.88</v>
      </c>
      <c r="H27" s="47">
        <f t="shared" si="0"/>
        <v>0</v>
      </c>
      <c r="I27" s="48">
        <f>IF(ISERROR(H27/D27),0,H27/D27)</f>
        <v>0</v>
      </c>
      <c r="J27" s="72">
        <f t="shared" si="1"/>
        <v>0.05218680439577812</v>
      </c>
    </row>
    <row r="28" spans="1:10" ht="12">
      <c r="A28" s="61" t="str">
        <f t="shared" si="2"/>
        <v>Smart Meter Rate Adder</v>
      </c>
      <c r="B28" s="43">
        <f>B27</f>
        <v>428</v>
      </c>
      <c r="C28" s="41">
        <f t="shared" si="3"/>
        <v>0</v>
      </c>
      <c r="D28" s="41">
        <f t="shared" si="4"/>
        <v>0</v>
      </c>
      <c r="E28" s="43">
        <f>B28</f>
        <v>428</v>
      </c>
      <c r="F28" s="41">
        <f t="shared" si="5"/>
        <v>0</v>
      </c>
      <c r="G28" s="41">
        <f t="shared" si="6"/>
        <v>0</v>
      </c>
      <c r="H28" s="41">
        <f t="shared" si="0"/>
        <v>0</v>
      </c>
      <c r="I28" s="42">
        <f>IF(ISERROR(H28/D28),0,H28/D28)</f>
        <v>0</v>
      </c>
      <c r="J28" s="62">
        <f t="shared" si="1"/>
        <v>0</v>
      </c>
    </row>
    <row r="29" spans="1:10" ht="12">
      <c r="A29" s="61" t="str">
        <f t="shared" si="2"/>
        <v>Distribution Volumetric Rate</v>
      </c>
      <c r="B29" s="43">
        <f>B19</f>
        <v>25000</v>
      </c>
      <c r="C29" s="40">
        <f t="shared" si="3"/>
        <v>0.1537</v>
      </c>
      <c r="D29" s="41">
        <f t="shared" si="4"/>
        <v>3842.5</v>
      </c>
      <c r="E29" s="43">
        <f>B19</f>
        <v>25000</v>
      </c>
      <c r="F29" s="40">
        <f t="shared" si="5"/>
        <v>0.1543</v>
      </c>
      <c r="G29" s="41">
        <f t="shared" si="6"/>
        <v>3857.5</v>
      </c>
      <c r="H29" s="41">
        <f t="shared" si="0"/>
        <v>15</v>
      </c>
      <c r="I29" s="42">
        <f aca="true" t="shared" si="7" ref="I29:I47">IF(ISERROR(H29/D29),0,H29/D29)</f>
        <v>0.003903708523096942</v>
      </c>
      <c r="J29" s="62">
        <f t="shared" si="1"/>
        <v>0.48994985873421465</v>
      </c>
    </row>
    <row r="30" spans="1:10" ht="12">
      <c r="A30" s="61" t="str">
        <f t="shared" si="2"/>
        <v>Rate Rider for Foregone Revenue Recovery - effective until December 31, 2012</v>
      </c>
      <c r="B30" s="43">
        <f>B19</f>
        <v>25000</v>
      </c>
      <c r="C30" s="40">
        <f t="shared" si="3"/>
        <v>0</v>
      </c>
      <c r="D30" s="41">
        <f t="shared" si="4"/>
        <v>0</v>
      </c>
      <c r="E30" s="43">
        <f>B19</f>
        <v>25000</v>
      </c>
      <c r="F30" s="40">
        <f t="shared" si="5"/>
        <v>0.0001</v>
      </c>
      <c r="G30" s="41">
        <f>E30*F30</f>
        <v>2.5</v>
      </c>
      <c r="H30" s="41">
        <f>G30-D30</f>
        <v>2.5</v>
      </c>
      <c r="I30" s="42">
        <f>IF(ISERROR(H30/D30),0,H30/D30)</f>
        <v>0</v>
      </c>
      <c r="J30" s="62">
        <f>IF(ISERROR(G30/G$47),0,G30/G$47)</f>
        <v>0.00031753069263396933</v>
      </c>
    </row>
    <row r="31" spans="1:10" ht="12">
      <c r="A31" s="61" t="str">
        <f t="shared" si="2"/>
        <v>Rate Rider for Deferral/Variance Account Disposition - effective until May 31, 2013</v>
      </c>
      <c r="B31" s="43">
        <f>B19</f>
        <v>25000</v>
      </c>
      <c r="C31" s="40">
        <f t="shared" si="3"/>
        <v>0.0047</v>
      </c>
      <c r="D31" s="41">
        <f t="shared" si="4"/>
        <v>117.5</v>
      </c>
      <c r="E31" s="43">
        <f>B19</f>
        <v>25000</v>
      </c>
      <c r="F31" s="40">
        <f t="shared" si="5"/>
        <v>0.0048</v>
      </c>
      <c r="G31" s="41">
        <f t="shared" si="6"/>
        <v>119.99999999999999</v>
      </c>
      <c r="H31" s="41">
        <f t="shared" si="0"/>
        <v>2.499999999999986</v>
      </c>
      <c r="I31" s="42">
        <f t="shared" si="7"/>
        <v>0.02127659574468073</v>
      </c>
      <c r="J31" s="62">
        <f t="shared" si="1"/>
        <v>0.015241473246430525</v>
      </c>
    </row>
    <row r="32" spans="1:10" ht="12">
      <c r="A32" s="61" t="str">
        <f t="shared" si="2"/>
        <v>Rate Rider for Deferral/Variance Account Disposition - effective until May 31, 2013</v>
      </c>
      <c r="B32" s="43">
        <f>B19</f>
        <v>25000</v>
      </c>
      <c r="C32" s="40">
        <f t="shared" si="3"/>
        <v>0</v>
      </c>
      <c r="D32" s="41">
        <f t="shared" si="4"/>
        <v>0</v>
      </c>
      <c r="E32" s="43">
        <f>B19</f>
        <v>25000</v>
      </c>
      <c r="F32" s="40">
        <f t="shared" si="5"/>
        <v>-0.0061</v>
      </c>
      <c r="G32" s="41">
        <f>E32*F32</f>
        <v>-152.5</v>
      </c>
      <c r="H32" s="41">
        <f>G32-D32</f>
        <v>-152.5</v>
      </c>
      <c r="I32" s="42">
        <f>IF(ISERROR(H32/D32),0,H32/D32)</f>
        <v>0</v>
      </c>
      <c r="J32" s="62">
        <f>IF(ISERROR(G32/G$47),0,G32/G$47)</f>
        <v>-0.019369372250672128</v>
      </c>
    </row>
    <row r="33" spans="1:10" ht="12.75" thickBot="1">
      <c r="A33" s="61" t="str">
        <f t="shared" si="2"/>
        <v>Rate Rider for Tax Changes - effective until December 31, 2012</v>
      </c>
      <c r="B33" s="43">
        <f>B19</f>
        <v>25000</v>
      </c>
      <c r="C33" s="40">
        <f t="shared" si="3"/>
        <v>0</v>
      </c>
      <c r="D33" s="41">
        <f t="shared" si="4"/>
        <v>0</v>
      </c>
      <c r="E33" s="43">
        <f>B19</f>
        <v>25000</v>
      </c>
      <c r="F33" s="40">
        <f t="shared" si="5"/>
        <v>-0.0002</v>
      </c>
      <c r="G33" s="41">
        <f t="shared" si="6"/>
        <v>-5</v>
      </c>
      <c r="H33" s="41">
        <f t="shared" si="0"/>
        <v>-5</v>
      </c>
      <c r="I33" s="42">
        <f t="shared" si="7"/>
        <v>0</v>
      </c>
      <c r="J33" s="62">
        <f t="shared" si="1"/>
        <v>-0.0006350613852679387</v>
      </c>
    </row>
    <row r="34" spans="1:10" ht="12.75" thickBot="1">
      <c r="A34" s="73" t="s">
        <v>40</v>
      </c>
      <c r="B34" s="74"/>
      <c r="C34" s="75"/>
      <c r="D34" s="76">
        <f>SUM(D27:D33)</f>
        <v>4370.88</v>
      </c>
      <c r="E34" s="75"/>
      <c r="F34" s="75"/>
      <c r="G34" s="76">
        <f>SUM(G27:G33)</f>
        <v>4233.38</v>
      </c>
      <c r="H34" s="76">
        <f t="shared" si="0"/>
        <v>-137.5</v>
      </c>
      <c r="I34" s="77">
        <f t="shared" si="7"/>
        <v>-0.03145819606120506</v>
      </c>
      <c r="J34" s="78">
        <f t="shared" si="1"/>
        <v>0.5376912334331172</v>
      </c>
    </row>
    <row r="35" spans="1:10" ht="12">
      <c r="A35" s="69" t="str">
        <f>A11</f>
        <v>Retail Transmission Rate - Network Service Rate</v>
      </c>
      <c r="B35" s="99">
        <f>D19*Rates!D74</f>
        <v>77.63414399999999</v>
      </c>
      <c r="C35" s="45">
        <f>C11</f>
        <v>1.6002</v>
      </c>
      <c r="D35" s="47">
        <f>B35*C35</f>
        <v>124.2301572288</v>
      </c>
      <c r="E35" s="99">
        <f>D19*H19</f>
        <v>77.63414399999999</v>
      </c>
      <c r="F35" s="45">
        <f>D11</f>
        <v>1.9907</v>
      </c>
      <c r="G35" s="47">
        <f>E35*F35</f>
        <v>154.54629046079998</v>
      </c>
      <c r="H35" s="47">
        <f t="shared" si="0"/>
        <v>30.316133231999984</v>
      </c>
      <c r="I35" s="48">
        <f t="shared" si="7"/>
        <v>0.24403199600049982</v>
      </c>
      <c r="J35" s="72">
        <f t="shared" si="1"/>
        <v>0.01962927626161137</v>
      </c>
    </row>
    <row r="36" spans="1:10" ht="12.75" thickBot="1">
      <c r="A36" s="63" t="str">
        <f>A12</f>
        <v>Retail Transmission Rate - Line and Transformation Connection Service Rate</v>
      </c>
      <c r="B36" s="100">
        <f>D19*Rates!D74</f>
        <v>77.63414399999999</v>
      </c>
      <c r="C36" s="65">
        <f>C12</f>
        <v>1.2859</v>
      </c>
      <c r="D36" s="66">
        <f>B36*C36</f>
        <v>99.8297457696</v>
      </c>
      <c r="E36" s="100">
        <f>D19*H19</f>
        <v>77.63414399999999</v>
      </c>
      <c r="F36" s="65">
        <f>D12</f>
        <v>1.3992</v>
      </c>
      <c r="G36" s="66">
        <f>E36*F36</f>
        <v>108.62569428479999</v>
      </c>
      <c r="H36" s="66">
        <f t="shared" si="0"/>
        <v>8.795948515199996</v>
      </c>
      <c r="I36" s="67">
        <f t="shared" si="7"/>
        <v>0.088109495295124</v>
      </c>
      <c r="J36" s="68">
        <f t="shared" si="1"/>
        <v>0.013796796777639337</v>
      </c>
    </row>
    <row r="37" spans="1:10" ht="12.75" thickBot="1">
      <c r="A37" s="73" t="s">
        <v>32</v>
      </c>
      <c r="B37" s="74"/>
      <c r="C37" s="75"/>
      <c r="D37" s="76">
        <f>SUM(D35:D36)</f>
        <v>224.0599029984</v>
      </c>
      <c r="E37" s="75"/>
      <c r="F37" s="75"/>
      <c r="G37" s="76">
        <f>SUM(G35:G36)</f>
        <v>263.17198474559996</v>
      </c>
      <c r="H37" s="76">
        <f t="shared" si="0"/>
        <v>39.112081747199966</v>
      </c>
      <c r="I37" s="77">
        <f t="shared" si="7"/>
        <v>0.174560826028204</v>
      </c>
      <c r="J37" s="78">
        <f t="shared" si="1"/>
        <v>0.03342607303925071</v>
      </c>
    </row>
    <row r="38" spans="1:10" ht="12.75" thickBot="1">
      <c r="A38" s="81" t="s">
        <v>41</v>
      </c>
      <c r="B38" s="82"/>
      <c r="C38" s="83"/>
      <c r="D38" s="84">
        <f>D34+D37</f>
        <v>4594.9399029984</v>
      </c>
      <c r="E38" s="83"/>
      <c r="F38" s="83"/>
      <c r="G38" s="84">
        <f>G34+G37</f>
        <v>4496.5519847456</v>
      </c>
      <c r="H38" s="84">
        <f t="shared" si="0"/>
        <v>-98.38791825279986</v>
      </c>
      <c r="I38" s="85">
        <f t="shared" si="7"/>
        <v>-0.021412231787535988</v>
      </c>
      <c r="J38" s="86">
        <f t="shared" si="1"/>
        <v>0.5711173064723679</v>
      </c>
    </row>
    <row r="39" spans="1:10" ht="12">
      <c r="A39" s="69" t="str">
        <f>A13</f>
        <v>Wholesale Market Service Rate</v>
      </c>
      <c r="B39" s="44">
        <f>B19*Rates!D74</f>
        <v>27160</v>
      </c>
      <c r="C39" s="45">
        <f>C13</f>
        <v>0.0052</v>
      </c>
      <c r="D39" s="47">
        <f>B39*C39</f>
        <v>141.232</v>
      </c>
      <c r="E39" s="44">
        <f>B19*H19</f>
        <v>27160</v>
      </c>
      <c r="F39" s="45">
        <f>D13</f>
        <v>0.0052</v>
      </c>
      <c r="G39" s="47">
        <f>E39*F39</f>
        <v>141.232</v>
      </c>
      <c r="H39" s="47">
        <f t="shared" si="0"/>
        <v>0</v>
      </c>
      <c r="I39" s="48">
        <f t="shared" si="7"/>
        <v>0</v>
      </c>
      <c r="J39" s="72">
        <f t="shared" si="1"/>
        <v>0.017938197912832302</v>
      </c>
    </row>
    <row r="40" spans="1:10" ht="12">
      <c r="A40" s="61" t="str">
        <f>A14</f>
        <v>Rural Rate Protection Charge</v>
      </c>
      <c r="B40" s="39">
        <f>B19*Rates!D74</f>
        <v>27160</v>
      </c>
      <c r="C40" s="40">
        <f>C14</f>
        <v>0.0013</v>
      </c>
      <c r="D40" s="41">
        <f>B40*C40</f>
        <v>35.308</v>
      </c>
      <c r="E40" s="39">
        <f>B19*H19</f>
        <v>27160</v>
      </c>
      <c r="F40" s="40">
        <f>D14</f>
        <v>0.0013</v>
      </c>
      <c r="G40" s="41">
        <f>E40*F40</f>
        <v>35.308</v>
      </c>
      <c r="H40" s="41">
        <f t="shared" si="0"/>
        <v>0</v>
      </c>
      <c r="I40" s="42">
        <f t="shared" si="7"/>
        <v>0</v>
      </c>
      <c r="J40" s="62">
        <f t="shared" si="1"/>
        <v>0.004484549478208076</v>
      </c>
    </row>
    <row r="41" spans="1:10" ht="12">
      <c r="A41" s="63" t="s">
        <v>45</v>
      </c>
      <c r="B41" s="64">
        <f>B19*Rates!D74</f>
        <v>27160</v>
      </c>
      <c r="C41" s="65">
        <f>Rates!D64</f>
        <v>0</v>
      </c>
      <c r="D41" s="66">
        <f>B41*C41</f>
        <v>0</v>
      </c>
      <c r="E41" s="64">
        <f>B19*Rates!F74</f>
        <v>27160</v>
      </c>
      <c r="F41" s="65">
        <f>Rates!F64</f>
        <v>0</v>
      </c>
      <c r="G41" s="66">
        <f>E41*F41</f>
        <v>0</v>
      </c>
      <c r="H41" s="41">
        <f>G41-D41</f>
        <v>0</v>
      </c>
      <c r="I41" s="42">
        <f>IF(ISERROR(H41/D41),0,H41/D41)</f>
        <v>0</v>
      </c>
      <c r="J41" s="62">
        <f t="shared" si="1"/>
        <v>0</v>
      </c>
    </row>
    <row r="42" spans="1:10" ht="12.75" thickBot="1">
      <c r="A42" s="63" t="str">
        <f>A16</f>
        <v>Standard Supply Service - Administarive Charge (if applicable)</v>
      </c>
      <c r="B42" s="79">
        <f>B27</f>
        <v>428</v>
      </c>
      <c r="C42" s="66">
        <f>C16</f>
        <v>0.25</v>
      </c>
      <c r="D42" s="66">
        <f>B42*C42</f>
        <v>107</v>
      </c>
      <c r="E42" s="64">
        <f>B27</f>
        <v>428</v>
      </c>
      <c r="F42" s="66">
        <f>D16</f>
        <v>0.25</v>
      </c>
      <c r="G42" s="66">
        <f>E42*F42</f>
        <v>107</v>
      </c>
      <c r="H42" s="66">
        <f t="shared" si="0"/>
        <v>0</v>
      </c>
      <c r="I42" s="67">
        <f t="shared" si="7"/>
        <v>0</v>
      </c>
      <c r="J42" s="68">
        <f t="shared" si="1"/>
        <v>0.013590313644733888</v>
      </c>
    </row>
    <row r="43" spans="1:10" ht="12.75" thickBot="1">
      <c r="A43" s="73" t="s">
        <v>42</v>
      </c>
      <c r="B43" s="74"/>
      <c r="C43" s="75"/>
      <c r="D43" s="76">
        <f>SUM(D39:D42)</f>
        <v>283.53999999999996</v>
      </c>
      <c r="E43" s="75"/>
      <c r="F43" s="75"/>
      <c r="G43" s="76">
        <f>SUM(G39:G42)</f>
        <v>283.53999999999996</v>
      </c>
      <c r="H43" s="76">
        <f t="shared" si="0"/>
        <v>0</v>
      </c>
      <c r="I43" s="77">
        <f t="shared" si="7"/>
        <v>0</v>
      </c>
      <c r="J43" s="78">
        <f t="shared" si="1"/>
        <v>0.03601306103577426</v>
      </c>
    </row>
    <row r="44" spans="1:10" ht="12.75" thickBot="1">
      <c r="A44" s="87" t="s">
        <v>19</v>
      </c>
      <c r="B44" s="88">
        <f>B19</f>
        <v>25000</v>
      </c>
      <c r="C44" s="89">
        <f>Rates!D68</f>
        <v>0.002</v>
      </c>
      <c r="D44" s="90">
        <f>B44*C44</f>
        <v>50</v>
      </c>
      <c r="E44" s="88">
        <f>B19</f>
        <v>25000</v>
      </c>
      <c r="F44" s="89">
        <f>Rates!F68</f>
        <v>0.002</v>
      </c>
      <c r="G44" s="90">
        <f>E44*F44</f>
        <v>50</v>
      </c>
      <c r="H44" s="90">
        <f t="shared" si="0"/>
        <v>0</v>
      </c>
      <c r="I44" s="91">
        <f t="shared" si="7"/>
        <v>0</v>
      </c>
      <c r="J44" s="92">
        <f t="shared" si="1"/>
        <v>0.006350613852679386</v>
      </c>
    </row>
    <row r="45" spans="1:10" ht="12.75" thickBot="1">
      <c r="A45" s="73" t="s">
        <v>43</v>
      </c>
      <c r="B45" s="74"/>
      <c r="C45" s="75"/>
      <c r="D45" s="76">
        <f>D26+D38+D43+D44</f>
        <v>7065.869902998399</v>
      </c>
      <c r="E45" s="75"/>
      <c r="F45" s="75"/>
      <c r="G45" s="76">
        <f>G26+G38+G43+G44</f>
        <v>6967.481984745599</v>
      </c>
      <c r="H45" s="76">
        <f t="shared" si="0"/>
        <v>-98.38791825279986</v>
      </c>
      <c r="I45" s="77">
        <f t="shared" si="7"/>
        <v>-0.01392438858958456</v>
      </c>
      <c r="J45" s="78">
        <f t="shared" si="1"/>
        <v>0.8849557522123893</v>
      </c>
    </row>
    <row r="46" spans="1:10" ht="12.75" thickBot="1">
      <c r="A46" s="93" t="s">
        <v>46</v>
      </c>
      <c r="B46" s="94"/>
      <c r="C46" s="95">
        <f>Rates!D75</f>
        <v>0.13</v>
      </c>
      <c r="D46" s="90">
        <f>C46*D45</f>
        <v>918.5630873897919</v>
      </c>
      <c r="E46" s="96"/>
      <c r="F46" s="95">
        <f>Rates!F75</f>
        <v>0.13</v>
      </c>
      <c r="G46" s="90">
        <f>F46*G45</f>
        <v>905.772658016928</v>
      </c>
      <c r="H46" s="90">
        <f t="shared" si="0"/>
        <v>-12.790429372863969</v>
      </c>
      <c r="I46" s="91">
        <f t="shared" si="7"/>
        <v>-0.013924388589584544</v>
      </c>
      <c r="J46" s="92">
        <f t="shared" si="1"/>
        <v>0.11504424778761062</v>
      </c>
    </row>
    <row r="47" spans="1:10" ht="12.75" thickBot="1">
      <c r="A47" s="81" t="s">
        <v>33</v>
      </c>
      <c r="B47" s="82"/>
      <c r="C47" s="83"/>
      <c r="D47" s="104">
        <f>D45+D46</f>
        <v>7984.432990388191</v>
      </c>
      <c r="E47" s="83"/>
      <c r="F47" s="83"/>
      <c r="G47" s="104">
        <f>G45+G46</f>
        <v>7873.2546427625275</v>
      </c>
      <c r="H47" s="104">
        <f t="shared" si="0"/>
        <v>-111.17834762566326</v>
      </c>
      <c r="I47" s="85">
        <f t="shared" si="7"/>
        <v>-0.013924388589584486</v>
      </c>
      <c r="J47" s="86">
        <f t="shared" si="1"/>
        <v>1</v>
      </c>
    </row>
  </sheetData>
  <sheetProtection/>
  <mergeCells count="4">
    <mergeCell ref="A22:A23"/>
    <mergeCell ref="B22:B23"/>
    <mergeCell ref="E22:E23"/>
    <mergeCell ref="H22:J22"/>
  </mergeCells>
  <printOptions/>
  <pageMargins left="0.75" right="0.75" top="1" bottom="1" header="0.5" footer="0.5"/>
  <pageSetup horizontalDpi="600" verticalDpi="600" orientation="landscape" scale="75" r:id="rId1"/>
  <headerFooter alignWithMargins="0">
    <oddHeader xml:space="preserve">&amp;C&amp;"Arial,Bold"&amp;16Electricity Distribution Impacts
Rates Effective January 1, 2012&amp;"Arial,Regular"&amp;10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L10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14.421875" style="0" bestFit="1" customWidth="1"/>
    <col min="5" max="5" width="1.57421875" style="0" customWidth="1"/>
    <col min="6" max="7" width="9.28125" style="0" bestFit="1" customWidth="1"/>
    <col min="9" max="9" width="1.57421875" style="0" customWidth="1"/>
    <col min="10" max="11" width="10.28125" style="0" bestFit="1" customWidth="1"/>
  </cols>
  <sheetData>
    <row r="2" ht="13.5" thickBot="1"/>
    <row r="3" spans="2:12" ht="13.5" thickBot="1">
      <c r="B3" s="156" t="s">
        <v>70</v>
      </c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2:12" ht="12.75">
      <c r="B4" s="123" t="s">
        <v>55</v>
      </c>
      <c r="C4" s="154" t="s">
        <v>56</v>
      </c>
      <c r="D4" s="154"/>
      <c r="E4" s="124"/>
      <c r="F4" s="154" t="s">
        <v>57</v>
      </c>
      <c r="G4" s="154"/>
      <c r="H4" s="154"/>
      <c r="I4" s="124"/>
      <c r="J4" s="154" t="s">
        <v>33</v>
      </c>
      <c r="K4" s="154"/>
      <c r="L4" s="155"/>
    </row>
    <row r="5" spans="2:12" ht="12.75">
      <c r="B5" s="114"/>
      <c r="C5" s="110" t="s">
        <v>27</v>
      </c>
      <c r="D5" s="110" t="s">
        <v>28</v>
      </c>
      <c r="E5" s="125"/>
      <c r="F5" s="110" t="s">
        <v>58</v>
      </c>
      <c r="G5" s="110" t="s">
        <v>59</v>
      </c>
      <c r="H5" s="110" t="s">
        <v>60</v>
      </c>
      <c r="I5" s="125"/>
      <c r="J5" s="110" t="s">
        <v>58</v>
      </c>
      <c r="K5" s="110" t="s">
        <v>59</v>
      </c>
      <c r="L5" s="115" t="s">
        <v>60</v>
      </c>
    </row>
    <row r="6" spans="2:12" ht="12.75">
      <c r="B6" s="116" t="s">
        <v>61</v>
      </c>
      <c r="C6" s="111">
        <v>800</v>
      </c>
      <c r="D6" s="111">
        <v>0</v>
      </c>
      <c r="E6" s="126"/>
      <c r="F6" s="112">
        <f>'Residential R1 Impact'!D38</f>
        <v>57.998848</v>
      </c>
      <c r="G6" s="112">
        <f>'Residential R1 Impact'!G38</f>
        <v>56.15326400000001</v>
      </c>
      <c r="H6" s="113">
        <f>(G6-F6)/F6</f>
        <v>-0.03182104582491009</v>
      </c>
      <c r="I6" s="128"/>
      <c r="J6" s="112">
        <f>'Residential R1 Impact'!D50</f>
        <v>128.049054336</v>
      </c>
      <c r="K6" s="112">
        <f>'Residential R1 Impact'!G50</f>
        <v>126.172095408</v>
      </c>
      <c r="L6" s="117">
        <f>(K6-J6)/J6</f>
        <v>-0.01465812408949837</v>
      </c>
    </row>
    <row r="7" spans="2:12" ht="12.75">
      <c r="B7" s="116" t="s">
        <v>61</v>
      </c>
      <c r="C7" s="111">
        <v>2000</v>
      </c>
      <c r="D7" s="111">
        <v>0</v>
      </c>
      <c r="E7" s="126"/>
      <c r="F7" s="112">
        <f>'Residential R1 Impact (2)'!D38</f>
        <v>112.11712</v>
      </c>
      <c r="G7" s="112">
        <f>'Residential R1 Impact (2)'!G38</f>
        <v>106.61816</v>
      </c>
      <c r="H7" s="113">
        <f>(G7-F7)/F7</f>
        <v>-0.04904656844556832</v>
      </c>
      <c r="I7" s="128"/>
      <c r="J7" s="112">
        <f>'Residential R1 Impact (2)'!D50</f>
        <v>298.88767584000004</v>
      </c>
      <c r="K7" s="112">
        <f>'Residential R1 Impact (2)'!G50</f>
        <v>293.29523351999995</v>
      </c>
      <c r="L7" s="117">
        <f>(K7-J7)/J7</f>
        <v>-0.018710849499842957</v>
      </c>
    </row>
    <row r="8" spans="2:12" ht="12.75">
      <c r="B8" s="116" t="s">
        <v>62</v>
      </c>
      <c r="C8" s="111">
        <v>90000</v>
      </c>
      <c r="D8" s="111">
        <v>225</v>
      </c>
      <c r="E8" s="126"/>
      <c r="F8" s="112">
        <f>'Residential R2 Impact'!D40</f>
        <v>2595.151788</v>
      </c>
      <c r="G8" s="112">
        <f>'Residential R2 Impact'!G40</f>
        <v>2169.18078</v>
      </c>
      <c r="H8" s="113">
        <f>(G8-F8)/F8</f>
        <v>-0.16414107643710588</v>
      </c>
      <c r="I8" s="128"/>
      <c r="J8" s="112">
        <f>'Residential R2 Impact'!D49</f>
        <v>12573.50976044</v>
      </c>
      <c r="K8" s="112">
        <f>'Residential R2 Impact'!G49</f>
        <v>12092.162521400001</v>
      </c>
      <c r="L8" s="117">
        <f>(K8-J8)/J8</f>
        <v>-0.03828264726484405</v>
      </c>
    </row>
    <row r="9" spans="2:12" ht="12.75">
      <c r="B9" s="116" t="s">
        <v>13</v>
      </c>
      <c r="C9" s="111">
        <v>287</v>
      </c>
      <c r="D9" s="111">
        <v>0</v>
      </c>
      <c r="E9" s="126"/>
      <c r="F9" s="112">
        <f>'Seasonal Impact'!D40*0.9</f>
        <v>62.229408047999996</v>
      </c>
      <c r="G9" s="112">
        <f>'Seasonal Impact'!G40*0.9</f>
        <v>61.360038863999996</v>
      </c>
      <c r="H9" s="113">
        <f>(G9-F9)/F9</f>
        <v>-0.01397039135145591</v>
      </c>
      <c r="I9" s="128"/>
      <c r="J9" s="112">
        <f>'Seasonal Impact'!D52</f>
        <v>94.78099134144</v>
      </c>
      <c r="K9" s="112">
        <f>'Seasonal Impact'!G52</f>
        <v>93.79860416352</v>
      </c>
      <c r="L9" s="117">
        <f>(K9-J9)/J9</f>
        <v>-0.01036481222675802</v>
      </c>
    </row>
    <row r="10" spans="2:12" ht="13.5" thickBot="1">
      <c r="B10" s="118" t="s">
        <v>14</v>
      </c>
      <c r="C10" s="119">
        <v>25000</v>
      </c>
      <c r="D10" s="119">
        <v>71.46</v>
      </c>
      <c r="E10" s="127"/>
      <c r="F10" s="120">
        <f>'Street Light Impact'!D38</f>
        <v>4594.9399029984</v>
      </c>
      <c r="G10" s="120">
        <f>'Street Light Impact'!G38</f>
        <v>4496.5519847456</v>
      </c>
      <c r="H10" s="121">
        <f>(G10-F10)/F10</f>
        <v>-0.021412231787535988</v>
      </c>
      <c r="I10" s="129"/>
      <c r="J10" s="120">
        <f>'Street Light Impact'!D47</f>
        <v>7984.432990388191</v>
      </c>
      <c r="K10" s="120">
        <f>'Street Light Impact'!G47</f>
        <v>7873.2546427625275</v>
      </c>
      <c r="L10" s="122">
        <f>(K10-J10)/J10</f>
        <v>-0.013924388589584486</v>
      </c>
    </row>
  </sheetData>
  <sheetProtection/>
  <mergeCells count="4">
    <mergeCell ref="C4:D4"/>
    <mergeCell ref="F4:H4"/>
    <mergeCell ref="J4:L4"/>
    <mergeCell ref="B3:L3"/>
  </mergeCells>
  <printOptions/>
  <pageMargins left="0.75" right="0.75" top="1" bottom="1" header="0.5" footer="0.5"/>
  <pageSetup horizontalDpi="600" verticalDpi="600" orientation="portrait" scale="75" r:id="rId1"/>
  <headerFooter alignWithMargins="0">
    <oddHeader xml:space="preserve">&amp;C&amp;"Arial,Bold"&amp;16Electricity Distribution Impacts
Rates Effective January 1, 2012&amp;"Arial,Regular"&amp;10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bradburyd</dc:creator>
  <cp:keywords/>
  <dc:description/>
  <cp:lastModifiedBy>dogalary</cp:lastModifiedBy>
  <cp:lastPrinted>2011-10-11T18:47:16Z</cp:lastPrinted>
  <dcterms:created xsi:type="dcterms:W3CDTF">2010-01-19T01:47:37Z</dcterms:created>
  <dcterms:modified xsi:type="dcterms:W3CDTF">2012-02-14T01:06:57Z</dcterms:modified>
  <cp:category/>
  <cp:version/>
  <cp:contentType/>
  <cp:contentStatus/>
</cp:coreProperties>
</file>