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326" windowWidth="12120" windowHeight="5970" tabRatio="831" activeTab="0"/>
  </bookViews>
  <sheets>
    <sheet name="Summary" sheetId="1" r:id="rId1"/>
    <sheet name="Purchased Power Model " sheetId="2" r:id="rId2"/>
    <sheet name="Residential - Not used" sheetId="3" r:id="rId3"/>
    <sheet name="GS &lt; 50 kW - Not used" sheetId="4" r:id="rId4"/>
    <sheet name="GS &gt; 50 kW - Not used" sheetId="5" r:id="rId5"/>
    <sheet name="Rate Class Energy Model" sheetId="6" r:id="rId6"/>
    <sheet name="Rate Class Customer Model" sheetId="7" r:id="rId7"/>
    <sheet name="Rate Class Load Model" sheetId="8" r:id="rId8"/>
  </sheets>
  <externalReferences>
    <externalReference r:id="rId11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3">'GS &lt; 50 kW - Not used'!$M$63:$Q$86</definedName>
    <definedName name="_xlnm.Print_Area" localSheetId="4">'GS &gt; 50 kW - Not used'!$M$63:$Q$86</definedName>
    <definedName name="_xlnm.Print_Area" localSheetId="1">'Purchased Power Model '!$M$2:$U$22</definedName>
    <definedName name="_xlnm.Print_Area" localSheetId="6">'Rate Class Customer Model'!$A$1:$C$2</definedName>
    <definedName name="_xlnm.Print_Area" localSheetId="5">'Rate Class Energy Model'!$57:$59</definedName>
    <definedName name="_xlnm.Print_Area" localSheetId="7">'Rate Class Load Model'!$A$1:$A$1</definedName>
    <definedName name="_xlnm.Print_Area" localSheetId="2">'Residential - Not used'!$M$63:$Q$86</definedName>
    <definedName name="_xlnm.Print_Area" localSheetId="0">'Summary'!#REF!</definedName>
  </definedNames>
  <calcPr fullCalcOnLoad="1"/>
</workbook>
</file>

<file path=xl/sharedStrings.xml><?xml version="1.0" encoding="utf-8"?>
<sst xmlns="http://schemas.openxmlformats.org/spreadsheetml/2006/main" count="267" uniqueCount="102">
  <si>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</si>
  <si>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</si>
  <si>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</si>
  <si>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</si>
  <si>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</si>
  <si>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</si>
  <si>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</si>
  <si>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</si>
  <si>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</si>
  <si>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</si>
  <si>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</si>
  <si>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</si>
  <si>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</si>
  <si>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</si>
  <si>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</si>
  <si>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</si>
  <si>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</si>
  <si>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</si>
  <si>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</si>
  <si>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</si>
  <si>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</si>
  <si>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</si>
  <si>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</si>
  <si>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</si>
  <si>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</si>
  <si>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</si>
  <si>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</si>
  <si>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</si>
  <si>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</si>
  <si>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</si>
  <si>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</si>
  <si>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</si>
  <si>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</si>
  <si>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</si>
  <si>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</si>
  <si>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</si>
  <si>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</si>
  <si>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</si>
  <si>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</si>
  <si>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</si>
  <si>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</si>
  <si>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</si>
  <si>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</si>
  <si>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</si>
  <si>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</si>
  <si>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</si>
  <si>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</si>
  <si>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</si>
  <si>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</si>
  <si>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</si>
  <si>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</si>
  <si>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</si>
  <si>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</si>
  <si>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</si>
  <si>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</si>
  <si>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</si>
  <si>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</si>
  <si>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</si>
  <si>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</si>
  <si>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</si>
  <si>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</si>
  <si>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</si>
  <si>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</si>
  <si>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</si>
  <si>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</si>
  <si>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</si>
  <si>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</si>
  <si>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</si>
  <si>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</si>
  <si>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</si>
  <si>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</si>
  <si>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Billed</t>
  </si>
  <si>
    <t>Weather Normal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</si>
  <si>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</si>
  <si>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</si>
  <si>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</si>
  <si>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</si>
  <si>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</si>
  <si>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</si>
  <si>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</si>
  <si>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2012 Weather Normal</t>
  </si>
  <si>
    <t>Total to 2010</t>
  </si>
  <si>
    <t>Residential</t>
  </si>
  <si>
    <t>General Service  &gt;50</t>
  </si>
  <si>
    <t>General Service &lt; 50</t>
  </si>
  <si>
    <t>USL</t>
  </si>
  <si>
    <t>Sentinel Lights</t>
  </si>
  <si>
    <t>Street Lights</t>
  </si>
  <si>
    <t>CDM Target</t>
  </si>
  <si>
    <t>Not Used</t>
  </si>
  <si>
    <t>X Variable 1</t>
  </si>
  <si>
    <t>X Variable 2</t>
  </si>
  <si>
    <t>X Variable 3</t>
  </si>
  <si>
    <t>X Variable 4</t>
  </si>
  <si>
    <t>This sheet not used</t>
  </si>
  <si>
    <t xml:space="preserve">Billed </t>
  </si>
  <si>
    <t>Predicted Billed Amount</t>
  </si>
  <si>
    <t>Year</t>
  </si>
  <si>
    <t>10 Year Average</t>
  </si>
  <si>
    <t>Forecast</t>
  </si>
  <si>
    <t xml:space="preserve">20 Year Trend </t>
  </si>
  <si>
    <t>Espanola Regional Hydro  Distribution Corporation Weather Normal Load Forecast for 2012 Rate Application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</si>
</sst>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00"/>
    <numFmt numFmtId="182" formatCode="0.00000"/>
    <numFmt numFmtId="183" formatCode="0.000"/>
    <numFmt numFmtId="184" formatCode="0.000%"/>
    <numFmt numFmtId="185" formatCode="_(* #,##0.000_);_(* \(#,##0.000\);_(* &quot;-&quot;??_);_(@_)"/>
    <numFmt numFmtId="186" formatCode="_(* #,##0.0000_);_(* \(#,##0.00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10" borderId="0" xfId="0" applyNumberFormat="1" applyFill="1" applyAlignment="1">
      <alignment horizontal="center"/>
    </xf>
    <xf numFmtId="17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32" borderId="0" xfId="42" applyNumberFormat="1" applyFill="1" applyAlignment="1">
      <alignment horizontal="center"/>
    </xf>
    <xf numFmtId="37" fontId="0" fillId="32" borderId="0" xfId="0" applyNumberFormat="1" applyFont="1" applyFill="1" applyAlignment="1">
      <alignment horizontal="center"/>
    </xf>
    <xf numFmtId="3" fontId="2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center" wrapText="1"/>
    </xf>
    <xf numFmtId="3" fontId="2" fillId="32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74" fontId="0" fillId="33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3" fontId="0" fillId="32" borderId="0" xfId="0" applyNumberFormat="1" applyFont="1" applyFill="1" applyAlignment="1">
      <alignment horizontal="center"/>
    </xf>
    <xf numFmtId="173" fontId="0" fillId="10" borderId="0" xfId="0" applyNumberFormat="1" applyFill="1" applyAlignment="1">
      <alignment horizontal="center"/>
    </xf>
    <xf numFmtId="10" fontId="0" fillId="32" borderId="0" xfId="0" applyNumberForma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59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9" fontId="0" fillId="0" borderId="0" xfId="59" applyFont="1" applyFill="1" applyBorder="1" applyAlignment="1">
      <alignment/>
    </xf>
    <xf numFmtId="180" fontId="0" fillId="32" borderId="0" xfId="0" applyNumberFormat="1" applyFill="1" applyAlignment="1">
      <alignment horizontal="center"/>
    </xf>
    <xf numFmtId="3" fontId="0" fillId="0" borderId="0" xfId="42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 horizontal="center"/>
    </xf>
    <xf numFmtId="0" fontId="0" fillId="34" borderId="0" xfId="0" applyFill="1" applyAlignment="1">
      <alignment horizontal="center"/>
    </xf>
    <xf numFmtId="3" fontId="0" fillId="34" borderId="0" xfId="0" applyNumberFormat="1" applyFill="1" applyAlignment="1">
      <alignment horizontal="center"/>
    </xf>
    <xf numFmtId="9" fontId="0" fillId="0" borderId="11" xfId="59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5" borderId="0" xfId="0" applyNumberFormat="1" applyFill="1" applyAlignment="1">
      <alignment horizontal="center"/>
    </xf>
    <xf numFmtId="0" fontId="9" fillId="35" borderId="0" xfId="0" applyFont="1" applyFill="1" applyAlignment="1">
      <alignment/>
    </xf>
    <xf numFmtId="180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9" fontId="0" fillId="32" borderId="0" xfId="59" applyFont="1" applyFill="1" applyBorder="1" applyAlignment="1">
      <alignment/>
    </xf>
    <xf numFmtId="3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/>
    </xf>
    <xf numFmtId="3" fontId="2" fillId="36" borderId="0" xfId="0" applyNumberFormat="1" applyFont="1" applyFill="1" applyAlignment="1">
      <alignment horizontal="center" wrapText="1"/>
    </xf>
    <xf numFmtId="3" fontId="0" fillId="36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6" borderId="0" xfId="0" applyNumberFormat="1" applyFont="1" applyFill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76" fontId="0" fillId="0" borderId="0" xfId="59" applyNumberFormat="1" applyFont="1" applyAlignment="1">
      <alignment horizontal="center"/>
    </xf>
    <xf numFmtId="176" fontId="0" fillId="0" borderId="0" xfId="59" applyNumberFormat="1" applyFont="1" applyAlignment="1">
      <alignment/>
    </xf>
    <xf numFmtId="3" fontId="0" fillId="0" borderId="0" xfId="59" applyNumberFormat="1" applyFont="1" applyAlignment="1">
      <alignment horizontal="center"/>
    </xf>
    <xf numFmtId="3" fontId="0" fillId="0" borderId="0" xfId="59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Alignment="1">
      <alignment horizontal="center"/>
    </xf>
    <xf numFmtId="179" fontId="0" fillId="0" borderId="0" xfId="42" applyNumberFormat="1" applyFont="1" applyFill="1" applyAlignment="1">
      <alignment horizontal="center"/>
    </xf>
    <xf numFmtId="179" fontId="0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9" fontId="0" fillId="0" borderId="0" xfId="59" applyFont="1" applyFill="1" applyAlignment="1">
      <alignment horizontal="center"/>
    </xf>
    <xf numFmtId="172" fontId="0" fillId="0" borderId="0" xfId="59" applyNumberFormat="1" applyFont="1" applyFill="1" applyAlignment="1">
      <alignment horizontal="center"/>
    </xf>
    <xf numFmtId="9" fontId="0" fillId="0" borderId="0" xfId="59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Terry%20Debbie\1%20regulatory%20affairs\2012%20Cost%20of%20Service%20EDR\2012%20old%20%20Rate%20Application%20Files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N5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7" sqref="E47"/>
    </sheetView>
  </sheetViews>
  <sheetFormatPr defaultColWidth="9.140625" defaultRowHeight="12.75"/>
  <cols>
    <col min="1" max="1" width="32.7109375" style="0" customWidth="1"/>
    <col min="2" max="2" width="12.57421875" style="1" customWidth="1"/>
    <col min="3" max="3" width="12.7109375" style="1" bestFit="1" customWidth="1"/>
    <col min="4" max="4" width="13.57421875" style="1" customWidth="1"/>
    <col min="5" max="5" width="12.7109375" style="1" customWidth="1"/>
    <col min="6" max="6" width="13.00390625" style="1" customWidth="1"/>
    <col min="7" max="7" width="12.7109375" style="1" bestFit="1" customWidth="1"/>
    <col min="8" max="9" width="12.8515625" style="1" customWidth="1"/>
    <col min="10" max="10" width="12.7109375" style="24" bestFit="1" customWidth="1"/>
    <col min="11" max="11" width="13.57421875" style="1" bestFit="1" customWidth="1"/>
  </cols>
  <sheetData>
    <row r="1" ht="15.75">
      <c r="A1" s="43" t="s">
        <v>101</v>
      </c>
    </row>
    <row r="3" spans="2:11" ht="38.25">
      <c r="B3" s="45" t="s">
        <v>55</v>
      </c>
      <c r="C3" s="45" t="s">
        <v>56</v>
      </c>
      <c r="D3" s="45" t="s">
        <v>57</v>
      </c>
      <c r="E3" s="45" t="s">
        <v>58</v>
      </c>
      <c r="F3" s="45" t="s">
        <v>59</v>
      </c>
      <c r="G3" s="45" t="s">
        <v>69</v>
      </c>
      <c r="H3" s="45" t="s">
        <v>73</v>
      </c>
      <c r="I3" s="45" t="s">
        <v>79</v>
      </c>
      <c r="J3" s="63" t="s">
        <v>74</v>
      </c>
      <c r="K3" s="45" t="s">
        <v>80</v>
      </c>
    </row>
    <row r="4" spans="1:10" ht="12.75">
      <c r="A4" s="20" t="s">
        <v>62</v>
      </c>
      <c r="B4" s="30">
        <f>'Purchased Power Model '!B126</f>
        <v>67436643</v>
      </c>
      <c r="C4" s="30">
        <f>'Purchased Power Model '!B127</f>
        <v>67783060</v>
      </c>
      <c r="D4" s="30">
        <f>'Purchased Power Model '!B128</f>
        <v>67841271</v>
      </c>
      <c r="E4" s="30">
        <f>'Purchased Power Model '!B129</f>
        <v>66220789</v>
      </c>
      <c r="F4" s="30">
        <f>'Purchased Power Model '!B130</f>
        <v>67715291</v>
      </c>
      <c r="G4" s="30">
        <f>'Purchased Power Model '!B131</f>
        <v>66659322</v>
      </c>
      <c r="H4" s="30">
        <f>'Purchased Power Model '!B132</f>
        <v>67883961</v>
      </c>
      <c r="I4" s="30">
        <f>'Purchased Power Model '!B133</f>
        <v>64797089</v>
      </c>
      <c r="J4" s="64"/>
    </row>
    <row r="5" spans="1:11" ht="12.75">
      <c r="A5" s="20" t="s">
        <v>63</v>
      </c>
      <c r="B5" s="30">
        <f>'Purchased Power Model '!J126</f>
        <v>68160460.49423367</v>
      </c>
      <c r="C5" s="30">
        <f>'Purchased Power Model '!J127</f>
        <v>67739263.45369074</v>
      </c>
      <c r="D5" s="30">
        <f>'Purchased Power Model '!J128</f>
        <v>66921111.36276141</v>
      </c>
      <c r="E5" s="30">
        <f>'Purchased Power Model '!J129</f>
        <v>65717231.05071306</v>
      </c>
      <c r="F5" s="30">
        <f>'Purchased Power Model '!J130</f>
        <v>67295848.09562448</v>
      </c>
      <c r="G5" s="30">
        <f>'Purchased Power Model '!J131</f>
        <v>67197389.42079535</v>
      </c>
      <c r="H5" s="30">
        <f>'Purchased Power Model '!J132</f>
        <v>67358111.3286516</v>
      </c>
      <c r="I5" s="30">
        <f>'Purchased Power Model '!J133</f>
        <v>65948010.79352967</v>
      </c>
      <c r="J5" s="65">
        <f>'Purchased Power Model '!J134</f>
        <v>67042178.25</v>
      </c>
      <c r="K5" s="30">
        <f>'Purchased Power Model '!J135</f>
        <v>67042178.25</v>
      </c>
    </row>
    <row r="6" spans="1:14" ht="12.75">
      <c r="A6" s="20" t="s">
        <v>10</v>
      </c>
      <c r="B6" s="44">
        <f aca="true" t="shared" si="0" ref="B6:I6">(B5-B4)/B4</f>
        <v>0.01073329664754617</v>
      </c>
      <c r="C6" s="44">
        <f t="shared" si="0"/>
        <v>-0.0006461281964736103</v>
      </c>
      <c r="D6" s="44">
        <f t="shared" si="0"/>
        <v>-0.013563419783786066</v>
      </c>
      <c r="E6" s="44">
        <f t="shared" si="0"/>
        <v>-0.00760422756797624</v>
      </c>
      <c r="F6" s="44">
        <f t="shared" si="0"/>
        <v>-0.006194212535770145</v>
      </c>
      <c r="G6" s="44">
        <f t="shared" si="0"/>
        <v>0.008071900593218623</v>
      </c>
      <c r="H6" s="44">
        <f t="shared" si="0"/>
        <v>-0.0077463021250099556</v>
      </c>
      <c r="I6" s="44">
        <f t="shared" si="0"/>
        <v>0.017761936705670018</v>
      </c>
      <c r="J6" s="66"/>
      <c r="K6" s="52"/>
      <c r="L6" s="53"/>
      <c r="M6" s="32"/>
      <c r="N6" s="32"/>
    </row>
    <row r="7" spans="1:10" ht="12.75">
      <c r="A7" s="20"/>
      <c r="B7" s="41"/>
      <c r="C7" s="41"/>
      <c r="D7" s="41"/>
      <c r="E7" s="41"/>
      <c r="F7" s="41"/>
      <c r="G7" s="41"/>
      <c r="H7" s="41"/>
      <c r="I7" s="41"/>
      <c r="J7" s="64"/>
    </row>
    <row r="8" spans="1:11" ht="12.75">
      <c r="A8" s="20" t="s">
        <v>65</v>
      </c>
      <c r="B8" s="30">
        <f>'Rate Class Energy Model'!G8</f>
        <v>64049189</v>
      </c>
      <c r="C8" s="30">
        <f>'Rate Class Energy Model'!G9</f>
        <v>63720225</v>
      </c>
      <c r="D8" s="30">
        <f>'Rate Class Energy Model'!G10</f>
        <v>63612611</v>
      </c>
      <c r="E8" s="30">
        <f>'Rate Class Energy Model'!G11</f>
        <v>61307854</v>
      </c>
      <c r="F8" s="30">
        <f>'Rate Class Energy Model'!G12</f>
        <v>62307251</v>
      </c>
      <c r="G8" s="30">
        <f>'Rate Class Energy Model'!G13</f>
        <v>62986996</v>
      </c>
      <c r="H8" s="30">
        <f>'Rate Class Energy Model'!G14</f>
        <v>63709854</v>
      </c>
      <c r="I8" s="30">
        <f>'Rate Class Energy Model'!G15</f>
        <v>60770606</v>
      </c>
      <c r="J8" s="65">
        <f>'Rate Class Energy Model'!G16</f>
        <v>62801997.08256467</v>
      </c>
      <c r="K8" s="30">
        <f>'Rate Class Energy Model'!G17-552000</f>
        <v>62249997.08256467</v>
      </c>
    </row>
    <row r="9" spans="1:9" ht="12.75">
      <c r="A9" s="20"/>
      <c r="B9" s="41"/>
      <c r="C9" s="41"/>
      <c r="D9" s="41"/>
      <c r="E9" s="41"/>
      <c r="F9" s="41"/>
      <c r="H9" s="24"/>
      <c r="I9" s="24"/>
    </row>
    <row r="10" ht="15.75">
      <c r="A10" s="43" t="s">
        <v>64</v>
      </c>
    </row>
    <row r="11" ht="12.75">
      <c r="A11" s="42" t="str">
        <f>'Rate Class Energy Model'!H2</f>
        <v>Residential</v>
      </c>
    </row>
    <row r="12" spans="1:11" ht="12.75">
      <c r="A12" t="s">
        <v>52</v>
      </c>
      <c r="B12" s="6">
        <f>'Rate Class Customer Model'!B3</f>
        <v>2862</v>
      </c>
      <c r="C12" s="6">
        <f>'Rate Class Customer Model'!B4</f>
        <v>2848</v>
      </c>
      <c r="D12" s="6">
        <f>'Rate Class Customer Model'!B5</f>
        <v>2848</v>
      </c>
      <c r="E12" s="6">
        <f>'Rate Class Customer Model'!B6</f>
        <v>2840</v>
      </c>
      <c r="F12" s="6">
        <f>'Rate Class Customer Model'!B7</f>
        <v>2839</v>
      </c>
      <c r="G12" s="6">
        <f>'Rate Class Customer Model'!B8</f>
        <v>2840</v>
      </c>
      <c r="H12" s="6">
        <f>'Rate Class Customer Model'!B9</f>
        <v>2858</v>
      </c>
      <c r="I12" s="6">
        <f>'Rate Class Customer Model'!B10</f>
        <v>2850</v>
      </c>
      <c r="J12" s="28">
        <f>'Rate Class Customer Model'!B11</f>
        <v>2848.289826519014</v>
      </c>
      <c r="K12" s="6">
        <f>'Rate Class Customer Model'!B12</f>
        <v>2846.5806792462154</v>
      </c>
    </row>
    <row r="13" spans="1:11" ht="12.75">
      <c r="A13" t="s">
        <v>53</v>
      </c>
      <c r="B13" s="6">
        <f>'Rate Class Energy Model'!H8</f>
        <v>33607610</v>
      </c>
      <c r="C13" s="6">
        <f>'Rate Class Energy Model'!H9</f>
        <v>33524674</v>
      </c>
      <c r="D13" s="6">
        <f>'Rate Class Energy Model'!H10</f>
        <v>33109767</v>
      </c>
      <c r="E13" s="6">
        <f>'Rate Class Energy Model'!H11</f>
        <v>31914206</v>
      </c>
      <c r="F13" s="6">
        <f>'Rate Class Energy Model'!H12</f>
        <v>32143845</v>
      </c>
      <c r="G13" s="6">
        <f>'Rate Class Energy Model'!H13</f>
        <v>32829199</v>
      </c>
      <c r="H13" s="6">
        <f>'Rate Class Energy Model'!H14</f>
        <v>33417700</v>
      </c>
      <c r="I13" s="6">
        <f>'Rate Class Energy Model'!H15</f>
        <v>31226253</v>
      </c>
      <c r="J13" s="28">
        <f>'Rate Class Energy Model'!H58</f>
        <v>32570645.128357504</v>
      </c>
      <c r="K13" s="6">
        <f>'Rate Class Energy Model'!H59</f>
        <v>32680720.615815494</v>
      </c>
    </row>
    <row r="14" spans="7:11" ht="12.75">
      <c r="G14" s="53"/>
      <c r="H14" s="24"/>
      <c r="I14" s="24"/>
      <c r="K14" s="52"/>
    </row>
    <row r="15" ht="12.75">
      <c r="A15" s="42" t="str">
        <f>'Rate Class Energy Model'!I2</f>
        <v>General Service &lt; 50</v>
      </c>
    </row>
    <row r="16" spans="1:11" ht="12.75">
      <c r="A16" t="s">
        <v>52</v>
      </c>
      <c r="B16" s="6">
        <f>'Rate Class Customer Model'!C3</f>
        <v>424</v>
      </c>
      <c r="C16" s="6">
        <f>'Rate Class Customer Model'!C4</f>
        <v>427</v>
      </c>
      <c r="D16" s="6">
        <f>'Rate Class Customer Model'!C5</f>
        <v>441</v>
      </c>
      <c r="E16" s="6">
        <f>'Rate Class Customer Model'!C6</f>
        <v>443</v>
      </c>
      <c r="F16" s="6">
        <f>'Rate Class Customer Model'!C7</f>
        <v>444</v>
      </c>
      <c r="G16" s="6">
        <f>'Rate Class Customer Model'!C8</f>
        <v>445</v>
      </c>
      <c r="H16" s="6">
        <f>'Rate Class Customer Model'!C9</f>
        <v>439</v>
      </c>
      <c r="I16" s="6">
        <f>'Rate Class Customer Model'!C10</f>
        <v>425</v>
      </c>
      <c r="J16" s="28">
        <f>'Rate Class Customer Model'!C11</f>
        <v>425.14304954310404</v>
      </c>
      <c r="K16" s="6">
        <f>'Rate Class Customer Model'!C12</f>
        <v>425.28614723484753</v>
      </c>
    </row>
    <row r="17" spans="1:11" ht="12.75">
      <c r="A17" t="s">
        <v>53</v>
      </c>
      <c r="B17" s="6">
        <f>'Rate Class Energy Model'!I8</f>
        <v>14387032</v>
      </c>
      <c r="C17" s="6">
        <f>'Rate Class Energy Model'!I9</f>
        <v>14762408</v>
      </c>
      <c r="D17" s="6">
        <f>'Rate Class Energy Model'!I10</f>
        <v>14951432</v>
      </c>
      <c r="E17" s="6">
        <f>'Rate Class Energy Model'!I11</f>
        <v>14354281</v>
      </c>
      <c r="F17" s="6">
        <f>'Rate Class Energy Model'!I12</f>
        <v>14488102</v>
      </c>
      <c r="G17" s="6">
        <f>'Rate Class Energy Model'!I13</f>
        <v>14680694</v>
      </c>
      <c r="H17" s="6">
        <f>'Rate Class Energy Model'!I14</f>
        <v>13847590</v>
      </c>
      <c r="I17" s="6">
        <f>'Rate Class Energy Model'!I15</f>
        <v>11572990</v>
      </c>
      <c r="J17" s="6">
        <f>'Rate Class Energy Model'!I58</f>
        <v>11641964.399865806</v>
      </c>
      <c r="K17" s="6">
        <f>'Rate Class Energy Model'!I59</f>
        <v>11265898.807393868</v>
      </c>
    </row>
    <row r="18" spans="7:11" ht="12.75">
      <c r="G18" s="53"/>
      <c r="H18" s="24"/>
      <c r="I18" s="24"/>
      <c r="K18" s="52"/>
    </row>
    <row r="19" spans="1:11" ht="12.75">
      <c r="A19" s="42" t="str">
        <f>'Rate Class Energy Model'!J2</f>
        <v>General Service  &gt;50</v>
      </c>
      <c r="K19" s="6"/>
    </row>
    <row r="20" spans="1:11" ht="12.75">
      <c r="A20" t="s">
        <v>52</v>
      </c>
      <c r="B20" s="6">
        <f>'Rate Class Customer Model'!D3</f>
        <v>17</v>
      </c>
      <c r="C20" s="6">
        <f>'Rate Class Customer Model'!D4</f>
        <v>16</v>
      </c>
      <c r="D20" s="6">
        <f>'Rate Class Customer Model'!D5</f>
        <v>16</v>
      </c>
      <c r="E20" s="6">
        <f>'Rate Class Customer Model'!D6</f>
        <v>16</v>
      </c>
      <c r="F20" s="6">
        <f>'Rate Class Customer Model'!D7</f>
        <v>16</v>
      </c>
      <c r="G20" s="6">
        <f>'Rate Class Customer Model'!D8</f>
        <v>16</v>
      </c>
      <c r="H20" s="6">
        <f>'Rate Class Customer Model'!D9</f>
        <v>20</v>
      </c>
      <c r="I20" s="6">
        <f>'Rate Class Customer Model'!D10</f>
        <v>25</v>
      </c>
      <c r="J20" s="28">
        <f>'Rate Class Customer Model'!D11</f>
        <v>26.41601526333897</v>
      </c>
      <c r="K20" s="6">
        <f>'Rate Class Customer Model'!D12</f>
        <v>27.47265587387253</v>
      </c>
    </row>
    <row r="21" spans="1:11" ht="12.75">
      <c r="A21" t="s">
        <v>53</v>
      </c>
      <c r="B21" s="6">
        <f>'Rate Class Energy Model'!J8</f>
        <v>15332335</v>
      </c>
      <c r="C21" s="6">
        <f>'Rate Class Energy Model'!J9</f>
        <v>14691326</v>
      </c>
      <c r="D21" s="6">
        <f>'Rate Class Energy Model'!J10</f>
        <v>14823250</v>
      </c>
      <c r="E21" s="6">
        <f>'Rate Class Energy Model'!J11</f>
        <v>14303205</v>
      </c>
      <c r="F21" s="6">
        <f>'Rate Class Energy Model'!J12</f>
        <v>14901933</v>
      </c>
      <c r="G21" s="6">
        <f>'Rate Class Energy Model'!J13</f>
        <v>14709330</v>
      </c>
      <c r="H21" s="6">
        <f>'Rate Class Energy Model'!J14</f>
        <v>15633031</v>
      </c>
      <c r="I21" s="6">
        <f>'Rate Class Energy Model'!J15</f>
        <v>17160375</v>
      </c>
      <c r="J21" s="6">
        <f>'Rate Class Energy Model'!J58</f>
        <v>17759635.21374576</v>
      </c>
      <c r="K21" s="6">
        <f>'Rate Class Energy Model'!J59</f>
        <v>17442771.90254066</v>
      </c>
    </row>
    <row r="22" spans="1:11" ht="12.75">
      <c r="A22" t="s">
        <v>54</v>
      </c>
      <c r="B22" s="6">
        <f>'Rate Class Load Model'!B2</f>
        <v>38823</v>
      </c>
      <c r="C22" s="6">
        <f>'Rate Class Load Model'!B3</f>
        <v>37349</v>
      </c>
      <c r="D22" s="6">
        <f>'Rate Class Load Model'!B4</f>
        <v>37365</v>
      </c>
      <c r="E22" s="6">
        <f>'Rate Class Load Model'!B5</f>
        <v>36813</v>
      </c>
      <c r="F22" s="6">
        <f>'Rate Class Load Model'!B6</f>
        <v>37510</v>
      </c>
      <c r="G22" s="6">
        <f>'Rate Class Load Model'!B7</f>
        <v>36482</v>
      </c>
      <c r="H22" s="6">
        <f>'Rate Class Load Model'!B8</f>
        <v>39329</v>
      </c>
      <c r="I22" s="28">
        <f>'Rate Class Load Model'!B9</f>
        <v>43226</v>
      </c>
      <c r="J22" s="6">
        <f>'Rate Class Load Model'!B10</f>
        <v>44844.92670328697</v>
      </c>
      <c r="K22" s="6">
        <f>'Rate Class Load Model'!B11</f>
        <v>44044.813874676875</v>
      </c>
    </row>
    <row r="23" spans="7:11" ht="12.75">
      <c r="G23" s="53"/>
      <c r="H23" s="24"/>
      <c r="I23" s="24"/>
      <c r="K23" s="52"/>
    </row>
    <row r="24" spans="1:11" ht="12.75">
      <c r="A24" s="42" t="str">
        <f>'Rate Class Energy Model'!K2</f>
        <v>USL</v>
      </c>
      <c r="K24" s="6"/>
    </row>
    <row r="25" spans="1:11" ht="12.75">
      <c r="A25" t="s">
        <v>52</v>
      </c>
      <c r="B25" s="6">
        <f>'Rate Class Customer Model'!E3</f>
        <v>7</v>
      </c>
      <c r="C25" s="6">
        <f>'Rate Class Customer Model'!E4</f>
        <v>7</v>
      </c>
      <c r="D25" s="6">
        <f>'Rate Class Customer Model'!E5</f>
        <v>7</v>
      </c>
      <c r="E25" s="6">
        <f>'Rate Class Customer Model'!E6</f>
        <v>11</v>
      </c>
      <c r="F25" s="6">
        <f>'Rate Class Customer Model'!E7</f>
        <v>12</v>
      </c>
      <c r="G25" s="6">
        <f>'Rate Class Customer Model'!E8</f>
        <v>12</v>
      </c>
      <c r="H25" s="6">
        <f>'Rate Class Customer Model'!E9</f>
        <v>21</v>
      </c>
      <c r="I25" s="6">
        <f>'Rate Class Customer Model'!E10</f>
        <v>21</v>
      </c>
      <c r="J25" s="28">
        <f>'Rate Class Customer Model'!E11</f>
        <v>24.568547067932425</v>
      </c>
      <c r="K25" s="6">
        <f>'Rate Class Customer Model'!E12</f>
        <v>31.588131944484548</v>
      </c>
    </row>
    <row r="26" spans="1:11" ht="12.75">
      <c r="A26" t="s">
        <v>53</v>
      </c>
      <c r="B26" s="6">
        <f>'Rate Class Energy Model'!K8</f>
        <v>100217</v>
      </c>
      <c r="C26" s="6">
        <f>'Rate Class Energy Model'!K9</f>
        <v>101860</v>
      </c>
      <c r="D26" s="6">
        <f>'Rate Class Energy Model'!K10</f>
        <v>87440</v>
      </c>
      <c r="E26" s="6">
        <f>'Rate Class Energy Model'!K11</f>
        <v>125709</v>
      </c>
      <c r="F26" s="6">
        <f>'Rate Class Energy Model'!K12</f>
        <v>131742</v>
      </c>
      <c r="G26" s="6">
        <f>'Rate Class Energy Model'!K13</f>
        <v>131812</v>
      </c>
      <c r="H26" s="6">
        <f>'Rate Class Energy Model'!K14</f>
        <v>170432</v>
      </c>
      <c r="I26" s="6">
        <f>'Rate Class Energy Model'!K15</f>
        <v>170043</v>
      </c>
      <c r="J26" s="6">
        <f>'Rate Class Energy Model'!K58</f>
        <v>182519.96717559267</v>
      </c>
      <c r="K26" s="74">
        <f>'Rate Class Energy Model'!K59</f>
        <v>213280.13985039626</v>
      </c>
    </row>
    <row r="27" spans="2:11" ht="12.75">
      <c r="B27" s="6"/>
      <c r="C27" s="6"/>
      <c r="D27" s="6"/>
      <c r="E27" s="6"/>
      <c r="F27" s="6"/>
      <c r="G27" s="6"/>
      <c r="H27" s="6"/>
      <c r="I27" s="28"/>
      <c r="J27" s="6"/>
      <c r="K27" s="6"/>
    </row>
    <row r="28" spans="7:11" ht="12.75">
      <c r="G28" s="53"/>
      <c r="H28" s="24"/>
      <c r="I28" s="24"/>
      <c r="K28" s="52"/>
    </row>
    <row r="29" spans="1:11" ht="12.75">
      <c r="A29" s="42" t="str">
        <f>'Rate Class Energy Model'!L2</f>
        <v>Sentinel Lights</v>
      </c>
      <c r="K29" s="6"/>
    </row>
    <row r="30" spans="1:11" ht="12.75">
      <c r="A30" t="s">
        <v>75</v>
      </c>
      <c r="B30" s="6">
        <f>'Rate Class Customer Model'!F3</f>
        <v>27</v>
      </c>
      <c r="C30" s="6">
        <f>'Rate Class Customer Model'!F4</f>
        <v>27</v>
      </c>
      <c r="D30" s="6">
        <f>'Rate Class Customer Model'!F5</f>
        <v>27</v>
      </c>
      <c r="E30" s="6">
        <f>'Rate Class Customer Model'!F6</f>
        <v>27</v>
      </c>
      <c r="F30" s="6">
        <f>'Rate Class Customer Model'!F7</f>
        <v>27</v>
      </c>
      <c r="G30" s="6">
        <f>'Rate Class Customer Model'!F8</f>
        <v>25</v>
      </c>
      <c r="H30" s="6">
        <f>'Rate Class Customer Model'!F9</f>
        <v>26</v>
      </c>
      <c r="I30" s="28">
        <f>'Rate Class Customer Model'!F10</f>
        <v>26</v>
      </c>
      <c r="J30" s="6">
        <f>'Rate Class Customer Model'!F11</f>
        <v>26</v>
      </c>
      <c r="K30" s="6">
        <f>'Rate Class Customer Model'!F12</f>
        <v>25.860198844812142</v>
      </c>
    </row>
    <row r="31" spans="1:11" ht="12.75">
      <c r="A31" t="s">
        <v>53</v>
      </c>
      <c r="B31" s="6">
        <f>'Rate Class Energy Model'!L8</f>
        <v>27732</v>
      </c>
      <c r="C31" s="6">
        <f>'Rate Class Energy Model'!L9</f>
        <v>27408</v>
      </c>
      <c r="D31" s="6">
        <f>'Rate Class Energy Model'!L10</f>
        <v>27408</v>
      </c>
      <c r="E31" s="6">
        <f>'Rate Class Energy Model'!L11</f>
        <v>27308</v>
      </c>
      <c r="F31" s="6">
        <f>'Rate Class Energy Model'!L12</f>
        <v>27125</v>
      </c>
      <c r="G31" s="6">
        <f>'Rate Class Energy Model'!L13</f>
        <v>25145</v>
      </c>
      <c r="H31" s="6">
        <f>'Rate Class Energy Model'!L14</f>
        <v>25275</v>
      </c>
      <c r="I31" s="6">
        <f>'Rate Class Energy Model'!L15</f>
        <v>25100</v>
      </c>
      <c r="J31" s="6">
        <f>'Rate Class Energy Model'!L58</f>
        <v>24809.45833104801</v>
      </c>
      <c r="K31" s="74">
        <f>'Rate Class Energy Model'!L59</f>
        <v>24161.476831425207</v>
      </c>
    </row>
    <row r="32" spans="1:11" ht="12.75">
      <c r="A32" t="s">
        <v>54</v>
      </c>
      <c r="B32" s="6">
        <f>'Rate Class Load Model'!C2</f>
        <v>73</v>
      </c>
      <c r="C32" s="6">
        <f>'Rate Class Load Model'!C3</f>
        <v>73</v>
      </c>
      <c r="D32" s="6">
        <f>'Rate Class Load Model'!C4</f>
        <v>73</v>
      </c>
      <c r="E32" s="6">
        <f>'Rate Class Load Model'!C5</f>
        <v>73</v>
      </c>
      <c r="F32" s="6">
        <f>'Rate Class Load Model'!C6</f>
        <v>72</v>
      </c>
      <c r="G32" s="6">
        <f>'Rate Class Load Model'!C7</f>
        <v>72</v>
      </c>
      <c r="H32" s="6">
        <f>'Rate Class Load Model'!C8</f>
        <v>72</v>
      </c>
      <c r="I32" s="28">
        <f>'Rate Class Load Model'!C9</f>
        <v>72</v>
      </c>
      <c r="J32" s="6">
        <f>'Rate Class Load Model'!C10</f>
        <v>67.81485581485349</v>
      </c>
      <c r="K32" s="6">
        <f>'Rate Class Load Model'!C11</f>
        <v>66.04364536030599</v>
      </c>
    </row>
    <row r="33" spans="2:11" ht="12.75">
      <c r="B33" s="6"/>
      <c r="C33" s="6"/>
      <c r="D33" s="6"/>
      <c r="E33" s="6"/>
      <c r="F33" s="6"/>
      <c r="G33" s="6"/>
      <c r="H33" s="6"/>
      <c r="I33" s="6"/>
      <c r="J33" s="28"/>
      <c r="K33" s="6"/>
    </row>
    <row r="34" spans="1:11" ht="12.75">
      <c r="A34" s="42" t="str">
        <f>'Rate Class Energy Model'!M2</f>
        <v>Street Lights</v>
      </c>
      <c r="K34" s="6"/>
    </row>
    <row r="35" spans="1:11" ht="12.75">
      <c r="A35" t="s">
        <v>75</v>
      </c>
      <c r="B35" s="6">
        <f>'Rate Class Customer Model'!G3</f>
        <v>1016</v>
      </c>
      <c r="C35" s="6">
        <f>'Rate Class Customer Model'!G4</f>
        <v>1016</v>
      </c>
      <c r="D35" s="6">
        <f>'Rate Class Customer Model'!G5</f>
        <v>1016</v>
      </c>
      <c r="E35" s="6">
        <f>'Rate Class Customer Model'!G6</f>
        <v>1016</v>
      </c>
      <c r="F35" s="6">
        <f>'Rate Class Customer Model'!G7</f>
        <v>1037</v>
      </c>
      <c r="G35" s="6">
        <f>'Rate Class Customer Model'!G8</f>
        <v>1039</v>
      </c>
      <c r="H35" s="6">
        <f>'Rate Class Customer Model'!G9</f>
        <v>1045</v>
      </c>
      <c r="I35" s="28">
        <f>'Rate Class Customer Model'!G10</f>
        <v>1045</v>
      </c>
      <c r="J35" s="6">
        <f>'Rate Class Customer Model'!G11</f>
        <v>1049.2098851748729</v>
      </c>
      <c r="K35" s="6">
        <f>'Rate Class Customer Model'!G12</f>
        <v>1053.4367302858086</v>
      </c>
    </row>
    <row r="36" spans="1:11" ht="12.75">
      <c r="A36" t="s">
        <v>53</v>
      </c>
      <c r="B36" s="6">
        <f>'Rate Class Energy Model'!M8</f>
        <v>594263</v>
      </c>
      <c r="C36" s="6">
        <f>'Rate Class Energy Model'!M9</f>
        <v>612549</v>
      </c>
      <c r="D36" s="6">
        <f>'Rate Class Energy Model'!M10</f>
        <v>613314</v>
      </c>
      <c r="E36" s="6">
        <f>'Rate Class Energy Model'!M11</f>
        <v>583145</v>
      </c>
      <c r="F36" s="6">
        <f>'Rate Class Energy Model'!M12</f>
        <v>614504</v>
      </c>
      <c r="G36" s="6">
        <f>'Rate Class Energy Model'!M13</f>
        <v>610816</v>
      </c>
      <c r="H36" s="6">
        <f>'Rate Class Energy Model'!M14</f>
        <v>615826</v>
      </c>
      <c r="I36" s="6">
        <f>'Rate Class Energy Model'!M15</f>
        <v>615845</v>
      </c>
      <c r="J36" s="6">
        <f>'Rate Class Energy Model'!M58</f>
        <v>622422.9150889416</v>
      </c>
      <c r="K36" s="73">
        <f>'Rate Class Energy Model'!M59</f>
        <v>623166.1401328271</v>
      </c>
    </row>
    <row r="37" spans="1:11" ht="12.75">
      <c r="A37" t="s">
        <v>54</v>
      </c>
      <c r="B37" s="6">
        <f>'Rate Class Load Model'!D2</f>
        <v>1718</v>
      </c>
      <c r="C37" s="6">
        <f>'Rate Class Load Model'!D3</f>
        <v>1719</v>
      </c>
      <c r="D37" s="6">
        <f>'Rate Class Load Model'!D4</f>
        <v>1718</v>
      </c>
      <c r="E37" s="6">
        <f>'Rate Class Load Model'!D5</f>
        <v>1721</v>
      </c>
      <c r="F37" s="6">
        <f>'Rate Class Load Model'!D6</f>
        <v>1721</v>
      </c>
      <c r="G37" s="6">
        <f>'Rate Class Load Model'!D7</f>
        <v>1721</v>
      </c>
      <c r="H37" s="6">
        <f>'Rate Class Load Model'!D8</f>
        <v>1724</v>
      </c>
      <c r="I37" s="28">
        <f>'Rate Class Load Model'!D9</f>
        <v>1728</v>
      </c>
      <c r="J37" s="6">
        <f>'Rate Class Load Model'!D10</f>
        <v>1764.0448706578584</v>
      </c>
      <c r="K37" s="6">
        <f>'Rate Class Load Model'!D11</f>
        <v>1766.1512878456372</v>
      </c>
    </row>
    <row r="39" ht="12.75">
      <c r="K39" s="6"/>
    </row>
    <row r="40" spans="1:10" ht="12.75">
      <c r="A40" s="42" t="s">
        <v>76</v>
      </c>
      <c r="B40" s="6"/>
      <c r="C40" s="6"/>
      <c r="D40" s="6"/>
      <c r="E40" s="6"/>
      <c r="G40" s="6"/>
      <c r="H40" s="6"/>
      <c r="I40" s="6"/>
      <c r="J40" s="28"/>
    </row>
    <row r="41" spans="1:11" ht="12.75">
      <c r="A41" t="s">
        <v>61</v>
      </c>
      <c r="B41" s="6">
        <f>B12+B16+B20+B25+B30+B35</f>
        <v>4353</v>
      </c>
      <c r="C41" s="6">
        <f aca="true" t="shared" si="1" ref="C41:I41">C12+C16+C20+C25+C30+C35</f>
        <v>4341</v>
      </c>
      <c r="D41" s="6">
        <f t="shared" si="1"/>
        <v>4355</v>
      </c>
      <c r="E41" s="6">
        <f t="shared" si="1"/>
        <v>4353</v>
      </c>
      <c r="F41" s="6">
        <f t="shared" si="1"/>
        <v>4375</v>
      </c>
      <c r="G41" s="6">
        <f t="shared" si="1"/>
        <v>4377</v>
      </c>
      <c r="H41" s="6">
        <f t="shared" si="1"/>
        <v>4409</v>
      </c>
      <c r="I41" s="6">
        <f t="shared" si="1"/>
        <v>4392</v>
      </c>
      <c r="J41" s="6">
        <f>J12+J16+J20+J25+J30+J35-0.56</f>
        <v>4399.067323568262</v>
      </c>
      <c r="K41" s="6">
        <f>K12+K16+K20+K25+K30+K35-0.5</f>
        <v>4409.724543430041</v>
      </c>
    </row>
    <row r="42" spans="1:11" ht="12.75">
      <c r="A42" t="s">
        <v>53</v>
      </c>
      <c r="B42" s="6">
        <f>B13+B17+B21+B26+B31+B36</f>
        <v>64049189</v>
      </c>
      <c r="C42" s="6">
        <f aca="true" t="shared" si="2" ref="C42:J42">C13+C17+C21+C26+C31+C36</f>
        <v>63720225</v>
      </c>
      <c r="D42" s="6">
        <f t="shared" si="2"/>
        <v>63612611</v>
      </c>
      <c r="E42" s="6">
        <f t="shared" si="2"/>
        <v>61307854</v>
      </c>
      <c r="F42" s="6">
        <f t="shared" si="2"/>
        <v>62307251</v>
      </c>
      <c r="G42" s="6">
        <f t="shared" si="2"/>
        <v>62986996</v>
      </c>
      <c r="H42" s="6">
        <f t="shared" si="2"/>
        <v>63709854</v>
      </c>
      <c r="I42" s="6">
        <f t="shared" si="2"/>
        <v>60770606</v>
      </c>
      <c r="J42" s="6">
        <f t="shared" si="2"/>
        <v>62801997.08256465</v>
      </c>
      <c r="K42" s="6">
        <f>K13+K17+K21+K26+K31+K36-2</f>
        <v>62249997.082564674</v>
      </c>
    </row>
    <row r="43" spans="1:11" ht="12.75">
      <c r="A43" t="s">
        <v>60</v>
      </c>
      <c r="B43" s="6">
        <f>B22+B27+B32+B37</f>
        <v>40614</v>
      </c>
      <c r="C43" s="6">
        <f aca="true" t="shared" si="3" ref="C43:K43">C22+C27+C32+C37</f>
        <v>39141</v>
      </c>
      <c r="D43" s="6">
        <f t="shared" si="3"/>
        <v>39156</v>
      </c>
      <c r="E43" s="6">
        <f t="shared" si="3"/>
        <v>38607</v>
      </c>
      <c r="F43" s="6">
        <f t="shared" si="3"/>
        <v>39303</v>
      </c>
      <c r="G43" s="6">
        <f t="shared" si="3"/>
        <v>38275</v>
      </c>
      <c r="H43" s="6">
        <f t="shared" si="3"/>
        <v>41125</v>
      </c>
      <c r="I43" s="6">
        <f t="shared" si="3"/>
        <v>45026</v>
      </c>
      <c r="J43" s="6">
        <f t="shared" si="3"/>
        <v>46676.78642975968</v>
      </c>
      <c r="K43" s="6">
        <f t="shared" si="3"/>
        <v>45877.00880788281</v>
      </c>
    </row>
    <row r="45" spans="1:11" ht="12.75">
      <c r="A45" s="42" t="s">
        <v>77</v>
      </c>
      <c r="K45" s="6"/>
    </row>
    <row r="46" spans="1:11" ht="12.75">
      <c r="A46" t="s">
        <v>61</v>
      </c>
      <c r="B46" s="6">
        <f>'Rate Class Customer Model'!I3</f>
        <v>4353</v>
      </c>
      <c r="C46" s="6">
        <f>'Rate Class Customer Model'!I4</f>
        <v>4341</v>
      </c>
      <c r="D46" s="6">
        <f>'Rate Class Customer Model'!I5</f>
        <v>4355</v>
      </c>
      <c r="E46" s="6">
        <f>'Rate Class Customer Model'!I6</f>
        <v>4353</v>
      </c>
      <c r="F46" s="6">
        <f>'Rate Class Customer Model'!I7</f>
        <v>4375</v>
      </c>
      <c r="G46" s="6">
        <f>'Rate Class Customer Model'!I8</f>
        <v>4377</v>
      </c>
      <c r="H46" s="6">
        <f>'Rate Class Customer Model'!I9</f>
        <v>4409</v>
      </c>
      <c r="I46" s="6">
        <f>'Rate Class Customer Model'!I10</f>
        <v>4392</v>
      </c>
      <c r="J46" s="6">
        <f>'Rate Class Customer Model'!I11</f>
        <v>4399.127323568262</v>
      </c>
      <c r="K46" s="6">
        <f>'Rate Class Customer Model'!I12</f>
        <v>4409.724543430041</v>
      </c>
    </row>
    <row r="47" spans="1:11" ht="12.75">
      <c r="A47" t="s">
        <v>53</v>
      </c>
      <c r="B47" s="6">
        <f>'Rate Class Energy Model'!G8</f>
        <v>64049189</v>
      </c>
      <c r="C47" s="6">
        <f>'Rate Class Energy Model'!G9</f>
        <v>63720225</v>
      </c>
      <c r="D47" s="6">
        <f>'Rate Class Energy Model'!G10</f>
        <v>63612611</v>
      </c>
      <c r="E47" s="6">
        <f>'Rate Class Energy Model'!G11</f>
        <v>61307854</v>
      </c>
      <c r="F47" s="6">
        <f>'Rate Class Energy Model'!G12</f>
        <v>62307251</v>
      </c>
      <c r="G47" s="6">
        <f>'Rate Class Energy Model'!G13</f>
        <v>62986996</v>
      </c>
      <c r="H47" s="6">
        <f>'Rate Class Energy Model'!G14</f>
        <v>63709854</v>
      </c>
      <c r="I47" s="6">
        <f>'Rate Class Energy Model'!G15</f>
        <v>60770606</v>
      </c>
      <c r="J47" s="28">
        <f>'Rate Class Energy Model'!G16</f>
        <v>62801997.08256467</v>
      </c>
      <c r="K47" s="6">
        <f>'Rate Class Energy Model'!G17-'Rate Class Energy Model'!O69</f>
        <v>62249997.08256467</v>
      </c>
    </row>
    <row r="48" spans="1:11" ht="12.75">
      <c r="A48" t="s">
        <v>60</v>
      </c>
      <c r="B48" s="6">
        <f>'Rate Class Load Model'!E2</f>
        <v>40614</v>
      </c>
      <c r="C48" s="6">
        <f>'Rate Class Load Model'!E3</f>
        <v>39141</v>
      </c>
      <c r="D48" s="6">
        <f>'Rate Class Load Model'!E4</f>
        <v>39156</v>
      </c>
      <c r="E48" s="6">
        <f>'Rate Class Load Model'!E5</f>
        <v>38607</v>
      </c>
      <c r="F48" s="6">
        <f>'Rate Class Load Model'!E6</f>
        <v>39303</v>
      </c>
      <c r="G48" s="6">
        <f>'Rate Class Load Model'!E7</f>
        <v>38275</v>
      </c>
      <c r="H48" s="6">
        <f>'Rate Class Load Model'!E8</f>
        <v>41125</v>
      </c>
      <c r="I48" s="28">
        <f>'Rate Class Load Model'!E9</f>
        <v>45026</v>
      </c>
      <c r="J48" s="6">
        <f>'Rate Class Load Model'!E10</f>
        <v>46676.78642975968</v>
      </c>
      <c r="K48" s="6">
        <f>'Rate Class Load Model'!E11</f>
        <v>45877.00880788281</v>
      </c>
    </row>
    <row r="50" spans="1:11" ht="12.75">
      <c r="A50" s="42" t="s">
        <v>78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t="s">
        <v>61</v>
      </c>
      <c r="B51" s="6">
        <f>B41-B46</f>
        <v>0</v>
      </c>
      <c r="C51" s="6">
        <f aca="true" t="shared" si="4" ref="C51:K51">C41-C46</f>
        <v>0</v>
      </c>
      <c r="D51" s="6">
        <f t="shared" si="4"/>
        <v>0</v>
      </c>
      <c r="E51" s="6">
        <f t="shared" si="4"/>
        <v>0</v>
      </c>
      <c r="F51" s="6">
        <f t="shared" si="4"/>
        <v>0</v>
      </c>
      <c r="G51" s="6">
        <f t="shared" si="4"/>
        <v>0</v>
      </c>
      <c r="H51" s="6">
        <f t="shared" si="4"/>
        <v>0</v>
      </c>
      <c r="I51" s="6">
        <f t="shared" si="4"/>
        <v>0</v>
      </c>
      <c r="J51" s="6">
        <f t="shared" si="4"/>
        <v>-0.06000000000040018</v>
      </c>
      <c r="K51" s="6">
        <f t="shared" si="4"/>
        <v>0</v>
      </c>
    </row>
    <row r="52" spans="1:11" ht="12.75">
      <c r="A52" t="s">
        <v>53</v>
      </c>
      <c r="B52" s="6">
        <f aca="true" t="shared" si="5" ref="B52:K53">B42-B47</f>
        <v>0</v>
      </c>
      <c r="C52" s="6">
        <f t="shared" si="5"/>
        <v>0</v>
      </c>
      <c r="D52" s="6">
        <f t="shared" si="5"/>
        <v>0</v>
      </c>
      <c r="E52" s="6">
        <f t="shared" si="5"/>
        <v>0</v>
      </c>
      <c r="F52" s="6">
        <f t="shared" si="5"/>
        <v>0</v>
      </c>
      <c r="G52" s="6">
        <f t="shared" si="5"/>
        <v>0</v>
      </c>
      <c r="H52" s="6">
        <f t="shared" si="5"/>
        <v>0</v>
      </c>
      <c r="I52" s="6">
        <f t="shared" si="5"/>
        <v>0</v>
      </c>
      <c r="J52" s="6">
        <f t="shared" si="5"/>
        <v>0</v>
      </c>
      <c r="K52" s="6">
        <f t="shared" si="5"/>
        <v>0</v>
      </c>
    </row>
    <row r="53" spans="1:11" ht="12.75">
      <c r="A53" t="s">
        <v>60</v>
      </c>
      <c r="B53" s="6">
        <f t="shared" si="5"/>
        <v>0</v>
      </c>
      <c r="C53" s="6">
        <f t="shared" si="5"/>
        <v>0</v>
      </c>
      <c r="D53" s="6">
        <f t="shared" si="5"/>
        <v>0</v>
      </c>
      <c r="E53" s="6">
        <f t="shared" si="5"/>
        <v>0</v>
      </c>
      <c r="F53" s="6">
        <f t="shared" si="5"/>
        <v>0</v>
      </c>
      <c r="G53" s="6">
        <f t="shared" si="5"/>
        <v>0</v>
      </c>
      <c r="H53" s="6">
        <f t="shared" si="5"/>
        <v>0</v>
      </c>
      <c r="I53" s="6">
        <f t="shared" si="5"/>
        <v>0</v>
      </c>
      <c r="J53" s="6">
        <f t="shared" si="5"/>
        <v>0</v>
      </c>
      <c r="K53" s="6">
        <f t="shared" si="5"/>
        <v>0</v>
      </c>
    </row>
  </sheetData>
  <sheetProtection/>
  <printOptions/>
  <pageMargins left="0.38" right="0.75" top="0.73" bottom="0.74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C174"/>
  <sheetViews>
    <sheetView zoomScalePageLayoutView="0" workbookViewId="0" topLeftCell="A1">
      <selection activeCell="K175" sqref="K175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2.421875" style="80" customWidth="1"/>
    <col min="6" max="6" width="13.00390625" style="24" customWidth="1"/>
    <col min="7" max="7" width="12.421875" style="24" customWidth="1"/>
    <col min="8" max="8" width="14.421875" style="35" customWidth="1"/>
    <col min="9" max="9" width="10.14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23.421875" style="0" customWidth="1"/>
    <col min="24" max="24" width="19.28125" style="0" bestFit="1" customWidth="1"/>
    <col min="25" max="25" width="19.140625" style="6" bestFit="1" customWidth="1"/>
    <col min="26" max="26" width="21.00390625" style="6" bestFit="1" customWidth="1"/>
    <col min="27" max="27" width="14.7109375" style="6" bestFit="1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1" spans="5:9" ht="12.75">
      <c r="E1" s="24"/>
      <c r="F1" s="81" t="s">
        <v>89</v>
      </c>
      <c r="G1" s="81" t="s">
        <v>89</v>
      </c>
      <c r="H1" s="82" t="s">
        <v>89</v>
      </c>
      <c r="I1" s="81" t="s">
        <v>89</v>
      </c>
    </row>
    <row r="2" spans="2:29" ht="42" customHeight="1">
      <c r="B2" s="7" t="s">
        <v>0</v>
      </c>
      <c r="C2" s="11" t="s">
        <v>3</v>
      </c>
      <c r="D2" s="11" t="s">
        <v>4</v>
      </c>
      <c r="E2" s="78" t="s">
        <v>21</v>
      </c>
      <c r="F2" s="78" t="s">
        <v>6</v>
      </c>
      <c r="G2" s="78" t="s">
        <v>70</v>
      </c>
      <c r="H2" s="33" t="s">
        <v>7</v>
      </c>
      <c r="I2" s="11" t="s">
        <v>5</v>
      </c>
      <c r="J2" s="11" t="s">
        <v>12</v>
      </c>
      <c r="K2" s="11" t="s">
        <v>13</v>
      </c>
      <c r="L2" s="11" t="s">
        <v>14</v>
      </c>
      <c r="M2" t="s">
        <v>22</v>
      </c>
      <c r="W2" s="121"/>
      <c r="X2" s="121"/>
      <c r="Y2" s="122"/>
      <c r="Z2" s="122"/>
      <c r="AA2" s="122"/>
      <c r="AB2" s="83"/>
      <c r="AC2" s="83"/>
    </row>
    <row r="3" spans="1:29" ht="13.5" thickBot="1">
      <c r="A3" s="3">
        <v>37622</v>
      </c>
      <c r="B3" s="46">
        <v>7676192</v>
      </c>
      <c r="C3" s="69">
        <v>1017.5</v>
      </c>
      <c r="D3" s="69">
        <v>0</v>
      </c>
      <c r="E3" s="47">
        <v>0</v>
      </c>
      <c r="F3" s="17">
        <v>351.912</v>
      </c>
      <c r="G3" s="17">
        <v>3396</v>
      </c>
      <c r="H3" s="35">
        <v>125.66024937363977</v>
      </c>
      <c r="I3" s="9">
        <v>31</v>
      </c>
      <c r="J3" s="9">
        <f>$N$18+C3*$N$19+D3*$N$20+E3*$N$21</f>
        <v>7957985.212082127</v>
      </c>
      <c r="K3" s="9"/>
      <c r="L3" s="13"/>
      <c r="W3" s="84"/>
      <c r="X3" s="84"/>
      <c r="Y3" s="84"/>
      <c r="Z3" s="84"/>
      <c r="AA3" s="84"/>
      <c r="AB3" s="84"/>
      <c r="AC3" s="84"/>
    </row>
    <row r="4" spans="1:29" ht="12.75">
      <c r="A4" s="3">
        <v>37653</v>
      </c>
      <c r="B4" s="46">
        <v>7408024</v>
      </c>
      <c r="C4" s="69">
        <v>923</v>
      </c>
      <c r="D4" s="69">
        <v>0</v>
      </c>
      <c r="E4" s="47">
        <v>0</v>
      </c>
      <c r="F4" s="17">
        <v>319.872</v>
      </c>
      <c r="G4" s="17">
        <v>3293</v>
      </c>
      <c r="H4" s="35">
        <v>125.80592062045517</v>
      </c>
      <c r="I4" s="9">
        <v>28</v>
      </c>
      <c r="J4" s="9">
        <f aca="true" t="shared" si="0" ref="J4:J67">$N$18+C4*$N$19+D4*$N$20+E4*$N$21</f>
        <v>7594615.309483241</v>
      </c>
      <c r="K4" s="9"/>
      <c r="L4" s="13"/>
      <c r="M4" s="59" t="s">
        <v>23</v>
      </c>
      <c r="N4" s="59"/>
      <c r="W4" s="36"/>
      <c r="X4" s="68"/>
      <c r="Y4" s="68"/>
      <c r="Z4" s="68"/>
      <c r="AA4" s="68"/>
      <c r="AB4" s="68"/>
      <c r="AC4" s="68"/>
    </row>
    <row r="5" spans="1:29" ht="12.75">
      <c r="A5" s="3">
        <v>37681</v>
      </c>
      <c r="B5" s="46">
        <v>6806730</v>
      </c>
      <c r="C5" s="69">
        <v>753.1</v>
      </c>
      <c r="D5" s="69">
        <v>0</v>
      </c>
      <c r="E5" s="47">
        <v>1</v>
      </c>
      <c r="F5" s="17">
        <v>336.288</v>
      </c>
      <c r="G5" s="17">
        <v>3315</v>
      </c>
      <c r="H5" s="35">
        <v>125.9517607362029</v>
      </c>
      <c r="I5" s="9">
        <v>31</v>
      </c>
      <c r="J5" s="9">
        <f t="shared" si="0"/>
        <v>6592519.097215148</v>
      </c>
      <c r="K5" s="9"/>
      <c r="L5" s="13"/>
      <c r="M5" s="36" t="s">
        <v>24</v>
      </c>
      <c r="N5" s="120">
        <v>0.9812869987156028</v>
      </c>
      <c r="W5" s="36"/>
      <c r="X5" s="68"/>
      <c r="Y5" s="68"/>
      <c r="Z5" s="68"/>
      <c r="AA5" s="68"/>
      <c r="AB5" s="68"/>
      <c r="AC5" s="68"/>
    </row>
    <row r="6" spans="1:29" ht="12.75">
      <c r="A6" s="3">
        <v>37712</v>
      </c>
      <c r="B6" s="46">
        <v>5764109</v>
      </c>
      <c r="C6" s="69">
        <v>525.7</v>
      </c>
      <c r="D6" s="69">
        <v>0</v>
      </c>
      <c r="E6" s="47">
        <v>1</v>
      </c>
      <c r="F6" s="17">
        <v>336.24</v>
      </c>
      <c r="G6" s="17">
        <v>3302</v>
      </c>
      <c r="H6" s="35">
        <v>126.09776991664374</v>
      </c>
      <c r="I6" s="9">
        <v>30</v>
      </c>
      <c r="J6" s="9">
        <f t="shared" si="0"/>
        <v>5718124.22048513</v>
      </c>
      <c r="K6" s="9"/>
      <c r="L6" s="13"/>
      <c r="M6" s="36" t="s">
        <v>25</v>
      </c>
      <c r="N6" s="120">
        <v>0.9629241738482754</v>
      </c>
      <c r="W6" s="36"/>
      <c r="X6" s="68"/>
      <c r="Y6" s="68"/>
      <c r="Z6" s="68"/>
      <c r="AA6" s="68"/>
      <c r="AB6" s="68"/>
      <c r="AC6" s="68"/>
    </row>
    <row r="7" spans="1:29" ht="12.75">
      <c r="A7" s="3">
        <v>37742</v>
      </c>
      <c r="B7" s="46">
        <v>4259262</v>
      </c>
      <c r="C7" s="69">
        <v>223.3</v>
      </c>
      <c r="D7" s="69">
        <v>0</v>
      </c>
      <c r="E7" s="47">
        <v>1</v>
      </c>
      <c r="F7" s="17">
        <v>336.288</v>
      </c>
      <c r="G7" s="17">
        <v>3291</v>
      </c>
      <c r="H7" s="35">
        <v>126.2439483577654</v>
      </c>
      <c r="I7" s="9">
        <v>31</v>
      </c>
      <c r="J7" s="9">
        <f t="shared" si="0"/>
        <v>4555340.532168698</v>
      </c>
      <c r="K7" s="9"/>
      <c r="L7" s="13"/>
      <c r="M7" s="36" t="s">
        <v>26</v>
      </c>
      <c r="N7" s="120">
        <v>0.961715179517241</v>
      </c>
      <c r="W7" s="36"/>
      <c r="X7" s="68"/>
      <c r="Y7" s="68"/>
      <c r="Z7" s="68"/>
      <c r="AA7" s="68"/>
      <c r="AB7" s="68"/>
      <c r="AC7" s="68"/>
    </row>
    <row r="8" spans="1:29" ht="12.75">
      <c r="A8" s="3">
        <v>37773</v>
      </c>
      <c r="B8" s="46">
        <v>4500939</v>
      </c>
      <c r="C8" s="69">
        <v>70.1</v>
      </c>
      <c r="D8" s="69">
        <v>30.5</v>
      </c>
      <c r="E8" s="47">
        <v>0</v>
      </c>
      <c r="F8" s="17">
        <v>336.24</v>
      </c>
      <c r="G8" s="17">
        <v>3286</v>
      </c>
      <c r="H8" s="35">
        <v>126.3902962557828</v>
      </c>
      <c r="I8" s="9">
        <v>30</v>
      </c>
      <c r="J8" s="9">
        <f t="shared" si="0"/>
        <v>4576362.2263156725</v>
      </c>
      <c r="K8" s="9"/>
      <c r="L8" s="13"/>
      <c r="M8" s="36" t="s">
        <v>27</v>
      </c>
      <c r="N8" s="36">
        <v>238605.20846127317</v>
      </c>
      <c r="W8" s="36"/>
      <c r="X8" s="68"/>
      <c r="Y8" s="68"/>
      <c r="Z8" s="68"/>
      <c r="AA8" s="68"/>
      <c r="AB8" s="68"/>
      <c r="AC8" s="68"/>
    </row>
    <row r="9" spans="1:29" ht="13.5" thickBot="1">
      <c r="A9" s="3">
        <v>37803</v>
      </c>
      <c r="B9" s="46">
        <v>4377286</v>
      </c>
      <c r="C9" s="69">
        <v>11.5</v>
      </c>
      <c r="D9" s="69">
        <v>37.9</v>
      </c>
      <c r="E9" s="47">
        <v>0</v>
      </c>
      <c r="F9" s="17">
        <v>351.912</v>
      </c>
      <c r="G9" s="17">
        <v>3274</v>
      </c>
      <c r="H9" s="35">
        <v>126.5368138071383</v>
      </c>
      <c r="I9" s="9">
        <v>31</v>
      </c>
      <c r="J9" s="9">
        <f t="shared" si="0"/>
        <v>4414432.899394931</v>
      </c>
      <c r="K9" s="9"/>
      <c r="L9" s="13"/>
      <c r="M9" s="57" t="s">
        <v>28</v>
      </c>
      <c r="N9" s="57">
        <v>96</v>
      </c>
      <c r="W9" s="36"/>
      <c r="X9" s="68"/>
      <c r="Y9" s="68"/>
      <c r="Z9" s="68"/>
      <c r="AA9" s="68"/>
      <c r="AB9" s="68"/>
      <c r="AC9" s="68"/>
    </row>
    <row r="10" spans="1:29" ht="12.75">
      <c r="A10" s="3">
        <v>37834</v>
      </c>
      <c r="B10" s="46">
        <v>4408219</v>
      </c>
      <c r="C10" s="69">
        <v>31.9</v>
      </c>
      <c r="D10" s="69">
        <v>57.8</v>
      </c>
      <c r="E10" s="47">
        <v>0</v>
      </c>
      <c r="F10" s="17">
        <v>319.92</v>
      </c>
      <c r="G10" s="17">
        <v>3305</v>
      </c>
      <c r="H10" s="35">
        <v>126.683501208502</v>
      </c>
      <c r="I10" s="9">
        <v>31</v>
      </c>
      <c r="J10" s="9">
        <f t="shared" si="0"/>
        <v>4663365.121577388</v>
      </c>
      <c r="K10" s="9"/>
      <c r="L10" s="13"/>
      <c r="W10" s="121"/>
      <c r="X10" s="121"/>
      <c r="Y10" s="83"/>
      <c r="Z10" s="83"/>
      <c r="AA10" s="83"/>
      <c r="AB10" s="83"/>
      <c r="AC10" s="83"/>
    </row>
    <row r="11" spans="1:27" ht="13.5" thickBot="1">
      <c r="A11" s="3">
        <v>37865</v>
      </c>
      <c r="B11" s="46">
        <v>4542268</v>
      </c>
      <c r="C11" s="69">
        <v>127.3</v>
      </c>
      <c r="D11" s="69">
        <v>4.8</v>
      </c>
      <c r="E11" s="47">
        <v>1</v>
      </c>
      <c r="F11" s="17">
        <v>336.24</v>
      </c>
      <c r="G11" s="17">
        <v>3297</v>
      </c>
      <c r="H11" s="35">
        <v>126.83035865677196</v>
      </c>
      <c r="I11" s="9">
        <v>30</v>
      </c>
      <c r="J11" s="9">
        <f t="shared" si="0"/>
        <v>4227326.181683237</v>
      </c>
      <c r="K11" s="9"/>
      <c r="L11" s="13"/>
      <c r="M11" t="s">
        <v>29</v>
      </c>
      <c r="W11" s="121"/>
      <c r="X11" s="121"/>
      <c r="Y11" s="83"/>
      <c r="Z11" s="83"/>
      <c r="AA11" s="83"/>
    </row>
    <row r="12" spans="1:27" ht="12.75">
      <c r="A12" s="3">
        <v>37895</v>
      </c>
      <c r="B12" s="46">
        <v>4953022</v>
      </c>
      <c r="C12" s="69">
        <v>380</v>
      </c>
      <c r="D12" s="69">
        <v>0</v>
      </c>
      <c r="E12" s="47">
        <v>1</v>
      </c>
      <c r="F12" s="17">
        <v>351.912</v>
      </c>
      <c r="G12" s="17">
        <v>3276</v>
      </c>
      <c r="H12" s="35">
        <v>126.97738634907456</v>
      </c>
      <c r="I12" s="9">
        <v>31</v>
      </c>
      <c r="J12" s="9">
        <f t="shared" si="0"/>
        <v>5157880.889176585</v>
      </c>
      <c r="K12" s="9"/>
      <c r="L12" s="13"/>
      <c r="M12" s="58"/>
      <c r="N12" s="58" t="s">
        <v>33</v>
      </c>
      <c r="O12" s="58" t="s">
        <v>34</v>
      </c>
      <c r="P12" s="58" t="s">
        <v>35</v>
      </c>
      <c r="Q12" s="58" t="s">
        <v>36</v>
      </c>
      <c r="R12" s="58" t="s">
        <v>37</v>
      </c>
      <c r="W12" s="121"/>
      <c r="X12" s="121"/>
      <c r="Y12" s="83"/>
      <c r="Z12" s="83"/>
      <c r="AA12" s="83"/>
    </row>
    <row r="13" spans="1:18" ht="12.75">
      <c r="A13" s="3">
        <v>37926</v>
      </c>
      <c r="B13" s="46">
        <v>5500481</v>
      </c>
      <c r="C13" s="69">
        <v>535.3</v>
      </c>
      <c r="D13" s="69">
        <v>0</v>
      </c>
      <c r="E13" s="47">
        <v>1</v>
      </c>
      <c r="F13" s="17">
        <v>319.68</v>
      </c>
      <c r="G13" s="17">
        <v>3300</v>
      </c>
      <c r="H13" s="35">
        <v>127.12458448276465</v>
      </c>
      <c r="I13" s="9">
        <v>30</v>
      </c>
      <c r="J13" s="9">
        <f t="shared" si="0"/>
        <v>5755037.988368193</v>
      </c>
      <c r="K13" s="9"/>
      <c r="L13" s="13"/>
      <c r="M13" s="36" t="s">
        <v>30</v>
      </c>
      <c r="N13" s="36">
        <v>3</v>
      </c>
      <c r="O13" s="36">
        <v>136034454370042.36</v>
      </c>
      <c r="P13" s="36">
        <v>45344818123347.45</v>
      </c>
      <c r="Q13" s="36">
        <v>796.467071127069</v>
      </c>
      <c r="R13" s="36">
        <v>1.1415667382618447E-65</v>
      </c>
    </row>
    <row r="14" spans="1:18" ht="12.75">
      <c r="A14" s="3">
        <v>37956</v>
      </c>
      <c r="B14" s="46">
        <v>7240111</v>
      </c>
      <c r="C14" s="69">
        <v>754.7</v>
      </c>
      <c r="D14" s="69">
        <v>0</v>
      </c>
      <c r="E14" s="47">
        <v>0</v>
      </c>
      <c r="F14" s="17">
        <v>336.288</v>
      </c>
      <c r="G14" s="17">
        <v>3289</v>
      </c>
      <c r="H14" s="35">
        <v>127.27195325542573</v>
      </c>
      <c r="I14" s="9">
        <v>31</v>
      </c>
      <c r="J14" s="9">
        <f t="shared" si="0"/>
        <v>6947470.816283322</v>
      </c>
      <c r="K14" s="9"/>
      <c r="L14" s="13"/>
      <c r="M14" s="36" t="s">
        <v>31</v>
      </c>
      <c r="N14" s="36">
        <v>92</v>
      </c>
      <c r="O14" s="36">
        <v>5237784986445.981</v>
      </c>
      <c r="P14" s="36">
        <v>56932445504.847626</v>
      </c>
      <c r="Q14" s="36"/>
      <c r="R14" s="36"/>
    </row>
    <row r="15" spans="1:27" ht="13.5" thickBot="1">
      <c r="A15" s="3">
        <v>37987</v>
      </c>
      <c r="B15" s="46">
        <v>8282105</v>
      </c>
      <c r="C15" s="69">
        <v>1129.7</v>
      </c>
      <c r="D15" s="69">
        <v>0</v>
      </c>
      <c r="E15" s="47">
        <v>0</v>
      </c>
      <c r="F15" s="71">
        <v>336.288</v>
      </c>
      <c r="G15" s="17">
        <v>3294</v>
      </c>
      <c r="H15" s="72">
        <v>127.53411264087498</v>
      </c>
      <c r="I15" s="71">
        <v>31</v>
      </c>
      <c r="J15" s="9">
        <f t="shared" si="0"/>
        <v>8389414.874215407</v>
      </c>
      <c r="K15" s="9"/>
      <c r="L15" s="13"/>
      <c r="M15" s="57" t="s">
        <v>11</v>
      </c>
      <c r="N15" s="57">
        <v>95</v>
      </c>
      <c r="O15" s="57">
        <v>141272239356488.34</v>
      </c>
      <c r="P15" s="57"/>
      <c r="Q15" s="57"/>
      <c r="R15" s="57"/>
      <c r="Y15" s="10"/>
      <c r="Z15" s="10"/>
      <c r="AA15" s="10"/>
    </row>
    <row r="16" spans="1:12" ht="13.5" thickBot="1">
      <c r="A16" s="3">
        <v>38018</v>
      </c>
      <c r="B16" s="46">
        <v>7078438</v>
      </c>
      <c r="C16" s="69">
        <v>780.2</v>
      </c>
      <c r="D16" s="69">
        <v>0</v>
      </c>
      <c r="E16" s="47">
        <v>0</v>
      </c>
      <c r="F16" s="71">
        <v>320.16</v>
      </c>
      <c r="G16" s="17">
        <v>3295</v>
      </c>
      <c r="H16" s="72">
        <v>127.79681203173486</v>
      </c>
      <c r="I16" s="71">
        <v>29</v>
      </c>
      <c r="J16" s="9">
        <f t="shared" si="0"/>
        <v>7045523.012222704</v>
      </c>
      <c r="K16" s="9"/>
      <c r="L16" s="13"/>
    </row>
    <row r="17" spans="1:21" ht="12.75">
      <c r="A17" s="3">
        <v>38047</v>
      </c>
      <c r="B17" s="46">
        <v>6487676</v>
      </c>
      <c r="C17" s="69">
        <v>662.7</v>
      </c>
      <c r="D17" s="69">
        <v>0</v>
      </c>
      <c r="E17" s="47">
        <v>1</v>
      </c>
      <c r="F17" s="71">
        <v>368.28</v>
      </c>
      <c r="G17" s="17">
        <v>3287</v>
      </c>
      <c r="H17" s="72">
        <v>128.06005254032812</v>
      </c>
      <c r="I17" s="71">
        <v>31</v>
      </c>
      <c r="J17" s="9">
        <f t="shared" si="0"/>
        <v>6244914.4496496525</v>
      </c>
      <c r="K17" s="9"/>
      <c r="L17" s="13"/>
      <c r="M17" s="58"/>
      <c r="N17" s="58" t="s">
        <v>38</v>
      </c>
      <c r="O17" s="58" t="s">
        <v>27</v>
      </c>
      <c r="P17" s="58" t="s">
        <v>39</v>
      </c>
      <c r="Q17" s="58" t="s">
        <v>40</v>
      </c>
      <c r="R17" s="58" t="s">
        <v>41</v>
      </c>
      <c r="S17" s="58" t="s">
        <v>42</v>
      </c>
      <c r="T17" s="58" t="s">
        <v>43</v>
      </c>
      <c r="U17" s="58" t="s">
        <v>44</v>
      </c>
    </row>
    <row r="18" spans="1:21" ht="12.75">
      <c r="A18" s="3">
        <v>38078</v>
      </c>
      <c r="B18" s="46">
        <v>5529073</v>
      </c>
      <c r="C18" s="69">
        <v>460</v>
      </c>
      <c r="D18" s="69">
        <v>0</v>
      </c>
      <c r="E18" s="47">
        <v>1</v>
      </c>
      <c r="F18" s="71">
        <v>336.24</v>
      </c>
      <c r="G18" s="17">
        <v>3290</v>
      </c>
      <c r="H18" s="72">
        <v>128.32383528126866</v>
      </c>
      <c r="I18" s="71">
        <v>30</v>
      </c>
      <c r="J18" s="9">
        <f t="shared" si="0"/>
        <v>5465495.62153543</v>
      </c>
      <c r="K18" s="9"/>
      <c r="L18" s="13"/>
      <c r="M18" s="36" t="s">
        <v>32</v>
      </c>
      <c r="N18" s="36">
        <v>4045510.334893069</v>
      </c>
      <c r="O18" s="36">
        <v>84842.34969304981</v>
      </c>
      <c r="P18" s="36">
        <v>47.68267674727628</v>
      </c>
      <c r="Q18" s="36">
        <v>1.1479274240281941E-66</v>
      </c>
      <c r="R18" s="36">
        <v>3877006.1089071943</v>
      </c>
      <c r="S18" s="36">
        <v>4214014.560878945</v>
      </c>
      <c r="T18" s="36">
        <v>3877006.1089071943</v>
      </c>
      <c r="U18" s="36">
        <v>4214014.560878945</v>
      </c>
    </row>
    <row r="19" spans="1:21" ht="12.75">
      <c r="A19" s="3">
        <v>38108</v>
      </c>
      <c r="B19" s="46">
        <v>4824677</v>
      </c>
      <c r="C19" s="69">
        <v>258.3</v>
      </c>
      <c r="D19" s="69">
        <v>1</v>
      </c>
      <c r="E19" s="47">
        <v>1</v>
      </c>
      <c r="F19" s="71">
        <v>319.92</v>
      </c>
      <c r="G19" s="17">
        <v>3288</v>
      </c>
      <c r="H19" s="72">
        <v>128.58816137146633</v>
      </c>
      <c r="I19" s="71">
        <v>31</v>
      </c>
      <c r="J19" s="9">
        <f t="shared" si="0"/>
        <v>4698489.337647598</v>
      </c>
      <c r="K19" s="9"/>
      <c r="L19" s="13"/>
      <c r="M19" s="36" t="str">
        <f>C2</f>
        <v>Heating Degree Days</v>
      </c>
      <c r="N19" s="36">
        <v>3845.1841544855606</v>
      </c>
      <c r="O19" s="36">
        <v>107.09867065252223</v>
      </c>
      <c r="P19" s="36">
        <v>35.90319217837093</v>
      </c>
      <c r="Q19" s="36">
        <v>6.580675661486445E-56</v>
      </c>
      <c r="R19" s="36">
        <v>3632.4769549830726</v>
      </c>
      <c r="S19" s="36">
        <v>4057.8913539880486</v>
      </c>
      <c r="T19" s="36">
        <v>3632.4769549830726</v>
      </c>
      <c r="U19" s="36">
        <v>4057.8913539880486</v>
      </c>
    </row>
    <row r="20" spans="1:21" ht="12.75">
      <c r="A20" s="3">
        <v>38139</v>
      </c>
      <c r="B20" s="46">
        <v>4124602</v>
      </c>
      <c r="C20" s="69">
        <v>105.1</v>
      </c>
      <c r="D20" s="69">
        <v>7.8</v>
      </c>
      <c r="E20" s="47">
        <v>0</v>
      </c>
      <c r="F20" s="71">
        <v>352.08</v>
      </c>
      <c r="G20" s="17">
        <v>3298</v>
      </c>
      <c r="H20" s="72">
        <v>128.85303193013166</v>
      </c>
      <c r="I20" s="71">
        <v>30</v>
      </c>
      <c r="J20" s="9">
        <f t="shared" si="0"/>
        <v>4516464.598090377</v>
      </c>
      <c r="K20" s="9"/>
      <c r="L20" s="13"/>
      <c r="M20" s="36" t="str">
        <f>D2</f>
        <v>Cooling Degree Days</v>
      </c>
      <c r="N20" s="36">
        <v>8567.36007190707</v>
      </c>
      <c r="O20" s="36">
        <v>1734.929599783906</v>
      </c>
      <c r="P20" s="36">
        <v>4.93816006884324</v>
      </c>
      <c r="Q20" s="36">
        <v>3.508911279592567E-06</v>
      </c>
      <c r="R20" s="36">
        <v>5121.640211374738</v>
      </c>
      <c r="S20" s="36">
        <v>12013.0799324394</v>
      </c>
      <c r="T20" s="36">
        <v>5121.640211374738</v>
      </c>
      <c r="U20" s="36">
        <v>12013.0799324394</v>
      </c>
    </row>
    <row r="21" spans="1:21" ht="13.5" thickBot="1">
      <c r="A21" s="3">
        <v>38169</v>
      </c>
      <c r="B21" s="46">
        <v>4410066</v>
      </c>
      <c r="C21" s="69">
        <v>30.1</v>
      </c>
      <c r="D21" s="69">
        <v>39.3</v>
      </c>
      <c r="E21" s="47">
        <v>0</v>
      </c>
      <c r="F21" s="71">
        <v>336.288</v>
      </c>
      <c r="G21" s="17">
        <v>3289</v>
      </c>
      <c r="H21" s="72">
        <v>129.11844807878055</v>
      </c>
      <c r="I21" s="71">
        <v>31</v>
      </c>
      <c r="J21" s="9">
        <f t="shared" si="0"/>
        <v>4497947.628769033</v>
      </c>
      <c r="K21" s="9"/>
      <c r="L21" s="13"/>
      <c r="M21" s="57" t="str">
        <f>E2</f>
        <v>Spring Fall Flag</v>
      </c>
      <c r="N21" s="57">
        <v>-348799.42442099797</v>
      </c>
      <c r="O21" s="57">
        <v>59999.03886889688</v>
      </c>
      <c r="P21" s="57">
        <v>-5.813416864612699</v>
      </c>
      <c r="Q21" s="57">
        <v>8.751274194421452E-08</v>
      </c>
      <c r="R21" s="57">
        <v>-467962.69183493784</v>
      </c>
      <c r="S21" s="57">
        <v>-229636.1570070581</v>
      </c>
      <c r="T21" s="57">
        <v>-467962.69183493784</v>
      </c>
      <c r="U21" s="57">
        <v>-229636.1570070581</v>
      </c>
    </row>
    <row r="22" spans="1:12" ht="12.75">
      <c r="A22" s="3">
        <v>38200</v>
      </c>
      <c r="B22" s="46">
        <v>4603263</v>
      </c>
      <c r="C22" s="69">
        <v>82.3</v>
      </c>
      <c r="D22" s="69">
        <v>15</v>
      </c>
      <c r="E22" s="47">
        <v>0</v>
      </c>
      <c r="F22" s="71">
        <v>336.288</v>
      </c>
      <c r="G22" s="17">
        <v>3299</v>
      </c>
      <c r="H22" s="72">
        <v>129.38441094123903</v>
      </c>
      <c r="I22" s="71">
        <v>31</v>
      </c>
      <c r="J22" s="9">
        <f t="shared" si="0"/>
        <v>4490479.391885837</v>
      </c>
      <c r="K22" s="9"/>
      <c r="L22" s="13"/>
    </row>
    <row r="23" spans="1:12" ht="12.75">
      <c r="A23" s="3">
        <v>38231</v>
      </c>
      <c r="B23" s="46">
        <v>4450472</v>
      </c>
      <c r="C23" s="69">
        <v>92.8</v>
      </c>
      <c r="D23" s="69">
        <v>19.5</v>
      </c>
      <c r="E23" s="47">
        <v>1</v>
      </c>
      <c r="F23" s="71">
        <v>336.24</v>
      </c>
      <c r="G23" s="17">
        <v>3295</v>
      </c>
      <c r="H23" s="72">
        <v>129.65092164364802</v>
      </c>
      <c r="I23" s="71">
        <v>30</v>
      </c>
      <c r="J23" s="9">
        <f t="shared" si="0"/>
        <v>4220607.521410519</v>
      </c>
      <c r="K23" s="9"/>
      <c r="L23" s="13"/>
    </row>
    <row r="24" spans="1:12" ht="12.75">
      <c r="A24" s="3">
        <v>38261</v>
      </c>
      <c r="B24" s="46">
        <v>4578553</v>
      </c>
      <c r="C24" s="69">
        <v>325</v>
      </c>
      <c r="D24" s="69">
        <v>0</v>
      </c>
      <c r="E24" s="47">
        <v>1</v>
      </c>
      <c r="F24" s="71">
        <v>319.92</v>
      </c>
      <c r="G24" s="17">
        <v>3295</v>
      </c>
      <c r="H24" s="72">
        <v>129.91798131446814</v>
      </c>
      <c r="I24" s="71">
        <v>31</v>
      </c>
      <c r="J24" s="9">
        <f t="shared" si="0"/>
        <v>4946395.760679878</v>
      </c>
      <c r="K24" s="9"/>
      <c r="L24" s="13"/>
    </row>
    <row r="25" spans="1:12" ht="12.75">
      <c r="A25" s="3">
        <v>38292</v>
      </c>
      <c r="B25" s="46">
        <v>5387694</v>
      </c>
      <c r="C25" s="69">
        <v>530</v>
      </c>
      <c r="D25" s="69">
        <v>0</v>
      </c>
      <c r="E25" s="47">
        <v>1</v>
      </c>
      <c r="F25" s="71">
        <v>352.08</v>
      </c>
      <c r="G25" s="17">
        <v>3288</v>
      </c>
      <c r="H25" s="72">
        <v>130.18559108448443</v>
      </c>
      <c r="I25" s="71">
        <v>30</v>
      </c>
      <c r="J25" s="9">
        <f t="shared" si="0"/>
        <v>5734658.512349419</v>
      </c>
      <c r="K25" s="9"/>
      <c r="L25" s="13"/>
    </row>
    <row r="26" spans="1:12" ht="12.75">
      <c r="A26" s="3">
        <v>38322</v>
      </c>
      <c r="B26" s="46">
        <v>8026441</v>
      </c>
      <c r="C26" s="69">
        <v>895.5</v>
      </c>
      <c r="D26" s="69">
        <v>0</v>
      </c>
      <c r="E26" s="47">
        <v>0</v>
      </c>
      <c r="F26" s="71">
        <v>336.288</v>
      </c>
      <c r="G26" s="17">
        <v>3278</v>
      </c>
      <c r="H26" s="72">
        <v>130.45375208681136</v>
      </c>
      <c r="I26" s="71">
        <v>31</v>
      </c>
      <c r="J26" s="9">
        <f t="shared" si="0"/>
        <v>7488872.745234889</v>
      </c>
      <c r="K26" s="9"/>
      <c r="L26" s="13"/>
    </row>
    <row r="27" spans="1:27" ht="12.75">
      <c r="A27" s="3">
        <v>38353</v>
      </c>
      <c r="B27" s="46">
        <v>7870014</v>
      </c>
      <c r="C27" s="69">
        <v>1011.1</v>
      </c>
      <c r="D27" s="69">
        <v>0</v>
      </c>
      <c r="E27" s="47">
        <v>0</v>
      </c>
      <c r="F27" s="71">
        <v>319.92</v>
      </c>
      <c r="G27" s="17">
        <v>3309</v>
      </c>
      <c r="H27" s="72">
        <v>130.7437021568508</v>
      </c>
      <c r="I27" s="71">
        <v>31</v>
      </c>
      <c r="J27" s="9">
        <f t="shared" si="0"/>
        <v>7933376.03349342</v>
      </c>
      <c r="K27" s="9"/>
      <c r="L27" s="13"/>
      <c r="Y27" s="10"/>
      <c r="Z27" s="10"/>
      <c r="AA27" s="10"/>
    </row>
    <row r="28" spans="1:12" ht="12.75">
      <c r="A28" s="3">
        <v>38384</v>
      </c>
      <c r="B28" s="46">
        <v>7277944</v>
      </c>
      <c r="C28" s="69">
        <v>747</v>
      </c>
      <c r="D28" s="69">
        <v>0</v>
      </c>
      <c r="E28" s="47">
        <v>0</v>
      </c>
      <c r="F28" s="71">
        <v>319.872</v>
      </c>
      <c r="G28" s="17">
        <v>3328</v>
      </c>
      <c r="H28" s="72">
        <v>131.0342966778299</v>
      </c>
      <c r="I28" s="71">
        <v>28</v>
      </c>
      <c r="J28" s="9">
        <f t="shared" si="0"/>
        <v>6917862.898293783</v>
      </c>
      <c r="K28" s="9"/>
      <c r="L28" s="13"/>
    </row>
    <row r="29" spans="1:12" ht="12.75">
      <c r="A29" s="3">
        <v>38412</v>
      </c>
      <c r="B29" s="46">
        <v>6654441</v>
      </c>
      <c r="C29" s="69">
        <v>733.6</v>
      </c>
      <c r="D29" s="69">
        <v>0</v>
      </c>
      <c r="E29" s="47">
        <v>1</v>
      </c>
      <c r="F29" s="71">
        <v>351.912</v>
      </c>
      <c r="G29" s="17">
        <v>3279</v>
      </c>
      <c r="H29" s="72">
        <v>131.32553708212293</v>
      </c>
      <c r="I29" s="71">
        <v>31</v>
      </c>
      <c r="J29" s="9">
        <f t="shared" si="0"/>
        <v>6517538.006202679</v>
      </c>
      <c r="K29" s="9"/>
      <c r="L29" s="13"/>
    </row>
    <row r="30" spans="1:12" ht="12.75">
      <c r="A30" s="3">
        <v>38443</v>
      </c>
      <c r="B30" s="46">
        <v>4825233</v>
      </c>
      <c r="C30" s="69">
        <v>371.5</v>
      </c>
      <c r="D30" s="69">
        <v>0</v>
      </c>
      <c r="E30" s="47">
        <v>1</v>
      </c>
      <c r="F30" s="71">
        <v>336.24</v>
      </c>
      <c r="G30" s="17">
        <v>3309</v>
      </c>
      <c r="H30" s="72">
        <v>131.61742480528775</v>
      </c>
      <c r="I30" s="71">
        <v>30</v>
      </c>
      <c r="J30" s="9">
        <f t="shared" si="0"/>
        <v>5125196.823863458</v>
      </c>
      <c r="K30" s="9"/>
      <c r="L30" s="13"/>
    </row>
    <row r="31" spans="1:12" ht="12.75">
      <c r="A31" s="3">
        <v>38473</v>
      </c>
      <c r="B31" s="46">
        <v>4902391</v>
      </c>
      <c r="C31" s="69">
        <v>215.4</v>
      </c>
      <c r="D31" s="69">
        <v>0</v>
      </c>
      <c r="E31" s="47">
        <v>1</v>
      </c>
      <c r="F31" s="71">
        <v>336.288</v>
      </c>
      <c r="G31" s="17">
        <v>3324</v>
      </c>
      <c r="H31" s="72">
        <v>131.90996128607298</v>
      </c>
      <c r="I31" s="71">
        <v>31</v>
      </c>
      <c r="J31" s="9">
        <f t="shared" si="0"/>
        <v>4524963.57734826</v>
      </c>
      <c r="K31" s="9"/>
      <c r="L31" s="13"/>
    </row>
    <row r="32" spans="1:12" ht="12.75">
      <c r="A32" s="3">
        <v>38504</v>
      </c>
      <c r="B32" s="46">
        <v>4476951</v>
      </c>
      <c r="C32" s="69">
        <v>26.3</v>
      </c>
      <c r="D32" s="69">
        <v>0</v>
      </c>
      <c r="E32" s="47">
        <v>0</v>
      </c>
      <c r="F32" s="71">
        <v>352.08</v>
      </c>
      <c r="G32" s="17">
        <v>3289</v>
      </c>
      <c r="H32" s="72">
        <v>132.203147966425</v>
      </c>
      <c r="I32" s="71">
        <v>30</v>
      </c>
      <c r="J32" s="9">
        <f t="shared" si="0"/>
        <v>4146638.6781560397</v>
      </c>
      <c r="K32" s="9"/>
      <c r="L32" s="13"/>
    </row>
    <row r="33" spans="1:12" ht="12.75">
      <c r="A33" s="3">
        <v>38534</v>
      </c>
      <c r="B33" s="46">
        <v>4594975</v>
      </c>
      <c r="C33" s="69">
        <v>14.4</v>
      </c>
      <c r="D33" s="69">
        <v>94.3</v>
      </c>
      <c r="E33" s="47">
        <v>0</v>
      </c>
      <c r="F33" s="71">
        <v>319.92</v>
      </c>
      <c r="G33" s="17">
        <v>3317</v>
      </c>
      <c r="H33" s="72">
        <v>132.49698629149512</v>
      </c>
      <c r="I33" s="71">
        <v>31</v>
      </c>
      <c r="J33" s="9">
        <f t="shared" si="0"/>
        <v>4908783.041498498</v>
      </c>
      <c r="K33" s="9"/>
      <c r="L33" s="13"/>
    </row>
    <row r="34" spans="1:12" ht="12.75">
      <c r="A34" s="3">
        <v>38565</v>
      </c>
      <c r="B34" s="46">
        <v>4907976</v>
      </c>
      <c r="C34" s="69">
        <v>18.5</v>
      </c>
      <c r="D34" s="69">
        <v>58.9</v>
      </c>
      <c r="E34" s="47">
        <v>0</v>
      </c>
      <c r="F34" s="71">
        <v>351.912</v>
      </c>
      <c r="G34" s="17">
        <v>3310</v>
      </c>
      <c r="H34" s="72">
        <v>132.79147770964664</v>
      </c>
      <c r="I34" s="71">
        <v>31</v>
      </c>
      <c r="J34" s="9">
        <f t="shared" si="0"/>
        <v>4621263.7499863785</v>
      </c>
      <c r="K34" s="9"/>
      <c r="L34" s="13"/>
    </row>
    <row r="35" spans="1:12" ht="12.75">
      <c r="A35" s="3">
        <v>38596</v>
      </c>
      <c r="B35" s="46">
        <v>4306947</v>
      </c>
      <c r="C35" s="69">
        <v>85.2</v>
      </c>
      <c r="D35" s="69">
        <v>18.1</v>
      </c>
      <c r="E35" s="47">
        <v>1</v>
      </c>
      <c r="F35" s="71">
        <v>336.24</v>
      </c>
      <c r="G35" s="17">
        <v>3305</v>
      </c>
      <c r="H35" s="72">
        <v>133.0866236724621</v>
      </c>
      <c r="I35" s="71">
        <v>30</v>
      </c>
      <c r="J35" s="9">
        <f t="shared" si="0"/>
        <v>4179389.817735759</v>
      </c>
      <c r="K35" s="9"/>
      <c r="L35" s="13"/>
    </row>
    <row r="36" spans="1:12" ht="12.75">
      <c r="A36" s="3">
        <v>38626</v>
      </c>
      <c r="B36" s="46">
        <v>4919580</v>
      </c>
      <c r="C36" s="69">
        <v>300</v>
      </c>
      <c r="D36" s="69">
        <v>7</v>
      </c>
      <c r="E36" s="47">
        <v>1</v>
      </c>
      <c r="F36" s="71">
        <v>319.92</v>
      </c>
      <c r="G36" s="17">
        <v>3299</v>
      </c>
      <c r="H36" s="72">
        <v>133.38242563475035</v>
      </c>
      <c r="I36" s="71">
        <v>31</v>
      </c>
      <c r="J36" s="9">
        <f t="shared" si="0"/>
        <v>4910237.677321089</v>
      </c>
      <c r="K36" s="9"/>
      <c r="L36" s="13"/>
    </row>
    <row r="37" spans="1:12" ht="12.75">
      <c r="A37" s="3">
        <v>38657</v>
      </c>
      <c r="B37" s="46">
        <v>5703728</v>
      </c>
      <c r="C37" s="69">
        <v>563.8</v>
      </c>
      <c r="D37" s="69">
        <v>0</v>
      </c>
      <c r="E37" s="47">
        <v>1</v>
      </c>
      <c r="F37" s="71">
        <v>352.08</v>
      </c>
      <c r="G37" s="17">
        <v>3302</v>
      </c>
      <c r="H37" s="72">
        <v>133.6788850545537</v>
      </c>
      <c r="I37" s="71">
        <v>30</v>
      </c>
      <c r="J37" s="9">
        <f t="shared" si="0"/>
        <v>5864625.73677103</v>
      </c>
      <c r="K37" s="9"/>
      <c r="L37" s="13"/>
    </row>
    <row r="38" spans="1:12" ht="12.75">
      <c r="A38" s="3">
        <v>38687</v>
      </c>
      <c r="B38" s="46">
        <v>7401091</v>
      </c>
      <c r="C38" s="69">
        <v>838.9</v>
      </c>
      <c r="D38" s="69">
        <v>0</v>
      </c>
      <c r="E38" s="47">
        <v>0</v>
      </c>
      <c r="F38" s="71">
        <v>319.92</v>
      </c>
      <c r="G38" s="17">
        <v>3292</v>
      </c>
      <c r="H38" s="72">
        <v>133.97600339315525</v>
      </c>
      <c r="I38" s="71">
        <v>31</v>
      </c>
      <c r="J38" s="9">
        <f t="shared" si="0"/>
        <v>7271235.322091006</v>
      </c>
      <c r="K38" s="9"/>
      <c r="L38" s="13"/>
    </row>
    <row r="39" spans="1:27" ht="12.75">
      <c r="A39" s="3">
        <v>38718</v>
      </c>
      <c r="B39" s="39">
        <v>7436196</v>
      </c>
      <c r="C39" s="69">
        <v>783.8</v>
      </c>
      <c r="D39" s="69">
        <v>0</v>
      </c>
      <c r="E39" s="47">
        <v>0</v>
      </c>
      <c r="F39" s="71">
        <v>336.288</v>
      </c>
      <c r="G39" s="17">
        <v>3289</v>
      </c>
      <c r="H39" s="72">
        <v>134.25197202423305</v>
      </c>
      <c r="I39" s="71">
        <v>31</v>
      </c>
      <c r="J39" s="9">
        <f t="shared" si="0"/>
        <v>7059365.675178852</v>
      </c>
      <c r="K39" s="9"/>
      <c r="L39" s="13"/>
      <c r="Y39" s="10"/>
      <c r="Z39" s="10"/>
      <c r="AA39" s="10"/>
    </row>
    <row r="40" spans="1:12" ht="12.75">
      <c r="A40" s="3">
        <v>38749</v>
      </c>
      <c r="B40" s="39">
        <v>6993509</v>
      </c>
      <c r="C40" s="69">
        <v>821.6</v>
      </c>
      <c r="D40" s="69">
        <v>0</v>
      </c>
      <c r="E40" s="47">
        <v>0</v>
      </c>
      <c r="F40" s="71">
        <v>319.872</v>
      </c>
      <c r="G40" s="17">
        <v>3307</v>
      </c>
      <c r="H40" s="72">
        <v>134.5285091055065</v>
      </c>
      <c r="I40" s="71">
        <v>28</v>
      </c>
      <c r="J40" s="9">
        <f t="shared" si="0"/>
        <v>7204713.636218406</v>
      </c>
      <c r="K40" s="9"/>
      <c r="L40" s="13"/>
    </row>
    <row r="41" spans="1:12" ht="12.75">
      <c r="A41" s="3">
        <v>38777</v>
      </c>
      <c r="B41" s="39">
        <v>6059626</v>
      </c>
      <c r="C41" s="69">
        <v>644.4</v>
      </c>
      <c r="D41" s="69">
        <v>0</v>
      </c>
      <c r="E41" s="47">
        <v>1</v>
      </c>
      <c r="F41" s="71">
        <v>368.28</v>
      </c>
      <c r="G41" s="17">
        <v>3303</v>
      </c>
      <c r="H41" s="72">
        <v>134.80561580788986</v>
      </c>
      <c r="I41" s="71">
        <v>31</v>
      </c>
      <c r="J41" s="9">
        <f t="shared" si="0"/>
        <v>6174547.579622567</v>
      </c>
      <c r="K41" s="9"/>
      <c r="L41" s="13"/>
    </row>
    <row r="42" spans="1:12" ht="12.75">
      <c r="A42" s="3">
        <v>38808</v>
      </c>
      <c r="B42" s="39">
        <v>5297371</v>
      </c>
      <c r="C42" s="69">
        <v>365.5</v>
      </c>
      <c r="D42" s="69">
        <v>0</v>
      </c>
      <c r="E42" s="47">
        <v>1</v>
      </c>
      <c r="F42" s="71">
        <v>303.84</v>
      </c>
      <c r="G42" s="17">
        <v>3311</v>
      </c>
      <c r="H42" s="72">
        <v>135.08329330470943</v>
      </c>
      <c r="I42" s="71">
        <v>30</v>
      </c>
      <c r="J42" s="9">
        <f t="shared" si="0"/>
        <v>5102125.718936544</v>
      </c>
      <c r="K42" s="9"/>
      <c r="L42" s="13"/>
    </row>
    <row r="43" spans="1:12" ht="12.75">
      <c r="A43" s="3">
        <v>38838</v>
      </c>
      <c r="B43" s="39">
        <v>4428850</v>
      </c>
      <c r="C43" s="69">
        <v>165.6</v>
      </c>
      <c r="D43" s="69">
        <v>13.6</v>
      </c>
      <c r="E43" s="47">
        <v>1</v>
      </c>
      <c r="F43" s="71">
        <v>351.912</v>
      </c>
      <c r="G43" s="17">
        <v>3322</v>
      </c>
      <c r="H43" s="72">
        <v>135.3615427717083</v>
      </c>
      <c r="I43" s="71">
        <v>31</v>
      </c>
      <c r="J43" s="9">
        <f t="shared" si="0"/>
        <v>4449989.503432816</v>
      </c>
      <c r="K43" s="9"/>
      <c r="L43" s="13"/>
    </row>
    <row r="44" spans="1:12" ht="12.75">
      <c r="A44" s="3">
        <v>38869</v>
      </c>
      <c r="B44" s="39">
        <v>4384082</v>
      </c>
      <c r="C44" s="69">
        <v>50.6</v>
      </c>
      <c r="D44" s="69">
        <v>29.9</v>
      </c>
      <c r="E44" s="47">
        <v>0</v>
      </c>
      <c r="F44" s="71">
        <v>352.08</v>
      </c>
      <c r="G44" s="17">
        <v>3300</v>
      </c>
      <c r="H44" s="72">
        <v>135.64036538705133</v>
      </c>
      <c r="I44" s="71">
        <v>30</v>
      </c>
      <c r="J44" s="9">
        <f t="shared" si="0"/>
        <v>4496240.71926006</v>
      </c>
      <c r="K44" s="9"/>
      <c r="L44" s="13"/>
    </row>
    <row r="45" spans="1:12" ht="12.75">
      <c r="A45" s="3">
        <v>38899</v>
      </c>
      <c r="B45" s="39">
        <v>5111258</v>
      </c>
      <c r="C45" s="69">
        <v>10.8</v>
      </c>
      <c r="D45" s="69">
        <v>84.2</v>
      </c>
      <c r="E45" s="47">
        <v>0</v>
      </c>
      <c r="F45" s="71">
        <v>319.92</v>
      </c>
      <c r="G45" s="17">
        <v>3476</v>
      </c>
      <c r="H45" s="72">
        <v>135.9197623313303</v>
      </c>
      <c r="I45" s="71">
        <v>31</v>
      </c>
      <c r="J45" s="9">
        <f t="shared" si="0"/>
        <v>4808410.041816088</v>
      </c>
      <c r="K45" s="9"/>
      <c r="L45" s="13"/>
    </row>
    <row r="46" spans="1:12" ht="12.75">
      <c r="A46" s="3">
        <v>38930</v>
      </c>
      <c r="B46" s="39">
        <v>4381120</v>
      </c>
      <c r="C46" s="69">
        <v>44.8</v>
      </c>
      <c r="D46" s="69">
        <v>30.6</v>
      </c>
      <c r="E46" s="47">
        <v>0</v>
      </c>
      <c r="F46" s="71">
        <v>351.912</v>
      </c>
      <c r="G46" s="17">
        <v>3126</v>
      </c>
      <c r="H46" s="72">
        <v>136.1997347875688</v>
      </c>
      <c r="I46" s="71">
        <v>31</v>
      </c>
      <c r="J46" s="9">
        <f t="shared" si="0"/>
        <v>4479935.803214379</v>
      </c>
      <c r="K46" s="9"/>
      <c r="L46" s="13"/>
    </row>
    <row r="47" spans="1:12" ht="12.75">
      <c r="A47" s="3">
        <v>38961</v>
      </c>
      <c r="B47" s="39">
        <v>4318825</v>
      </c>
      <c r="C47" s="69">
        <v>179.6</v>
      </c>
      <c r="D47" s="69">
        <v>1.2</v>
      </c>
      <c r="E47" s="47">
        <v>1</v>
      </c>
      <c r="F47" s="71">
        <v>319.68</v>
      </c>
      <c r="G47" s="17">
        <v>3304</v>
      </c>
      <c r="H47" s="72">
        <v>136.48028394122719</v>
      </c>
      <c r="I47" s="71">
        <v>30</v>
      </c>
      <c r="J47" s="9">
        <f t="shared" si="0"/>
        <v>4397586.816703966</v>
      </c>
      <c r="K47" s="9"/>
      <c r="L47" s="13"/>
    </row>
    <row r="48" spans="1:12" ht="12.75">
      <c r="A48" s="3">
        <v>38991</v>
      </c>
      <c r="B48" s="39">
        <v>5398013</v>
      </c>
      <c r="C48" s="69">
        <v>399.5</v>
      </c>
      <c r="D48" s="69">
        <v>0</v>
      </c>
      <c r="E48" s="47">
        <v>1</v>
      </c>
      <c r="F48" s="71">
        <v>336.288</v>
      </c>
      <c r="G48" s="17">
        <v>3297</v>
      </c>
      <c r="H48" s="72">
        <v>136.76141098020776</v>
      </c>
      <c r="I48" s="71">
        <v>31</v>
      </c>
      <c r="J48" s="9">
        <f t="shared" si="0"/>
        <v>5232861.980189053</v>
      </c>
      <c r="K48" s="9"/>
      <c r="L48" s="13"/>
    </row>
    <row r="49" spans="1:12" ht="12.75">
      <c r="A49" s="3">
        <v>39022</v>
      </c>
      <c r="B49" s="39">
        <v>5775699</v>
      </c>
      <c r="C49" s="69">
        <v>513</v>
      </c>
      <c r="D49" s="69">
        <v>0</v>
      </c>
      <c r="E49" s="47">
        <v>1</v>
      </c>
      <c r="F49" s="71">
        <v>352.08</v>
      </c>
      <c r="G49" s="17">
        <v>3280</v>
      </c>
      <c r="H49" s="72">
        <v>137.04311709485967</v>
      </c>
      <c r="I49" s="71">
        <v>30</v>
      </c>
      <c r="J49" s="9">
        <f t="shared" si="0"/>
        <v>5669290.381723164</v>
      </c>
      <c r="K49" s="9"/>
      <c r="L49" s="13"/>
    </row>
    <row r="50" spans="1:12" ht="12.75">
      <c r="A50" s="3">
        <v>39052</v>
      </c>
      <c r="B50" s="39">
        <v>6636240</v>
      </c>
      <c r="C50" s="69">
        <v>675.3</v>
      </c>
      <c r="D50" s="69">
        <v>0</v>
      </c>
      <c r="E50" s="47">
        <v>0</v>
      </c>
      <c r="F50" s="71">
        <v>304.296</v>
      </c>
      <c r="G50" s="17">
        <v>3283</v>
      </c>
      <c r="H50" s="72">
        <v>137.3254034779841</v>
      </c>
      <c r="I50" s="71">
        <v>31</v>
      </c>
      <c r="J50" s="9">
        <f t="shared" si="0"/>
        <v>6642163.194417167</v>
      </c>
      <c r="K50" s="9"/>
      <c r="L50" s="13"/>
    </row>
    <row r="51" spans="1:27" ht="12.75">
      <c r="A51" s="3">
        <v>39083</v>
      </c>
      <c r="B51" s="39">
        <v>7512474</v>
      </c>
      <c r="C51" s="69">
        <v>882.1</v>
      </c>
      <c r="D51" s="69">
        <v>0</v>
      </c>
      <c r="E51" s="47">
        <v>0</v>
      </c>
      <c r="F51" s="71">
        <v>351.912</v>
      </c>
      <c r="G51" s="17">
        <v>3290</v>
      </c>
      <c r="H51" s="72">
        <v>137.55</v>
      </c>
      <c r="I51" s="71">
        <v>31</v>
      </c>
      <c r="J51" s="9">
        <f t="shared" si="0"/>
        <v>7437347.277564783</v>
      </c>
      <c r="K51" s="9"/>
      <c r="L51" s="13"/>
      <c r="Y51" s="10"/>
      <c r="Z51" s="10"/>
      <c r="AA51" s="10"/>
    </row>
    <row r="52" spans="1:12" ht="12.75">
      <c r="A52" s="3">
        <v>39114</v>
      </c>
      <c r="B52" s="39">
        <v>7407016</v>
      </c>
      <c r="C52" s="69">
        <v>906.6</v>
      </c>
      <c r="D52" s="69">
        <v>0</v>
      </c>
      <c r="E52" s="47">
        <v>0</v>
      </c>
      <c r="F52" s="71">
        <v>319.872</v>
      </c>
      <c r="G52" s="17">
        <v>3318</v>
      </c>
      <c r="H52" s="72">
        <v>137.78</v>
      </c>
      <c r="I52" s="71">
        <v>28</v>
      </c>
      <c r="J52" s="9">
        <f t="shared" si="0"/>
        <v>7531554.289349679</v>
      </c>
      <c r="K52" s="9"/>
      <c r="L52" s="13"/>
    </row>
    <row r="53" spans="1:12" ht="12.75">
      <c r="A53" s="3">
        <v>39142</v>
      </c>
      <c r="B53" s="39">
        <v>6173211</v>
      </c>
      <c r="C53" s="69">
        <v>689.1</v>
      </c>
      <c r="D53" s="69">
        <v>0</v>
      </c>
      <c r="E53" s="47">
        <v>1</v>
      </c>
      <c r="F53" s="71">
        <v>351.912</v>
      </c>
      <c r="G53" s="17">
        <v>3296</v>
      </c>
      <c r="H53" s="72">
        <v>138.01</v>
      </c>
      <c r="I53" s="71">
        <v>31</v>
      </c>
      <c r="J53" s="9">
        <f t="shared" si="0"/>
        <v>6346427.311328072</v>
      </c>
      <c r="K53" s="9"/>
      <c r="L53" s="13"/>
    </row>
    <row r="54" spans="1:12" ht="12.75">
      <c r="A54" s="3">
        <v>39173</v>
      </c>
      <c r="B54" s="39">
        <v>5668951</v>
      </c>
      <c r="C54" s="69">
        <v>428.3</v>
      </c>
      <c r="D54" s="69">
        <v>0</v>
      </c>
      <c r="E54" s="47">
        <v>1</v>
      </c>
      <c r="F54" s="71">
        <v>319.68</v>
      </c>
      <c r="G54" s="17">
        <v>3319</v>
      </c>
      <c r="H54" s="72">
        <v>138.23</v>
      </c>
      <c r="I54" s="71">
        <v>30</v>
      </c>
      <c r="J54" s="9">
        <f t="shared" si="0"/>
        <v>5343603.283838237</v>
      </c>
      <c r="K54" s="9"/>
      <c r="L54" s="13"/>
    </row>
    <row r="55" spans="1:12" ht="12.75">
      <c r="A55" s="3">
        <v>39203</v>
      </c>
      <c r="B55" s="39">
        <v>4386506</v>
      </c>
      <c r="C55" s="69">
        <v>186.7</v>
      </c>
      <c r="D55" s="69">
        <v>14.2</v>
      </c>
      <c r="E55" s="47">
        <v>1</v>
      </c>
      <c r="F55" s="71">
        <v>351.912</v>
      </c>
      <c r="G55" s="17">
        <v>3297</v>
      </c>
      <c r="H55" s="72">
        <v>138.46</v>
      </c>
      <c r="I55" s="71">
        <v>31</v>
      </c>
      <c r="J55" s="9">
        <f t="shared" si="0"/>
        <v>4536263.305135606</v>
      </c>
      <c r="K55" s="9"/>
      <c r="L55" s="13"/>
    </row>
    <row r="56" spans="1:12" ht="12.75">
      <c r="A56" s="3">
        <v>39234</v>
      </c>
      <c r="B56" s="39">
        <v>4500318</v>
      </c>
      <c r="C56" s="69">
        <v>62.5</v>
      </c>
      <c r="D56" s="69">
        <v>52.4</v>
      </c>
      <c r="E56" s="47">
        <v>0</v>
      </c>
      <c r="F56" s="71">
        <v>336.24</v>
      </c>
      <c r="G56" s="17">
        <v>3315</v>
      </c>
      <c r="H56" s="72">
        <v>138.69</v>
      </c>
      <c r="I56" s="71">
        <v>30</v>
      </c>
      <c r="J56" s="9">
        <f t="shared" si="0"/>
        <v>4734764.012316347</v>
      </c>
      <c r="K56" s="9"/>
      <c r="L56" s="13"/>
    </row>
    <row r="57" spans="1:12" ht="12.75">
      <c r="A57" s="3">
        <v>39264</v>
      </c>
      <c r="B57" s="39">
        <v>4804914</v>
      </c>
      <c r="C57" s="69">
        <v>34.1</v>
      </c>
      <c r="D57" s="69">
        <v>46.5</v>
      </c>
      <c r="E57" s="47">
        <v>0</v>
      </c>
      <c r="F57" s="71">
        <v>336.288</v>
      </c>
      <c r="G57" s="17">
        <v>3285</v>
      </c>
      <c r="H57" s="72">
        <v>138.92</v>
      </c>
      <c r="I57" s="71">
        <v>31</v>
      </c>
      <c r="J57" s="9">
        <f t="shared" si="0"/>
        <v>4575013.357904705</v>
      </c>
      <c r="K57" s="9"/>
      <c r="L57" s="13"/>
    </row>
    <row r="58" spans="1:12" ht="12.75">
      <c r="A58" s="3">
        <v>39295</v>
      </c>
      <c r="B58" s="39">
        <v>4846241</v>
      </c>
      <c r="C58" s="69">
        <v>36</v>
      </c>
      <c r="D58" s="69">
        <v>49.6</v>
      </c>
      <c r="E58" s="47">
        <v>0</v>
      </c>
      <c r="F58" s="71">
        <v>351.912</v>
      </c>
      <c r="G58" s="17">
        <v>3293</v>
      </c>
      <c r="H58" s="72">
        <v>139.15</v>
      </c>
      <c r="I58" s="71">
        <v>31</v>
      </c>
      <c r="J58" s="9">
        <f t="shared" si="0"/>
        <v>4608878.02402114</v>
      </c>
      <c r="K58" s="9"/>
      <c r="L58" s="13"/>
    </row>
    <row r="59" spans="1:12" ht="12.75">
      <c r="A59" s="3">
        <v>39326</v>
      </c>
      <c r="B59" s="39">
        <v>4597268</v>
      </c>
      <c r="C59" s="69">
        <v>118.8</v>
      </c>
      <c r="D59" s="69">
        <v>11.9</v>
      </c>
      <c r="E59" s="47">
        <v>1</v>
      </c>
      <c r="F59" s="71">
        <v>303.84</v>
      </c>
      <c r="G59" s="17">
        <v>3289</v>
      </c>
      <c r="H59" s="72">
        <v>139.38</v>
      </c>
      <c r="I59" s="71">
        <v>30</v>
      </c>
      <c r="J59" s="9">
        <f t="shared" si="0"/>
        <v>4255470.372880651</v>
      </c>
      <c r="K59" s="9"/>
      <c r="L59" s="13"/>
    </row>
    <row r="60" spans="1:12" ht="12.75">
      <c r="A60" s="3">
        <v>39356</v>
      </c>
      <c r="B60" s="39">
        <v>4532645</v>
      </c>
      <c r="C60" s="69">
        <v>273.1</v>
      </c>
      <c r="D60" s="69">
        <v>0</v>
      </c>
      <c r="E60" s="47">
        <v>1</v>
      </c>
      <c r="F60" s="71">
        <v>351.912</v>
      </c>
      <c r="G60" s="17">
        <v>3304</v>
      </c>
      <c r="H60" s="72">
        <v>139.61</v>
      </c>
      <c r="I60" s="71">
        <v>31</v>
      </c>
      <c r="J60" s="9">
        <f t="shared" si="0"/>
        <v>4746830.703062078</v>
      </c>
      <c r="K60" s="9"/>
      <c r="L60" s="13"/>
    </row>
    <row r="61" spans="1:12" ht="12.75">
      <c r="A61" s="3">
        <v>39387</v>
      </c>
      <c r="B61" s="39">
        <v>5775871</v>
      </c>
      <c r="C61" s="69">
        <v>589.6</v>
      </c>
      <c r="D61" s="69">
        <v>0</v>
      </c>
      <c r="E61" s="47">
        <v>1</v>
      </c>
      <c r="F61" s="71">
        <v>352.08</v>
      </c>
      <c r="G61" s="17">
        <v>3284</v>
      </c>
      <c r="H61" s="72">
        <v>139.84</v>
      </c>
      <c r="I61" s="71">
        <v>30</v>
      </c>
      <c r="J61" s="9">
        <f t="shared" si="0"/>
        <v>5963831.487956759</v>
      </c>
      <c r="K61" s="9"/>
      <c r="L61" s="13"/>
    </row>
    <row r="62" spans="1:12" ht="12.75">
      <c r="A62" s="3">
        <v>39417</v>
      </c>
      <c r="B62" s="39">
        <v>7509876</v>
      </c>
      <c r="C62" s="69">
        <v>824.5</v>
      </c>
      <c r="D62" s="69">
        <v>0</v>
      </c>
      <c r="E62" s="47">
        <v>0</v>
      </c>
      <c r="F62" s="71">
        <v>304.296</v>
      </c>
      <c r="G62" s="17">
        <v>3306</v>
      </c>
      <c r="H62" s="72">
        <v>140.07</v>
      </c>
      <c r="I62" s="71">
        <v>31</v>
      </c>
      <c r="J62" s="9">
        <f t="shared" si="0"/>
        <v>7215864.670266414</v>
      </c>
      <c r="K62" s="9"/>
      <c r="L62" s="13"/>
    </row>
    <row r="63" spans="1:10" ht="12.75">
      <c r="A63" s="3">
        <v>39448</v>
      </c>
      <c r="B63" s="47">
        <v>6963994</v>
      </c>
      <c r="C63" s="69">
        <v>829.7</v>
      </c>
      <c r="D63" s="69">
        <v>0</v>
      </c>
      <c r="E63" s="47">
        <v>0</v>
      </c>
      <c r="F63" s="71">
        <v>352</v>
      </c>
      <c r="G63" s="17">
        <v>3289</v>
      </c>
      <c r="H63" s="72">
        <v>139.97</v>
      </c>
      <c r="I63" s="71">
        <v>31</v>
      </c>
      <c r="J63" s="9">
        <f t="shared" si="0"/>
        <v>7235859.627869739</v>
      </c>
    </row>
    <row r="64" spans="1:10" ht="12.75">
      <c r="A64" s="3">
        <v>39479</v>
      </c>
      <c r="B64" s="47">
        <v>6995821</v>
      </c>
      <c r="C64" s="69">
        <v>861.5</v>
      </c>
      <c r="D64" s="69">
        <v>0</v>
      </c>
      <c r="E64" s="47">
        <v>0</v>
      </c>
      <c r="F64" s="71">
        <v>320</v>
      </c>
      <c r="G64" s="17">
        <v>3328</v>
      </c>
      <c r="H64" s="72">
        <v>139.86</v>
      </c>
      <c r="I64" s="71">
        <v>29</v>
      </c>
      <c r="J64" s="9">
        <f t="shared" si="0"/>
        <v>7358136.48398238</v>
      </c>
    </row>
    <row r="65" spans="1:10" ht="12.75">
      <c r="A65" s="3">
        <v>39508</v>
      </c>
      <c r="B65" s="47">
        <v>7232249</v>
      </c>
      <c r="C65" s="69">
        <v>777.8</v>
      </c>
      <c r="D65" s="69">
        <v>0</v>
      </c>
      <c r="E65" s="47">
        <v>1</v>
      </c>
      <c r="F65" s="71">
        <v>304</v>
      </c>
      <c r="G65" s="17">
        <v>3285</v>
      </c>
      <c r="H65" s="72">
        <v>139.76</v>
      </c>
      <c r="I65" s="71">
        <v>31</v>
      </c>
      <c r="J65" s="9">
        <f t="shared" si="0"/>
        <v>6687495.14583094</v>
      </c>
    </row>
    <row r="66" spans="1:10" ht="12.75">
      <c r="A66" s="3">
        <v>39539</v>
      </c>
      <c r="B66" s="47">
        <v>4880194</v>
      </c>
      <c r="C66" s="69">
        <v>367.9</v>
      </c>
      <c r="D66" s="69">
        <v>0</v>
      </c>
      <c r="E66" s="47">
        <v>1</v>
      </c>
      <c r="F66" s="71">
        <v>352</v>
      </c>
      <c r="G66" s="17">
        <v>3306</v>
      </c>
      <c r="H66" s="72">
        <v>139.65</v>
      </c>
      <c r="I66" s="71">
        <v>30</v>
      </c>
      <c r="J66" s="9">
        <f t="shared" si="0"/>
        <v>5111354.1609073095</v>
      </c>
    </row>
    <row r="67" spans="1:10" ht="12.75">
      <c r="A67" s="3">
        <v>39569</v>
      </c>
      <c r="B67" s="47">
        <v>4398547</v>
      </c>
      <c r="C67" s="69">
        <v>268.8</v>
      </c>
      <c r="D67" s="69">
        <v>0</v>
      </c>
      <c r="E67" s="47">
        <v>1</v>
      </c>
      <c r="F67" s="71">
        <v>336</v>
      </c>
      <c r="G67" s="17">
        <v>3301</v>
      </c>
      <c r="H67" s="72">
        <v>139.55</v>
      </c>
      <c r="I67" s="71">
        <v>31</v>
      </c>
      <c r="J67" s="9">
        <f t="shared" si="0"/>
        <v>4730296.411197791</v>
      </c>
    </row>
    <row r="68" spans="1:10" ht="12.75">
      <c r="A68" s="3">
        <v>39600</v>
      </c>
      <c r="B68" s="47">
        <v>4449796</v>
      </c>
      <c r="C68" s="69">
        <v>49.4</v>
      </c>
      <c r="D68" s="69">
        <v>23.7</v>
      </c>
      <c r="E68" s="47">
        <v>0</v>
      </c>
      <c r="F68" s="71">
        <v>336</v>
      </c>
      <c r="G68" s="17">
        <v>3301</v>
      </c>
      <c r="H68" s="72">
        <v>139.44</v>
      </c>
      <c r="I68" s="71">
        <v>30</v>
      </c>
      <c r="J68" s="9">
        <f aca="true" t="shared" si="1" ref="J68:J122">$N$18+C68*$N$19+D68*$N$20+E68*$N$21</f>
        <v>4438508.865828853</v>
      </c>
    </row>
    <row r="69" spans="1:10" ht="12.75">
      <c r="A69" s="3">
        <v>39630</v>
      </c>
      <c r="B69" s="47">
        <v>4469083</v>
      </c>
      <c r="C69" s="69">
        <v>16.5</v>
      </c>
      <c r="D69" s="69">
        <v>36.7</v>
      </c>
      <c r="E69" s="47">
        <v>0</v>
      </c>
      <c r="F69" s="71">
        <v>352</v>
      </c>
      <c r="G69" s="17">
        <v>3308</v>
      </c>
      <c r="H69" s="72">
        <v>139.34</v>
      </c>
      <c r="I69" s="71">
        <v>31</v>
      </c>
      <c r="J69" s="9">
        <f t="shared" si="1"/>
        <v>4423377.988081071</v>
      </c>
    </row>
    <row r="70" spans="1:10" ht="12.75">
      <c r="A70" s="3">
        <v>39661</v>
      </c>
      <c r="B70" s="47">
        <v>4419020</v>
      </c>
      <c r="C70" s="69">
        <v>28.1</v>
      </c>
      <c r="D70" s="69">
        <v>19.9</v>
      </c>
      <c r="E70" s="47">
        <v>0</v>
      </c>
      <c r="F70" s="71">
        <v>320</v>
      </c>
      <c r="G70" s="17">
        <v>3308</v>
      </c>
      <c r="H70" s="72">
        <v>139.23</v>
      </c>
      <c r="I70" s="71">
        <v>31</v>
      </c>
      <c r="J70" s="9">
        <f t="shared" si="1"/>
        <v>4324050.475065064</v>
      </c>
    </row>
    <row r="71" spans="1:10" ht="12.75">
      <c r="A71" s="3">
        <v>39692</v>
      </c>
      <c r="B71" s="47">
        <v>4554237</v>
      </c>
      <c r="C71" s="69">
        <v>153.4</v>
      </c>
      <c r="D71" s="69">
        <v>7.6</v>
      </c>
      <c r="E71" s="47">
        <v>1</v>
      </c>
      <c r="F71" s="71">
        <v>336</v>
      </c>
      <c r="G71" s="17">
        <v>3299</v>
      </c>
      <c r="H71" s="72">
        <v>139.13</v>
      </c>
      <c r="I71" s="71">
        <v>30</v>
      </c>
      <c r="J71" s="9">
        <f t="shared" si="1"/>
        <v>4351674.0963166505</v>
      </c>
    </row>
    <row r="72" spans="1:10" ht="12.75">
      <c r="A72" s="3">
        <v>39722</v>
      </c>
      <c r="B72" s="47">
        <v>4878802</v>
      </c>
      <c r="C72" s="69">
        <v>380.2</v>
      </c>
      <c r="D72" s="69">
        <v>0.3</v>
      </c>
      <c r="E72" s="47">
        <v>1</v>
      </c>
      <c r="F72" s="71">
        <v>352</v>
      </c>
      <c r="G72" s="17">
        <v>3279</v>
      </c>
      <c r="H72" s="72">
        <v>139.02</v>
      </c>
      <c r="I72" s="71">
        <v>31</v>
      </c>
      <c r="J72" s="9">
        <f t="shared" si="1"/>
        <v>5161220.134029053</v>
      </c>
    </row>
    <row r="73" spans="1:10" ht="12.75">
      <c r="A73" s="3">
        <v>39753</v>
      </c>
      <c r="B73" s="47">
        <v>5639281</v>
      </c>
      <c r="C73" s="69">
        <v>573.2</v>
      </c>
      <c r="D73" s="69">
        <v>0</v>
      </c>
      <c r="E73" s="47">
        <v>1</v>
      </c>
      <c r="F73" s="71">
        <v>304</v>
      </c>
      <c r="G73" s="17">
        <v>3309</v>
      </c>
      <c r="H73" s="72">
        <v>138.92</v>
      </c>
      <c r="I73" s="71">
        <v>30</v>
      </c>
      <c r="J73" s="9">
        <f t="shared" si="1"/>
        <v>5900770.467823194</v>
      </c>
    </row>
    <row r="74" spans="1:12" ht="12.75">
      <c r="A74" s="3">
        <v>39783</v>
      </c>
      <c r="B74" s="47">
        <v>7778298</v>
      </c>
      <c r="C74" s="69">
        <v>891.8</v>
      </c>
      <c r="D74" s="69">
        <v>0</v>
      </c>
      <c r="E74" s="47">
        <v>0</v>
      </c>
      <c r="F74" s="71">
        <v>336</v>
      </c>
      <c r="G74" s="17">
        <v>3299</v>
      </c>
      <c r="H74" s="72">
        <v>138.81</v>
      </c>
      <c r="I74" s="71">
        <v>31</v>
      </c>
      <c r="J74" s="9">
        <f t="shared" si="1"/>
        <v>7474645.563863292</v>
      </c>
      <c r="K74" s="53"/>
      <c r="L74" s="24"/>
    </row>
    <row r="75" spans="1:11" ht="12.75">
      <c r="A75" s="3">
        <v>39814</v>
      </c>
      <c r="B75" s="39">
        <v>8062914</v>
      </c>
      <c r="C75" s="69">
        <v>1046.7</v>
      </c>
      <c r="D75" s="69">
        <v>0</v>
      </c>
      <c r="E75" s="47">
        <v>0</v>
      </c>
      <c r="F75" s="71">
        <v>336</v>
      </c>
      <c r="G75" s="17">
        <v>3297</v>
      </c>
      <c r="H75" s="72">
        <v>138.39</v>
      </c>
      <c r="I75" s="71">
        <v>31</v>
      </c>
      <c r="J75" s="9">
        <f t="shared" si="1"/>
        <v>8070264.589393105</v>
      </c>
      <c r="K75" s="51"/>
    </row>
    <row r="76" spans="1:11" ht="12.75">
      <c r="A76" s="3">
        <v>39845</v>
      </c>
      <c r="B76" s="39">
        <v>7062233</v>
      </c>
      <c r="C76" s="69">
        <v>790.3</v>
      </c>
      <c r="D76" s="69">
        <v>0</v>
      </c>
      <c r="E76" s="47">
        <v>0</v>
      </c>
      <c r="F76" s="71">
        <v>304</v>
      </c>
      <c r="G76" s="17">
        <v>3319</v>
      </c>
      <c r="H76" s="72">
        <v>137.97</v>
      </c>
      <c r="I76" s="71">
        <v>28</v>
      </c>
      <c r="J76" s="9">
        <f t="shared" si="1"/>
        <v>7084359.372183008</v>
      </c>
      <c r="K76" s="51"/>
    </row>
    <row r="77" spans="1:11" ht="12.75">
      <c r="A77" s="3">
        <v>39873</v>
      </c>
      <c r="B77" s="39">
        <v>6794698</v>
      </c>
      <c r="C77" s="69">
        <v>696.1</v>
      </c>
      <c r="D77" s="69">
        <v>0</v>
      </c>
      <c r="E77" s="47">
        <v>1</v>
      </c>
      <c r="F77" s="71">
        <v>352</v>
      </c>
      <c r="G77" s="17">
        <v>3300</v>
      </c>
      <c r="H77" s="72">
        <v>137.54</v>
      </c>
      <c r="I77" s="71">
        <v>31</v>
      </c>
      <c r="J77" s="9">
        <f t="shared" si="1"/>
        <v>6373343.6004094705</v>
      </c>
      <c r="K77" s="51"/>
    </row>
    <row r="78" spans="1:12" ht="12.75">
      <c r="A78" s="3">
        <v>39904</v>
      </c>
      <c r="B78" s="39">
        <v>5506364</v>
      </c>
      <c r="C78" s="69">
        <v>434.2</v>
      </c>
      <c r="D78" s="69">
        <v>0</v>
      </c>
      <c r="E78" s="47">
        <v>1</v>
      </c>
      <c r="F78" s="71">
        <v>320</v>
      </c>
      <c r="G78" s="17">
        <v>3294</v>
      </c>
      <c r="H78" s="72">
        <v>137.13</v>
      </c>
      <c r="I78" s="71">
        <v>30</v>
      </c>
      <c r="J78" s="9">
        <f t="shared" si="1"/>
        <v>5366289.8703497015</v>
      </c>
      <c r="K78" s="51"/>
      <c r="L78" s="51"/>
    </row>
    <row r="79" spans="1:11" ht="12.75">
      <c r="A79" s="3">
        <v>39934</v>
      </c>
      <c r="B79" s="39">
        <v>4779454</v>
      </c>
      <c r="C79" s="69">
        <v>264.3</v>
      </c>
      <c r="D79" s="69">
        <v>0.6</v>
      </c>
      <c r="E79" s="47">
        <v>1</v>
      </c>
      <c r="F79" s="71">
        <v>320</v>
      </c>
      <c r="G79" s="17">
        <v>3290</v>
      </c>
      <c r="H79" s="72">
        <v>136.71</v>
      </c>
      <c r="I79" s="71">
        <v>31</v>
      </c>
      <c r="J79" s="9">
        <f t="shared" si="1"/>
        <v>4718133.498545749</v>
      </c>
      <c r="K79" s="51"/>
    </row>
    <row r="80" spans="1:11" ht="12.75">
      <c r="A80" s="3">
        <v>39965</v>
      </c>
      <c r="B80" s="39">
        <v>4373612</v>
      </c>
      <c r="C80" s="69">
        <v>93.2</v>
      </c>
      <c r="D80" s="69">
        <v>35.8</v>
      </c>
      <c r="E80" s="47">
        <v>0</v>
      </c>
      <c r="F80" s="71">
        <v>352</v>
      </c>
      <c r="G80" s="17">
        <v>3295</v>
      </c>
      <c r="H80" s="72">
        <v>136.29</v>
      </c>
      <c r="I80" s="71">
        <v>30</v>
      </c>
      <c r="J80" s="9">
        <f t="shared" si="1"/>
        <v>4710592.988665396</v>
      </c>
      <c r="K80" s="51"/>
    </row>
    <row r="81" spans="1:11" ht="12.75">
      <c r="A81" s="3">
        <v>39995</v>
      </c>
      <c r="B81" s="39">
        <v>4342224</v>
      </c>
      <c r="C81" s="69">
        <v>47.8</v>
      </c>
      <c r="D81" s="69">
        <v>8.8</v>
      </c>
      <c r="E81" s="47">
        <v>0</v>
      </c>
      <c r="F81" s="71">
        <v>352</v>
      </c>
      <c r="G81" s="17">
        <v>3295</v>
      </c>
      <c r="H81" s="72">
        <v>135.87</v>
      </c>
      <c r="I81" s="71">
        <v>31</v>
      </c>
      <c r="J81" s="9">
        <f t="shared" si="1"/>
        <v>4304702.906110262</v>
      </c>
      <c r="K81" s="51"/>
    </row>
    <row r="82" spans="1:11" ht="12.75">
      <c r="A82" s="3">
        <v>40026</v>
      </c>
      <c r="B82" s="39">
        <v>4797108</v>
      </c>
      <c r="C82" s="69">
        <v>60.8</v>
      </c>
      <c r="D82" s="69">
        <v>34</v>
      </c>
      <c r="E82" s="47">
        <v>0</v>
      </c>
      <c r="F82" s="71">
        <v>320</v>
      </c>
      <c r="G82" s="17">
        <v>3300</v>
      </c>
      <c r="H82" s="72">
        <v>135.46</v>
      </c>
      <c r="I82" s="71">
        <v>31</v>
      </c>
      <c r="J82" s="9">
        <f t="shared" si="1"/>
        <v>4570587.773930632</v>
      </c>
      <c r="K82" s="51"/>
    </row>
    <row r="83" spans="1:11" ht="12.75">
      <c r="A83" s="3">
        <v>40057</v>
      </c>
      <c r="B83" s="39">
        <v>4329199</v>
      </c>
      <c r="C83" s="69">
        <v>113.6</v>
      </c>
      <c r="D83" s="69">
        <v>6.8</v>
      </c>
      <c r="E83" s="47">
        <v>1</v>
      </c>
      <c r="F83" s="71">
        <v>336</v>
      </c>
      <c r="G83" s="17">
        <v>3331</v>
      </c>
      <c r="H83" s="72">
        <v>135.05</v>
      </c>
      <c r="I83" s="71">
        <v>30</v>
      </c>
      <c r="J83" s="9">
        <f t="shared" si="1"/>
        <v>4191781.878910599</v>
      </c>
      <c r="K83" s="51"/>
    </row>
    <row r="84" spans="1:11" ht="12.75">
      <c r="A84" s="3">
        <v>40087</v>
      </c>
      <c r="B84" s="39">
        <v>5147170</v>
      </c>
      <c r="C84" s="69">
        <v>418.2</v>
      </c>
      <c r="D84" s="69">
        <v>0</v>
      </c>
      <c r="E84" s="47">
        <v>1</v>
      </c>
      <c r="F84" s="71">
        <v>336</v>
      </c>
      <c r="G84" s="17">
        <v>3331</v>
      </c>
      <c r="H84" s="72">
        <v>134.63</v>
      </c>
      <c r="I84" s="71">
        <v>31</v>
      </c>
      <c r="J84" s="9">
        <f t="shared" si="1"/>
        <v>5304766.923877932</v>
      </c>
      <c r="K84" s="51"/>
    </row>
    <row r="85" spans="1:11" ht="12.75">
      <c r="A85" s="3">
        <v>40118</v>
      </c>
      <c r="B85" s="39">
        <v>5652301</v>
      </c>
      <c r="C85" s="69">
        <v>453.3</v>
      </c>
      <c r="D85" s="69">
        <v>0</v>
      </c>
      <c r="E85" s="47">
        <v>1</v>
      </c>
      <c r="F85" s="71">
        <v>320</v>
      </c>
      <c r="G85" s="17">
        <v>3389</v>
      </c>
      <c r="H85" s="72">
        <v>134.22</v>
      </c>
      <c r="I85" s="71">
        <v>30</v>
      </c>
      <c r="J85" s="9">
        <f t="shared" si="1"/>
        <v>5439732.887700375</v>
      </c>
      <c r="K85" s="51"/>
    </row>
    <row r="86" spans="1:11" ht="12.75">
      <c r="A86" s="3">
        <v>40148</v>
      </c>
      <c r="B86" s="39">
        <v>7036684</v>
      </c>
      <c r="C86" s="69">
        <v>826.5</v>
      </c>
      <c r="D86" s="69">
        <v>0</v>
      </c>
      <c r="E86" s="47">
        <v>0</v>
      </c>
      <c r="F86" s="71">
        <v>352</v>
      </c>
      <c r="G86" s="17">
        <v>3362</v>
      </c>
      <c r="H86" s="72">
        <v>133.81</v>
      </c>
      <c r="I86" s="71">
        <v>31</v>
      </c>
      <c r="J86" s="9">
        <f t="shared" si="1"/>
        <v>7223555.038575385</v>
      </c>
      <c r="K86" s="51"/>
    </row>
    <row r="87" spans="1:11" ht="12.75">
      <c r="A87" s="3">
        <v>40179</v>
      </c>
      <c r="B87" s="39">
        <v>7177749</v>
      </c>
      <c r="C87" s="69">
        <v>878.8</v>
      </c>
      <c r="D87" s="69">
        <v>0</v>
      </c>
      <c r="E87" s="47">
        <v>0</v>
      </c>
      <c r="F87" s="71">
        <v>320</v>
      </c>
      <c r="G87" s="17">
        <v>3303</v>
      </c>
      <c r="H87" s="72">
        <v>134.17</v>
      </c>
      <c r="I87" s="71">
        <v>31</v>
      </c>
      <c r="J87" s="9">
        <f t="shared" si="1"/>
        <v>7424658.16985498</v>
      </c>
      <c r="K87" s="51"/>
    </row>
    <row r="88" spans="1:11" ht="12.75">
      <c r="A88" s="3">
        <v>40210</v>
      </c>
      <c r="B88" s="39">
        <v>7114370</v>
      </c>
      <c r="C88" s="69">
        <v>750.7</v>
      </c>
      <c r="D88" s="69">
        <v>0</v>
      </c>
      <c r="E88" s="47">
        <v>0</v>
      </c>
      <c r="F88" s="71">
        <v>304</v>
      </c>
      <c r="G88" s="17">
        <v>3307</v>
      </c>
      <c r="H88" s="72">
        <v>134.52</v>
      </c>
      <c r="I88" s="71">
        <v>28</v>
      </c>
      <c r="J88" s="9">
        <f t="shared" si="1"/>
        <v>6932090.07966538</v>
      </c>
      <c r="K88" s="51"/>
    </row>
    <row r="89" spans="1:11" ht="12.75">
      <c r="A89" s="3">
        <v>40238</v>
      </c>
      <c r="B89" s="39">
        <v>5311814</v>
      </c>
      <c r="C89" s="69">
        <v>502.9</v>
      </c>
      <c r="D89" s="69">
        <v>0</v>
      </c>
      <c r="E89" s="47">
        <v>1</v>
      </c>
      <c r="F89" s="71">
        <v>368</v>
      </c>
      <c r="G89" s="17">
        <v>3308</v>
      </c>
      <c r="H89" s="72">
        <v>134.87</v>
      </c>
      <c r="I89" s="71">
        <v>31</v>
      </c>
      <c r="J89" s="9">
        <f t="shared" si="1"/>
        <v>5630454.021762859</v>
      </c>
      <c r="K89" s="51"/>
    </row>
    <row r="90" spans="1:11" ht="12.75">
      <c r="A90" s="3">
        <v>40269</v>
      </c>
      <c r="B90" s="39">
        <v>4914696</v>
      </c>
      <c r="C90" s="69">
        <v>324.1</v>
      </c>
      <c r="D90" s="69">
        <v>0</v>
      </c>
      <c r="E90" s="47">
        <v>1</v>
      </c>
      <c r="F90" s="71">
        <v>320</v>
      </c>
      <c r="G90" s="17">
        <v>3298</v>
      </c>
      <c r="H90" s="72">
        <v>135.23</v>
      </c>
      <c r="I90" s="71">
        <v>30</v>
      </c>
      <c r="J90" s="9">
        <f t="shared" si="1"/>
        <v>4942935.094940841</v>
      </c>
      <c r="K90" s="51"/>
    </row>
    <row r="91" spans="1:11" ht="12.75">
      <c r="A91" s="3">
        <v>40299</v>
      </c>
      <c r="B91" s="39">
        <v>4779232</v>
      </c>
      <c r="C91" s="69">
        <v>138.9</v>
      </c>
      <c r="D91" s="69">
        <v>33.1</v>
      </c>
      <c r="E91" s="47">
        <v>1</v>
      </c>
      <c r="F91" s="71">
        <v>320</v>
      </c>
      <c r="G91" s="17">
        <v>3333</v>
      </c>
      <c r="H91" s="72">
        <v>135.58</v>
      </c>
      <c r="I91" s="71">
        <v>31</v>
      </c>
      <c r="J91" s="9">
        <f t="shared" si="1"/>
        <v>4514386.60791024</v>
      </c>
      <c r="K91" s="51"/>
    </row>
    <row r="92" spans="1:11" ht="12.75">
      <c r="A92" s="3">
        <v>40330</v>
      </c>
      <c r="B92" s="39">
        <v>4124469</v>
      </c>
      <c r="C92" s="69">
        <v>70.5</v>
      </c>
      <c r="D92" s="69">
        <v>9.1</v>
      </c>
      <c r="E92" s="47">
        <v>0</v>
      </c>
      <c r="F92" s="71">
        <v>352</v>
      </c>
      <c r="G92" s="17">
        <v>3284</v>
      </c>
      <c r="H92" s="72">
        <v>135.94</v>
      </c>
      <c r="I92" s="71">
        <v>30</v>
      </c>
      <c r="J92" s="9">
        <f t="shared" si="1"/>
        <v>4394558.7944386555</v>
      </c>
      <c r="K92" s="51"/>
    </row>
    <row r="93" spans="1:11" ht="12.75">
      <c r="A93" s="3">
        <v>40360</v>
      </c>
      <c r="B93" s="39">
        <v>4708130</v>
      </c>
      <c r="C93" s="69">
        <v>8.3</v>
      </c>
      <c r="D93" s="69">
        <v>100</v>
      </c>
      <c r="E93" s="47">
        <v>0</v>
      </c>
      <c r="F93" s="71">
        <v>336</v>
      </c>
      <c r="G93" s="17">
        <v>3309</v>
      </c>
      <c r="H93" s="72">
        <v>135.3</v>
      </c>
      <c r="I93" s="71">
        <v>31</v>
      </c>
      <c r="J93" s="9">
        <f t="shared" si="1"/>
        <v>4934161.370566007</v>
      </c>
      <c r="K93" s="51"/>
    </row>
    <row r="94" spans="1:11" ht="12.75">
      <c r="A94" s="3">
        <v>40391</v>
      </c>
      <c r="B94" s="39">
        <v>4926116</v>
      </c>
      <c r="C94" s="69">
        <v>26.6</v>
      </c>
      <c r="D94" s="69">
        <v>70.7</v>
      </c>
      <c r="E94" s="47">
        <v>0</v>
      </c>
      <c r="F94" s="71">
        <v>336</v>
      </c>
      <c r="G94" s="17">
        <v>3279</v>
      </c>
      <c r="H94" s="72">
        <v>136.65</v>
      </c>
      <c r="I94" s="71">
        <v>31</v>
      </c>
      <c r="J94" s="9">
        <f t="shared" si="1"/>
        <v>4753504.590486215</v>
      </c>
      <c r="K94" s="51"/>
    </row>
    <row r="95" spans="1:11" ht="12.75">
      <c r="A95" s="3">
        <v>40422</v>
      </c>
      <c r="B95" s="39">
        <v>4287110</v>
      </c>
      <c r="C95" s="69">
        <v>180.9</v>
      </c>
      <c r="D95" s="69">
        <v>8.5</v>
      </c>
      <c r="E95" s="47">
        <v>1</v>
      </c>
      <c r="F95" s="71">
        <v>336</v>
      </c>
      <c r="G95" s="17">
        <v>3282</v>
      </c>
      <c r="H95" s="72">
        <v>137.01</v>
      </c>
      <c r="I95" s="71">
        <v>30</v>
      </c>
      <c r="J95" s="9">
        <f t="shared" si="1"/>
        <v>4465127.284629719</v>
      </c>
      <c r="K95" s="51"/>
    </row>
    <row r="96" spans="1:11" ht="12.75">
      <c r="A96" s="3">
        <v>40452</v>
      </c>
      <c r="B96" s="39">
        <v>5014291</v>
      </c>
      <c r="C96" s="69">
        <v>364.7</v>
      </c>
      <c r="D96" s="69">
        <v>0</v>
      </c>
      <c r="E96" s="47">
        <v>1</v>
      </c>
      <c r="F96" s="71">
        <v>320</v>
      </c>
      <c r="G96" s="17">
        <v>3313</v>
      </c>
      <c r="H96" s="72">
        <v>137.37</v>
      </c>
      <c r="I96" s="71">
        <v>31</v>
      </c>
      <c r="J96" s="9">
        <f t="shared" si="1"/>
        <v>5099049.571612956</v>
      </c>
      <c r="K96" s="51"/>
    </row>
    <row r="97" spans="1:11" ht="12.75">
      <c r="A97" s="3">
        <v>40483</v>
      </c>
      <c r="B97" s="39">
        <v>5454156</v>
      </c>
      <c r="C97" s="69">
        <v>525.3</v>
      </c>
      <c r="D97" s="69">
        <v>0</v>
      </c>
      <c r="E97" s="47">
        <v>1</v>
      </c>
      <c r="F97" s="71">
        <v>336</v>
      </c>
      <c r="G97" s="17">
        <v>3302</v>
      </c>
      <c r="H97" s="72">
        <v>137.73</v>
      </c>
      <c r="I97" s="71">
        <v>30</v>
      </c>
      <c r="J97" s="9">
        <f t="shared" si="1"/>
        <v>5716586.146823335</v>
      </c>
      <c r="K97" s="51"/>
    </row>
    <row r="98" spans="1:11" ht="12.75">
      <c r="A98" s="3">
        <v>40513</v>
      </c>
      <c r="B98" s="39">
        <v>6984956</v>
      </c>
      <c r="C98" s="69">
        <v>804.9</v>
      </c>
      <c r="D98" s="69">
        <v>0</v>
      </c>
      <c r="E98" s="47">
        <v>0</v>
      </c>
      <c r="F98" s="71">
        <v>368</v>
      </c>
      <c r="G98" s="17">
        <v>3289.770622735898</v>
      </c>
      <c r="H98" s="72">
        <v>138.1</v>
      </c>
      <c r="I98" s="71">
        <v>31</v>
      </c>
      <c r="J98" s="9">
        <f t="shared" si="1"/>
        <v>7140499.060838496</v>
      </c>
      <c r="K98" s="51"/>
    </row>
    <row r="99" spans="1:10" ht="12.75">
      <c r="A99" s="3">
        <v>40544</v>
      </c>
      <c r="C99" s="18">
        <f aca="true" t="shared" si="2" ref="C99:D110">(C3+C15+C27+C39+C51+C63+C75+C87)/8</f>
        <v>947.425</v>
      </c>
      <c r="D99" s="18">
        <f t="shared" si="2"/>
        <v>0</v>
      </c>
      <c r="E99" s="47">
        <v>0</v>
      </c>
      <c r="F99" s="71">
        <v>336</v>
      </c>
      <c r="G99" s="17">
        <v>3291.25</v>
      </c>
      <c r="H99" s="72">
        <v>138.35</v>
      </c>
      <c r="I99" s="71">
        <v>31</v>
      </c>
      <c r="J99" s="9">
        <f t="shared" si="1"/>
        <v>7688533.932456551</v>
      </c>
    </row>
    <row r="100" spans="1:10" ht="12.75">
      <c r="A100" s="3">
        <v>40575</v>
      </c>
      <c r="C100" s="18">
        <f t="shared" si="2"/>
        <v>822.6125</v>
      </c>
      <c r="D100" s="18">
        <f t="shared" si="2"/>
        <v>0</v>
      </c>
      <c r="E100" s="47">
        <v>0</v>
      </c>
      <c r="F100" s="71">
        <v>304</v>
      </c>
      <c r="G100" s="17">
        <v>3292.1666666666665</v>
      </c>
      <c r="H100" s="72">
        <v>138.6</v>
      </c>
      <c r="I100" s="71">
        <v>28</v>
      </c>
      <c r="J100" s="9">
        <f t="shared" si="1"/>
        <v>7208606.885174822</v>
      </c>
    </row>
    <row r="101" spans="1:10" ht="12.75">
      <c r="A101" s="3">
        <v>40603</v>
      </c>
      <c r="C101" s="18">
        <f t="shared" si="2"/>
        <v>682.4625</v>
      </c>
      <c r="D101" s="18">
        <f t="shared" si="2"/>
        <v>0</v>
      </c>
      <c r="E101" s="47">
        <v>1</v>
      </c>
      <c r="F101" s="71">
        <v>368</v>
      </c>
      <c r="G101" s="17">
        <v>3293.0833333333335</v>
      </c>
      <c r="H101" s="72">
        <v>138.85</v>
      </c>
      <c r="I101" s="71">
        <v>31</v>
      </c>
      <c r="J101" s="9">
        <f t="shared" si="1"/>
        <v>6320904.901502673</v>
      </c>
    </row>
    <row r="102" spans="1:10" ht="12.75">
      <c r="A102" s="3">
        <v>40634</v>
      </c>
      <c r="C102" s="18">
        <f t="shared" si="2"/>
        <v>409.65</v>
      </c>
      <c r="D102" s="18">
        <f t="shared" si="2"/>
        <v>0</v>
      </c>
      <c r="E102" s="47">
        <v>1</v>
      </c>
      <c r="F102" s="71">
        <v>320</v>
      </c>
      <c r="G102" s="17">
        <v>3294</v>
      </c>
      <c r="H102" s="72">
        <v>139.1</v>
      </c>
      <c r="I102" s="71">
        <v>30</v>
      </c>
      <c r="J102" s="9">
        <f t="shared" si="1"/>
        <v>5271890.599357082</v>
      </c>
    </row>
    <row r="103" spans="1:10" ht="12.75">
      <c r="A103" s="3">
        <v>40664</v>
      </c>
      <c r="C103" s="18">
        <f t="shared" si="2"/>
        <v>215.1625</v>
      </c>
      <c r="D103" s="18">
        <f t="shared" si="2"/>
        <v>7.8125</v>
      </c>
      <c r="E103" s="47">
        <v>1</v>
      </c>
      <c r="F103" s="71">
        <v>336</v>
      </c>
      <c r="G103" s="17">
        <v>3294.916666666667</v>
      </c>
      <c r="H103" s="72">
        <v>139.35</v>
      </c>
      <c r="I103" s="71">
        <v>31</v>
      </c>
      <c r="J103" s="9">
        <f t="shared" si="1"/>
        <v>4590982.846673345</v>
      </c>
    </row>
    <row r="104" spans="1:10" ht="12.75">
      <c r="A104" s="3">
        <v>40695</v>
      </c>
      <c r="C104" s="18">
        <f t="shared" si="2"/>
        <v>65.9625</v>
      </c>
      <c r="D104" s="18">
        <f t="shared" si="2"/>
        <v>23.649999999999995</v>
      </c>
      <c r="E104" s="47">
        <v>0</v>
      </c>
      <c r="F104" s="71">
        <v>352</v>
      </c>
      <c r="G104" s="17">
        <v>3295.8333333333335</v>
      </c>
      <c r="H104" s="72">
        <v>139.61</v>
      </c>
      <c r="I104" s="71">
        <v>30</v>
      </c>
      <c r="J104" s="9">
        <f t="shared" si="1"/>
        <v>4501766.360383925</v>
      </c>
    </row>
    <row r="105" spans="1:10" ht="12.75">
      <c r="A105" s="3">
        <v>40725</v>
      </c>
      <c r="C105" s="18">
        <f t="shared" si="2"/>
        <v>21.6875</v>
      </c>
      <c r="D105" s="18">
        <f t="shared" si="2"/>
        <v>55.9625</v>
      </c>
      <c r="E105" s="47">
        <v>0</v>
      </c>
      <c r="F105" s="71">
        <v>320</v>
      </c>
      <c r="G105" s="17">
        <v>3297.75</v>
      </c>
      <c r="H105" s="72">
        <v>139.86</v>
      </c>
      <c r="I105" s="71">
        <v>31</v>
      </c>
      <c r="J105" s="9">
        <f t="shared" si="1"/>
        <v>4608353.654267575</v>
      </c>
    </row>
    <row r="106" spans="1:10" ht="12.75">
      <c r="A106" s="3">
        <v>40756</v>
      </c>
      <c r="C106" s="18">
        <f t="shared" si="2"/>
        <v>41.125</v>
      </c>
      <c r="D106" s="18">
        <f t="shared" si="2"/>
        <v>42.06249999999999</v>
      </c>
      <c r="E106" s="47">
        <v>0</v>
      </c>
      <c r="F106" s="71">
        <v>352</v>
      </c>
      <c r="G106" s="17">
        <v>3298.666666666667</v>
      </c>
      <c r="H106" s="72">
        <v>140.11</v>
      </c>
      <c r="I106" s="71">
        <v>31</v>
      </c>
      <c r="J106" s="9">
        <f t="shared" si="1"/>
        <v>4564008.116270879</v>
      </c>
    </row>
    <row r="107" spans="1:10" ht="12.75">
      <c r="A107" s="3">
        <v>40787</v>
      </c>
      <c r="C107" s="18">
        <f t="shared" si="2"/>
        <v>131.45</v>
      </c>
      <c r="D107" s="18">
        <f t="shared" si="2"/>
        <v>9.8</v>
      </c>
      <c r="E107" s="47">
        <v>1</v>
      </c>
      <c r="F107" s="71">
        <v>336</v>
      </c>
      <c r="G107" s="17">
        <v>3299.5833333333335</v>
      </c>
      <c r="H107" s="72">
        <v>140.37</v>
      </c>
      <c r="I107" s="71">
        <v>30</v>
      </c>
      <c r="J107" s="9">
        <f t="shared" si="1"/>
        <v>4286120.496283887</v>
      </c>
    </row>
    <row r="108" spans="1:10" ht="12.75">
      <c r="A108" s="3">
        <v>40817</v>
      </c>
      <c r="C108" s="18">
        <f t="shared" si="2"/>
        <v>355.0874999999999</v>
      </c>
      <c r="D108" s="18">
        <f t="shared" si="2"/>
        <v>0.9125</v>
      </c>
      <c r="E108" s="47">
        <v>1</v>
      </c>
      <c r="F108" s="71">
        <v>320</v>
      </c>
      <c r="G108" s="17">
        <v>3300.5</v>
      </c>
      <c r="H108" s="72">
        <v>140.62</v>
      </c>
      <c r="I108" s="71">
        <v>31</v>
      </c>
      <c r="J108" s="9">
        <f t="shared" si="1"/>
        <v>5069905.454993578</v>
      </c>
    </row>
    <row r="109" spans="1:10" ht="12.75">
      <c r="A109" s="3">
        <v>40848</v>
      </c>
      <c r="C109" s="18">
        <f t="shared" si="2"/>
        <v>535.4375</v>
      </c>
      <c r="D109" s="18">
        <f t="shared" si="2"/>
        <v>0</v>
      </c>
      <c r="E109" s="47">
        <v>1</v>
      </c>
      <c r="F109" s="71">
        <v>352</v>
      </c>
      <c r="G109" s="17">
        <v>3301.416666666667</v>
      </c>
      <c r="H109" s="72">
        <v>140.88</v>
      </c>
      <c r="I109" s="71">
        <v>30</v>
      </c>
      <c r="J109" s="9">
        <f t="shared" si="1"/>
        <v>5755566.701189434</v>
      </c>
    </row>
    <row r="110" spans="1:10" ht="12.75">
      <c r="A110" s="3">
        <v>40878</v>
      </c>
      <c r="C110" s="18">
        <f t="shared" si="2"/>
        <v>814.0124999999999</v>
      </c>
      <c r="D110" s="18">
        <f t="shared" si="2"/>
        <v>0</v>
      </c>
      <c r="E110" s="47">
        <v>0</v>
      </c>
      <c r="F110" s="71">
        <v>336</v>
      </c>
      <c r="G110" s="17">
        <v>3302</v>
      </c>
      <c r="H110" s="72">
        <v>141.13</v>
      </c>
      <c r="I110" s="71">
        <v>31</v>
      </c>
      <c r="J110" s="9">
        <f t="shared" si="1"/>
        <v>7175538.301446246</v>
      </c>
    </row>
    <row r="111" spans="1:10" ht="12.75">
      <c r="A111" s="3">
        <v>40909</v>
      </c>
      <c r="C111" s="18">
        <v>947.425</v>
      </c>
      <c r="D111" s="18">
        <v>0</v>
      </c>
      <c r="E111" s="47">
        <v>0</v>
      </c>
      <c r="F111" s="71">
        <v>336</v>
      </c>
      <c r="G111" s="17">
        <v>3299.1666666666665</v>
      </c>
      <c r="H111" s="72">
        <v>141.42</v>
      </c>
      <c r="I111" s="71">
        <v>31</v>
      </c>
      <c r="J111" s="9">
        <f t="shared" si="1"/>
        <v>7688533.932456551</v>
      </c>
    </row>
    <row r="112" spans="1:10" ht="12.75">
      <c r="A112" s="3">
        <v>40940</v>
      </c>
      <c r="C112" s="18">
        <v>822.6125</v>
      </c>
      <c r="D112" s="18">
        <v>0</v>
      </c>
      <c r="E112" s="47">
        <v>0</v>
      </c>
      <c r="F112" s="71">
        <v>320</v>
      </c>
      <c r="G112" s="17">
        <v>3299.333333333333</v>
      </c>
      <c r="H112" s="72">
        <v>141.72</v>
      </c>
      <c r="I112" s="71">
        <v>29</v>
      </c>
      <c r="J112" s="9">
        <f t="shared" si="1"/>
        <v>7208606.885174822</v>
      </c>
    </row>
    <row r="113" spans="1:10" ht="12.75">
      <c r="A113" s="3">
        <v>40969</v>
      </c>
      <c r="C113" s="18">
        <v>682.4625</v>
      </c>
      <c r="D113" s="18">
        <v>0</v>
      </c>
      <c r="E113" s="47">
        <v>1</v>
      </c>
      <c r="F113" s="71">
        <v>352</v>
      </c>
      <c r="G113" s="17">
        <v>3299.5</v>
      </c>
      <c r="H113" s="72">
        <v>142.01</v>
      </c>
      <c r="I113" s="71">
        <v>31</v>
      </c>
      <c r="J113" s="9">
        <f t="shared" si="1"/>
        <v>6320904.901502673</v>
      </c>
    </row>
    <row r="114" spans="1:10" ht="12.75">
      <c r="A114" s="3">
        <v>41000</v>
      </c>
      <c r="C114" s="18">
        <v>409.65</v>
      </c>
      <c r="D114" s="18">
        <v>0</v>
      </c>
      <c r="E114" s="47">
        <v>1</v>
      </c>
      <c r="F114" s="71">
        <v>320</v>
      </c>
      <c r="G114" s="17">
        <v>3299.666666666666</v>
      </c>
      <c r="H114" s="72">
        <v>142.3</v>
      </c>
      <c r="I114" s="71">
        <v>30</v>
      </c>
      <c r="J114" s="9">
        <f t="shared" si="1"/>
        <v>5271890.599357082</v>
      </c>
    </row>
    <row r="115" spans="1:10" ht="12.75">
      <c r="A115" s="3">
        <v>41030</v>
      </c>
      <c r="C115" s="18">
        <v>215.1625</v>
      </c>
      <c r="D115" s="18">
        <v>7.8125</v>
      </c>
      <c r="E115" s="47">
        <v>1</v>
      </c>
      <c r="F115" s="71">
        <v>352</v>
      </c>
      <c r="G115" s="17">
        <v>3299.8333333333326</v>
      </c>
      <c r="H115" s="72">
        <v>142.589</v>
      </c>
      <c r="I115" s="71">
        <v>31</v>
      </c>
      <c r="J115" s="9">
        <f t="shared" si="1"/>
        <v>4590982.846673345</v>
      </c>
    </row>
    <row r="116" spans="1:10" ht="12.75">
      <c r="A116" s="3">
        <v>41061</v>
      </c>
      <c r="C116" s="18">
        <v>65.9625</v>
      </c>
      <c r="D116" s="18">
        <v>23.65</v>
      </c>
      <c r="E116" s="47">
        <v>0</v>
      </c>
      <c r="F116" s="71">
        <v>336</v>
      </c>
      <c r="G116" s="17">
        <v>3300</v>
      </c>
      <c r="H116" s="72">
        <v>142.89</v>
      </c>
      <c r="I116" s="71">
        <v>30</v>
      </c>
      <c r="J116" s="9">
        <f t="shared" si="1"/>
        <v>4501766.360383925</v>
      </c>
    </row>
    <row r="117" spans="1:10" ht="12.75">
      <c r="A117" s="3">
        <v>41091</v>
      </c>
      <c r="C117" s="18">
        <v>21.6875</v>
      </c>
      <c r="D117" s="18">
        <v>55.9625</v>
      </c>
      <c r="E117" s="47">
        <v>0</v>
      </c>
      <c r="F117" s="71">
        <v>336</v>
      </c>
      <c r="G117" s="17">
        <v>3301.1666666666656</v>
      </c>
      <c r="H117" s="72">
        <v>143.18</v>
      </c>
      <c r="I117" s="71">
        <v>31</v>
      </c>
      <c r="J117" s="9">
        <f t="shared" si="1"/>
        <v>4608353.654267575</v>
      </c>
    </row>
    <row r="118" spans="1:10" ht="12.75">
      <c r="A118" s="3">
        <v>41122</v>
      </c>
      <c r="C118" s="18">
        <v>41.125</v>
      </c>
      <c r="D118" s="18">
        <v>42.0625</v>
      </c>
      <c r="E118" s="47">
        <v>0</v>
      </c>
      <c r="F118" s="71">
        <v>352</v>
      </c>
      <c r="G118" s="17">
        <v>3300.333333333332</v>
      </c>
      <c r="H118" s="72">
        <v>143.48</v>
      </c>
      <c r="I118" s="71">
        <v>31</v>
      </c>
      <c r="J118" s="9">
        <f t="shared" si="1"/>
        <v>4564008.116270879</v>
      </c>
    </row>
    <row r="119" spans="1:10" ht="12.75">
      <c r="A119" s="3">
        <v>41153</v>
      </c>
      <c r="C119" s="18">
        <v>131.45</v>
      </c>
      <c r="D119" s="18">
        <v>9.8</v>
      </c>
      <c r="E119" s="47">
        <v>1</v>
      </c>
      <c r="F119" s="71">
        <v>304</v>
      </c>
      <c r="G119" s="17">
        <v>3300.5</v>
      </c>
      <c r="H119" s="72">
        <v>143.77</v>
      </c>
      <c r="I119" s="71">
        <v>30</v>
      </c>
      <c r="J119" s="9">
        <f t="shared" si="1"/>
        <v>4286120.496283887</v>
      </c>
    </row>
    <row r="120" spans="1:10" ht="12.75">
      <c r="A120" s="3">
        <v>41183</v>
      </c>
      <c r="C120" s="18">
        <v>355.0875</v>
      </c>
      <c r="D120" s="18">
        <v>0.9125</v>
      </c>
      <c r="E120" s="47">
        <v>1</v>
      </c>
      <c r="F120" s="71">
        <v>352</v>
      </c>
      <c r="G120" s="17">
        <v>3300.666666666665</v>
      </c>
      <c r="H120" s="72">
        <v>144.07</v>
      </c>
      <c r="I120" s="71">
        <v>31</v>
      </c>
      <c r="J120" s="9">
        <f t="shared" si="1"/>
        <v>5069905.454993578</v>
      </c>
    </row>
    <row r="121" spans="1:10" ht="12.75">
      <c r="A121" s="3">
        <v>41214</v>
      </c>
      <c r="C121" s="18">
        <v>535.4375</v>
      </c>
      <c r="D121" s="18">
        <v>0</v>
      </c>
      <c r="E121" s="47">
        <v>1</v>
      </c>
      <c r="F121" s="71">
        <v>352</v>
      </c>
      <c r="G121" s="17">
        <v>3300.8333333333317</v>
      </c>
      <c r="H121" s="72">
        <v>144.37</v>
      </c>
      <c r="I121" s="71">
        <v>30</v>
      </c>
      <c r="J121" s="9">
        <f t="shared" si="1"/>
        <v>5755566.701189434</v>
      </c>
    </row>
    <row r="122" spans="1:10" ht="12.75">
      <c r="A122" s="3">
        <v>41244</v>
      </c>
      <c r="C122" s="18">
        <v>814.0125</v>
      </c>
      <c r="D122" s="18">
        <v>0</v>
      </c>
      <c r="E122" s="47">
        <v>0</v>
      </c>
      <c r="F122" s="71">
        <v>304</v>
      </c>
      <c r="G122" s="17">
        <v>3301</v>
      </c>
      <c r="H122" s="72">
        <v>144.66</v>
      </c>
      <c r="I122" s="71">
        <v>31</v>
      </c>
      <c r="J122" s="9">
        <f t="shared" si="1"/>
        <v>7175538.301446247</v>
      </c>
    </row>
    <row r="123" ht="12.75">
      <c r="A123" s="3"/>
    </row>
    <row r="124" spans="1:10" ht="12.75">
      <c r="A124" s="3"/>
      <c r="C124" s="19"/>
      <c r="D124" s="1" t="s">
        <v>72</v>
      </c>
      <c r="J124" s="51">
        <f>SUM(J3:J122)</f>
        <v>670421782.5</v>
      </c>
    </row>
    <row r="125" ht="12.75">
      <c r="A125" s="3"/>
    </row>
    <row r="126" spans="1:12" ht="12.75">
      <c r="A126" s="16">
        <v>2003</v>
      </c>
      <c r="B126" s="6">
        <f>SUM(B3:B14)</f>
        <v>67436643</v>
      </c>
      <c r="J126" s="6">
        <f>SUM(J3:J14)</f>
        <v>68160460.49423367</v>
      </c>
      <c r="K126" s="37">
        <f aca="true" t="shared" si="3" ref="K126:K133">J126-B126</f>
        <v>723817.4942336679</v>
      </c>
      <c r="L126" s="5">
        <f aca="true" t="shared" si="4" ref="L126:L133">K126/B126</f>
        <v>0.01073329664754617</v>
      </c>
    </row>
    <row r="127" spans="1:12" ht="12.75">
      <c r="A127">
        <v>2004</v>
      </c>
      <c r="B127" s="6">
        <f>SUM(B15:B26)</f>
        <v>67783060</v>
      </c>
      <c r="J127" s="6">
        <f>SUM(J15:J26)</f>
        <v>67739263.45369074</v>
      </c>
      <c r="K127" s="37">
        <f t="shared" si="3"/>
        <v>-43796.546309262514</v>
      </c>
      <c r="L127" s="5">
        <f t="shared" si="4"/>
        <v>-0.0006461281964736103</v>
      </c>
    </row>
    <row r="128" spans="1:12" ht="12.75">
      <c r="A128" s="16">
        <v>2005</v>
      </c>
      <c r="B128" s="6">
        <f>SUM(B27:B38)</f>
        <v>67841271</v>
      </c>
      <c r="J128" s="6">
        <f>SUM(J27:J38)</f>
        <v>66921111.36276141</v>
      </c>
      <c r="K128" s="37">
        <f t="shared" si="3"/>
        <v>-920159.6372385919</v>
      </c>
      <c r="L128" s="5">
        <f t="shared" si="4"/>
        <v>-0.013563419783786066</v>
      </c>
    </row>
    <row r="129" spans="1:12" ht="12.75">
      <c r="A129">
        <v>2006</v>
      </c>
      <c r="B129" s="6">
        <f>SUM(B39:B50)</f>
        <v>66220789</v>
      </c>
      <c r="J129" s="6">
        <f>SUM(J39:J50)</f>
        <v>65717231.05071306</v>
      </c>
      <c r="K129" s="37">
        <f t="shared" si="3"/>
        <v>-503557.9492869377</v>
      </c>
      <c r="L129" s="5">
        <f t="shared" si="4"/>
        <v>-0.00760422756797624</v>
      </c>
    </row>
    <row r="130" spans="1:12" ht="12.75">
      <c r="A130" s="16">
        <v>2007</v>
      </c>
      <c r="B130" s="6">
        <f>SUM(B51:B62)</f>
        <v>67715291</v>
      </c>
      <c r="J130" s="6">
        <f>SUM(J51:J62)</f>
        <v>67295848.09562448</v>
      </c>
      <c r="K130" s="37">
        <f t="shared" si="3"/>
        <v>-419442.9043755233</v>
      </c>
      <c r="L130" s="5">
        <f t="shared" si="4"/>
        <v>-0.006194212535770145</v>
      </c>
    </row>
    <row r="131" spans="1:12" ht="12.75">
      <c r="A131">
        <v>2008</v>
      </c>
      <c r="B131" s="6">
        <f>SUM(B63:B74)</f>
        <v>66659322</v>
      </c>
      <c r="J131" s="6">
        <f>SUM(J63:J74)</f>
        <v>67197389.42079535</v>
      </c>
      <c r="K131" s="37">
        <f t="shared" si="3"/>
        <v>538067.4207953513</v>
      </c>
      <c r="L131" s="5">
        <f t="shared" si="4"/>
        <v>0.008071900593218623</v>
      </c>
    </row>
    <row r="132" spans="1:12" ht="12.75">
      <c r="A132" s="16">
        <v>2009</v>
      </c>
      <c r="B132" s="6">
        <f>SUM(B75:B86)</f>
        <v>67883961</v>
      </c>
      <c r="J132" s="6">
        <f>SUM(J75:J86)</f>
        <v>67358111.3286516</v>
      </c>
      <c r="K132" s="37">
        <f t="shared" si="3"/>
        <v>-525849.671348393</v>
      </c>
      <c r="L132" s="5">
        <f t="shared" si="4"/>
        <v>-0.0077463021250099556</v>
      </c>
    </row>
    <row r="133" spans="1:12" ht="12.75">
      <c r="A133">
        <v>2010</v>
      </c>
      <c r="B133" s="6">
        <f>SUM(B87:B98)</f>
        <v>64797089</v>
      </c>
      <c r="J133" s="6">
        <f>SUM(J87:J98)</f>
        <v>65948010.79352967</v>
      </c>
      <c r="K133" s="37">
        <f t="shared" si="3"/>
        <v>1150921.793529667</v>
      </c>
      <c r="L133" s="5">
        <f t="shared" si="4"/>
        <v>0.017761936705670018</v>
      </c>
    </row>
    <row r="134" spans="1:10" ht="12.75">
      <c r="A134">
        <v>2011</v>
      </c>
      <c r="J134" s="6">
        <f>SUM(J99:J110)</f>
        <v>67042178.25</v>
      </c>
    </row>
    <row r="135" spans="1:10" ht="12.75">
      <c r="A135">
        <v>2012</v>
      </c>
      <c r="J135" s="6">
        <f>SUM(J111:J122)</f>
        <v>67042178.25</v>
      </c>
    </row>
    <row r="136" ht="12.75">
      <c r="J136" s="6"/>
    </row>
    <row r="137" spans="1:11" ht="12.75">
      <c r="A137" t="s">
        <v>81</v>
      </c>
      <c r="B137" s="6">
        <f>SUM(B126:B133)</f>
        <v>536337426</v>
      </c>
      <c r="J137" s="6">
        <f>SUM(J126:J133)</f>
        <v>536337426</v>
      </c>
      <c r="K137" s="6">
        <f>J137-B137</f>
        <v>0</v>
      </c>
    </row>
    <row r="139" spans="10:11" ht="12.75">
      <c r="J139" s="6">
        <f>SUM(J126:J135)</f>
        <v>670421782.5</v>
      </c>
      <c r="K139" s="51">
        <f>J124-J139</f>
        <v>0</v>
      </c>
    </row>
    <row r="140" spans="10:12" ht="12.75">
      <c r="J140" s="19"/>
      <c r="K140" s="19" t="s">
        <v>68</v>
      </c>
      <c r="L140" s="19"/>
    </row>
    <row r="141" ht="12.75">
      <c r="A141" t="s">
        <v>98</v>
      </c>
    </row>
    <row r="142" ht="12.75">
      <c r="A142" t="s">
        <v>99</v>
      </c>
    </row>
    <row r="144" spans="1:10" ht="12.75">
      <c r="A144" s="3">
        <v>40909</v>
      </c>
      <c r="C144" s="18">
        <v>926.82</v>
      </c>
      <c r="D144" s="18">
        <v>0</v>
      </c>
      <c r="E144" s="47">
        <v>0</v>
      </c>
      <c r="F144" s="71">
        <v>336</v>
      </c>
      <c r="G144" s="17">
        <v>3299.1666666666665</v>
      </c>
      <c r="H144" s="72">
        <v>141.42</v>
      </c>
      <c r="I144" s="71">
        <v>31</v>
      </c>
      <c r="J144" s="9">
        <f>$N$18+C144*$N$19+D144*$N$20+E144*$N$21</f>
        <v>7609303.912953377</v>
      </c>
    </row>
    <row r="145" spans="1:10" ht="12.75">
      <c r="A145" s="3">
        <v>40940</v>
      </c>
      <c r="C145" s="18">
        <v>818.25</v>
      </c>
      <c r="D145" s="18">
        <v>0</v>
      </c>
      <c r="E145" s="47">
        <v>0</v>
      </c>
      <c r="F145" s="71">
        <v>320</v>
      </c>
      <c r="G145" s="17">
        <v>3299.333333333333</v>
      </c>
      <c r="H145" s="72">
        <v>141.72</v>
      </c>
      <c r="I145" s="71">
        <v>29</v>
      </c>
      <c r="J145" s="9">
        <f aca="true" t="shared" si="5" ref="J145:J155">$N$18+C145*$N$19+D145*$N$20+E145*$N$21</f>
        <v>7191832.269300879</v>
      </c>
    </row>
    <row r="146" spans="1:10" ht="12.75">
      <c r="A146" s="3">
        <v>40969</v>
      </c>
      <c r="C146" s="18">
        <v>695.6</v>
      </c>
      <c r="D146" s="18">
        <v>0</v>
      </c>
      <c r="E146" s="47">
        <v>1</v>
      </c>
      <c r="F146" s="71">
        <v>352</v>
      </c>
      <c r="G146" s="17">
        <v>3299.5</v>
      </c>
      <c r="H146" s="72">
        <v>142.01</v>
      </c>
      <c r="I146" s="71">
        <v>31</v>
      </c>
      <c r="J146" s="9">
        <f t="shared" si="5"/>
        <v>6371421.008332228</v>
      </c>
    </row>
    <row r="147" spans="1:10" ht="12.75">
      <c r="A147" s="3">
        <v>41000</v>
      </c>
      <c r="C147" s="18">
        <v>411.81</v>
      </c>
      <c r="D147" s="18">
        <v>0.07</v>
      </c>
      <c r="E147" s="47">
        <v>1</v>
      </c>
      <c r="F147" s="71">
        <v>320</v>
      </c>
      <c r="G147" s="17">
        <v>3299.666666666666</v>
      </c>
      <c r="H147" s="72">
        <v>142.3</v>
      </c>
      <c r="I147" s="71">
        <v>30</v>
      </c>
      <c r="J147" s="9">
        <f t="shared" si="5"/>
        <v>5280795.912335804</v>
      </c>
    </row>
    <row r="148" spans="1:10" ht="12.75">
      <c r="A148" s="3">
        <v>41030</v>
      </c>
      <c r="C148" s="18">
        <v>218.48</v>
      </c>
      <c r="D148" s="18">
        <v>6.92</v>
      </c>
      <c r="E148" s="47">
        <v>1</v>
      </c>
      <c r="F148" s="71">
        <v>352</v>
      </c>
      <c r="G148" s="17">
        <v>3299.8333333333326</v>
      </c>
      <c r="H148" s="72">
        <v>142.589</v>
      </c>
      <c r="I148" s="71">
        <v>31</v>
      </c>
      <c r="J148" s="9">
        <f t="shared" si="5"/>
        <v>4596092.876241673</v>
      </c>
    </row>
    <row r="149" spans="1:10" ht="12.75">
      <c r="A149" s="3">
        <v>41061</v>
      </c>
      <c r="C149" s="18">
        <v>66.19</v>
      </c>
      <c r="D149" s="18">
        <v>36.26</v>
      </c>
      <c r="E149" s="47">
        <v>0</v>
      </c>
      <c r="F149" s="71">
        <v>336</v>
      </c>
      <c r="G149" s="17">
        <v>3300</v>
      </c>
      <c r="H149" s="72">
        <v>142.89</v>
      </c>
      <c r="I149" s="71">
        <v>30</v>
      </c>
      <c r="J149" s="9">
        <f t="shared" si="5"/>
        <v>4610675.550285819</v>
      </c>
    </row>
    <row r="150" spans="1:10" ht="12.75">
      <c r="A150" s="3">
        <v>41091</v>
      </c>
      <c r="C150" s="18">
        <v>22.74</v>
      </c>
      <c r="D150" s="18">
        <v>61.5</v>
      </c>
      <c r="E150" s="47">
        <v>0</v>
      </c>
      <c r="F150" s="71">
        <v>336</v>
      </c>
      <c r="G150" s="17">
        <v>3301.1666666666656</v>
      </c>
      <c r="H150" s="72">
        <v>143.18</v>
      </c>
      <c r="I150" s="71">
        <v>31</v>
      </c>
      <c r="J150" s="9">
        <f t="shared" si="5"/>
        <v>4659842.466988356</v>
      </c>
    </row>
    <row r="151" spans="1:10" ht="12.75">
      <c r="A151" s="3">
        <v>41122</v>
      </c>
      <c r="C151" s="18">
        <v>36.89</v>
      </c>
      <c r="D151" s="18">
        <v>50.77</v>
      </c>
      <c r="E151" s="47">
        <v>0</v>
      </c>
      <c r="F151" s="71">
        <v>352</v>
      </c>
      <c r="G151" s="17">
        <v>3300.333333333332</v>
      </c>
      <c r="H151" s="72">
        <v>143.48</v>
      </c>
      <c r="I151" s="71">
        <v>31</v>
      </c>
      <c r="J151" s="9">
        <f t="shared" si="5"/>
        <v>4622324.0492027635</v>
      </c>
    </row>
    <row r="152" spans="1:10" ht="12.75">
      <c r="A152" s="3">
        <v>41153</v>
      </c>
      <c r="C152" s="18">
        <v>130.52</v>
      </c>
      <c r="D152" s="18">
        <v>13.52</v>
      </c>
      <c r="E152" s="47">
        <v>1</v>
      </c>
      <c r="F152" s="71">
        <v>304</v>
      </c>
      <c r="G152" s="17">
        <v>3300.5</v>
      </c>
      <c r="H152" s="72">
        <v>143.77</v>
      </c>
      <c r="I152" s="71">
        <v>30</v>
      </c>
      <c r="J152" s="9">
        <f t="shared" si="5"/>
        <v>4314415.054487711</v>
      </c>
    </row>
    <row r="153" spans="1:10" ht="12.75">
      <c r="A153" s="3">
        <v>41183</v>
      </c>
      <c r="C153" s="18">
        <v>363.95</v>
      </c>
      <c r="D153" s="18">
        <v>1.08</v>
      </c>
      <c r="E153" s="47">
        <v>1</v>
      </c>
      <c r="F153" s="71">
        <v>352</v>
      </c>
      <c r="G153" s="17">
        <v>3300.666666666665</v>
      </c>
      <c r="H153" s="72">
        <v>144.07</v>
      </c>
      <c r="I153" s="71">
        <v>31</v>
      </c>
      <c r="J153" s="9">
        <f t="shared" si="5"/>
        <v>5105418.432374751</v>
      </c>
    </row>
    <row r="154" spans="1:10" ht="12.75">
      <c r="A154" s="3">
        <v>41214</v>
      </c>
      <c r="C154" s="18">
        <v>538.64</v>
      </c>
      <c r="D154" s="18">
        <v>0</v>
      </c>
      <c r="E154" s="47">
        <v>1</v>
      </c>
      <c r="F154" s="71">
        <v>352</v>
      </c>
      <c r="G154" s="17">
        <v>3300.8333333333317</v>
      </c>
      <c r="H154" s="72">
        <v>144.37</v>
      </c>
      <c r="I154" s="71">
        <v>30</v>
      </c>
      <c r="J154" s="9">
        <f t="shared" si="5"/>
        <v>5767880.903444173</v>
      </c>
    </row>
    <row r="155" spans="1:10" ht="12.75">
      <c r="A155" s="3">
        <v>41244</v>
      </c>
      <c r="C155" s="18">
        <v>794.54</v>
      </c>
      <c r="D155" s="18">
        <v>0</v>
      </c>
      <c r="E155" s="47">
        <v>0</v>
      </c>
      <c r="F155" s="71">
        <v>304</v>
      </c>
      <c r="G155" s="17">
        <v>3301</v>
      </c>
      <c r="H155" s="72">
        <v>144.66</v>
      </c>
      <c r="I155" s="71">
        <v>31</v>
      </c>
      <c r="J155" s="9">
        <f t="shared" si="5"/>
        <v>7100662.952998026</v>
      </c>
    </row>
    <row r="157" ht="12.75">
      <c r="J157" s="51">
        <f>SUM(J144:J156)</f>
        <v>67230665.38894556</v>
      </c>
    </row>
    <row r="158" ht="12.75">
      <c r="A158" t="s">
        <v>100</v>
      </c>
    </row>
    <row r="159" ht="12.75">
      <c r="A159" t="s">
        <v>99</v>
      </c>
    </row>
    <row r="161" spans="1:10" ht="12.75">
      <c r="A161" s="3">
        <v>40909</v>
      </c>
      <c r="C161" s="18">
        <v>924.71</v>
      </c>
      <c r="D161" s="18">
        <v>0</v>
      </c>
      <c r="E161" s="47">
        <v>0</v>
      </c>
      <c r="F161" s="71">
        <v>336</v>
      </c>
      <c r="G161" s="17">
        <v>3299.1666666666665</v>
      </c>
      <c r="H161" s="72">
        <v>141.42</v>
      </c>
      <c r="I161" s="71">
        <v>31</v>
      </c>
      <c r="J161" s="9">
        <f>$N$18+C161*$N$19+D161*$N$20+E161*$N$21</f>
        <v>7601190.5743874125</v>
      </c>
    </row>
    <row r="162" spans="1:10" ht="12.75">
      <c r="A162" s="3">
        <v>40940</v>
      </c>
      <c r="C162" s="18">
        <v>803.52</v>
      </c>
      <c r="D162" s="18">
        <v>0</v>
      </c>
      <c r="E162" s="47">
        <v>0</v>
      </c>
      <c r="F162" s="71">
        <v>320</v>
      </c>
      <c r="G162" s="17">
        <v>3299.333333333333</v>
      </c>
      <c r="H162" s="72">
        <v>141.72</v>
      </c>
      <c r="I162" s="71">
        <v>29</v>
      </c>
      <c r="J162" s="9">
        <f aca="true" t="shared" si="6" ref="J162:J172">$N$18+C162*$N$19+D162*$N$20+E162*$N$21</f>
        <v>7135192.706705307</v>
      </c>
    </row>
    <row r="163" spans="1:10" ht="12.75">
      <c r="A163" s="3">
        <v>40969</v>
      </c>
      <c r="C163" s="18">
        <v>670.35</v>
      </c>
      <c r="D163" s="18">
        <v>0</v>
      </c>
      <c r="E163" s="47">
        <v>1</v>
      </c>
      <c r="F163" s="71">
        <v>352</v>
      </c>
      <c r="G163" s="17">
        <v>3299.5</v>
      </c>
      <c r="H163" s="72">
        <v>142.01</v>
      </c>
      <c r="I163" s="71">
        <v>31</v>
      </c>
      <c r="J163" s="9">
        <f t="shared" si="6"/>
        <v>6274330.108431468</v>
      </c>
    </row>
    <row r="164" spans="1:10" ht="12.75">
      <c r="A164" s="3">
        <v>41000</v>
      </c>
      <c r="C164" s="18">
        <v>386.3</v>
      </c>
      <c r="D164" s="18">
        <v>0.05</v>
      </c>
      <c r="E164" s="47">
        <v>1</v>
      </c>
      <c r="F164" s="71">
        <v>320</v>
      </c>
      <c r="G164" s="17">
        <v>3299.666666666666</v>
      </c>
      <c r="H164" s="72">
        <v>142.3</v>
      </c>
      <c r="I164" s="71">
        <v>30</v>
      </c>
      <c r="J164" s="9">
        <f t="shared" si="6"/>
        <v>5182533.917353438</v>
      </c>
    </row>
    <row r="165" spans="1:10" ht="12.75">
      <c r="A165" s="3">
        <v>41030</v>
      </c>
      <c r="C165" s="18">
        <v>211.13</v>
      </c>
      <c r="D165" s="18">
        <v>9.18</v>
      </c>
      <c r="E165" s="47">
        <v>1</v>
      </c>
      <c r="F165" s="71">
        <v>352</v>
      </c>
      <c r="G165" s="17">
        <v>3299.8333333333326</v>
      </c>
      <c r="H165" s="72">
        <v>142.589</v>
      </c>
      <c r="I165" s="71">
        <v>31</v>
      </c>
      <c r="J165" s="9">
        <f t="shared" si="6"/>
        <v>4587193.006468715</v>
      </c>
    </row>
    <row r="166" spans="1:10" ht="12.75">
      <c r="A166" s="3">
        <v>41061</v>
      </c>
      <c r="C166" s="18">
        <v>68.48</v>
      </c>
      <c r="D166" s="18">
        <v>34.67</v>
      </c>
      <c r="E166" s="47">
        <v>0</v>
      </c>
      <c r="F166" s="71">
        <v>336</v>
      </c>
      <c r="G166" s="17">
        <v>3300</v>
      </c>
      <c r="H166" s="72">
        <v>142.89</v>
      </c>
      <c r="I166" s="71">
        <v>30</v>
      </c>
      <c r="J166" s="9">
        <f t="shared" si="6"/>
        <v>4605858.919485259</v>
      </c>
    </row>
    <row r="167" spans="1:10" ht="12.75">
      <c r="A167" s="3">
        <v>41091</v>
      </c>
      <c r="C167" s="18">
        <v>19.29</v>
      </c>
      <c r="D167" s="18">
        <v>63.73</v>
      </c>
      <c r="E167" s="47">
        <v>0</v>
      </c>
      <c r="F167" s="71">
        <v>336</v>
      </c>
      <c r="G167" s="17">
        <v>3301.1666666666656</v>
      </c>
      <c r="H167" s="72">
        <v>143.18</v>
      </c>
      <c r="I167" s="71">
        <v>31</v>
      </c>
      <c r="J167" s="9">
        <f t="shared" si="6"/>
        <v>4665681.7946157325</v>
      </c>
    </row>
    <row r="168" spans="1:10" ht="12.75">
      <c r="A168" s="3">
        <v>41122</v>
      </c>
      <c r="C168" s="18">
        <v>35.81</v>
      </c>
      <c r="D168" s="18">
        <v>48.58</v>
      </c>
      <c r="E168" s="47">
        <v>0</v>
      </c>
      <c r="F168" s="71">
        <v>352</v>
      </c>
      <c r="G168" s="17">
        <v>3300.333333333332</v>
      </c>
      <c r="H168" s="72">
        <v>143.48</v>
      </c>
      <c r="I168" s="71">
        <v>31</v>
      </c>
      <c r="J168" s="9">
        <f t="shared" si="6"/>
        <v>4599408.731758443</v>
      </c>
    </row>
    <row r="169" spans="1:10" ht="12.75">
      <c r="A169" s="3">
        <v>41153</v>
      </c>
      <c r="C169" s="18">
        <v>116.44</v>
      </c>
      <c r="D169" s="18">
        <v>13.89</v>
      </c>
      <c r="E169" s="47">
        <v>1</v>
      </c>
      <c r="F169" s="71">
        <v>304</v>
      </c>
      <c r="G169" s="17">
        <v>3300.5</v>
      </c>
      <c r="H169" s="72">
        <v>143.77</v>
      </c>
      <c r="I169" s="71">
        <v>30</v>
      </c>
      <c r="J169" s="9">
        <f t="shared" si="6"/>
        <v>4263444.78481916</v>
      </c>
    </row>
    <row r="170" spans="1:10" ht="12.75">
      <c r="A170" s="3">
        <v>41183</v>
      </c>
      <c r="C170" s="18">
        <v>356.82</v>
      </c>
      <c r="D170" s="18">
        <v>1.12</v>
      </c>
      <c r="E170" s="47">
        <v>1</v>
      </c>
      <c r="F170" s="71">
        <v>352</v>
      </c>
      <c r="G170" s="17">
        <v>3300.666666666665</v>
      </c>
      <c r="H170" s="72">
        <v>144.07</v>
      </c>
      <c r="I170" s="71">
        <v>31</v>
      </c>
      <c r="J170" s="9">
        <f t="shared" si="6"/>
        <v>5078344.963756144</v>
      </c>
    </row>
    <row r="171" spans="1:10" ht="12.75">
      <c r="A171" s="3">
        <v>41214</v>
      </c>
      <c r="C171" s="18">
        <v>515.47</v>
      </c>
      <c r="D171" s="18">
        <v>0</v>
      </c>
      <c r="E171" s="47">
        <v>1</v>
      </c>
      <c r="F171" s="71">
        <v>352</v>
      </c>
      <c r="G171" s="17">
        <v>3300.8333333333317</v>
      </c>
      <c r="H171" s="72">
        <v>144.37</v>
      </c>
      <c r="I171" s="71">
        <v>30</v>
      </c>
      <c r="J171" s="9">
        <f t="shared" si="6"/>
        <v>5678787.9865847435</v>
      </c>
    </row>
    <row r="172" spans="1:10" ht="12.75">
      <c r="A172" s="3">
        <v>41244</v>
      </c>
      <c r="C172" s="18">
        <v>839.44</v>
      </c>
      <c r="D172" s="18">
        <v>0</v>
      </c>
      <c r="E172" s="47">
        <v>0</v>
      </c>
      <c r="F172" s="71">
        <v>304</v>
      </c>
      <c r="G172" s="17">
        <v>3301</v>
      </c>
      <c r="H172" s="72">
        <v>144.66</v>
      </c>
      <c r="I172" s="71">
        <v>31</v>
      </c>
      <c r="J172" s="9">
        <f t="shared" si="6"/>
        <v>7273311.721534429</v>
      </c>
    </row>
    <row r="174" ht="12.75">
      <c r="J174" s="51">
        <f>SUM(J161:J173)</f>
        <v>66945279.21590025</v>
      </c>
    </row>
  </sheetData>
  <sheetProtection/>
  <printOptions/>
  <pageMargins left="0.38" right="0.75" top="0.73" bottom="0.74" header="0.5" footer="0.5"/>
  <pageSetup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4"/>
  <sheetViews>
    <sheetView zoomScalePageLayoutView="0" workbookViewId="0" topLeftCell="A31">
      <selection activeCell="G49" sqref="G49:G120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0.140625" style="80" customWidth="1"/>
    <col min="6" max="6" width="12.421875" style="80" customWidth="1"/>
    <col min="7" max="7" width="12.421875" style="24" customWidth="1"/>
    <col min="8" max="8" width="14.421875" style="35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1" spans="1:9" ht="15">
      <c r="A1" s="88" t="s">
        <v>94</v>
      </c>
      <c r="B1" s="87"/>
      <c r="E1" s="24"/>
      <c r="F1" s="24"/>
      <c r="G1" s="81" t="s">
        <v>89</v>
      </c>
      <c r="H1" s="82" t="s">
        <v>89</v>
      </c>
      <c r="I1" s="81" t="s">
        <v>89</v>
      </c>
    </row>
    <row r="2" spans="2:27" ht="42" customHeight="1">
      <c r="B2" s="7" t="s">
        <v>95</v>
      </c>
      <c r="C2" s="11" t="s">
        <v>3</v>
      </c>
      <c r="D2" s="11" t="s">
        <v>4</v>
      </c>
      <c r="E2" s="78" t="s">
        <v>5</v>
      </c>
      <c r="F2" s="78" t="s">
        <v>21</v>
      </c>
      <c r="G2" s="78" t="s">
        <v>70</v>
      </c>
      <c r="H2" s="33" t="s">
        <v>7</v>
      </c>
      <c r="I2" s="11" t="s">
        <v>6</v>
      </c>
      <c r="J2" s="11" t="s">
        <v>96</v>
      </c>
      <c r="K2" s="11" t="s">
        <v>13</v>
      </c>
      <c r="L2" s="11" t="s">
        <v>14</v>
      </c>
      <c r="M2" t="s">
        <v>22</v>
      </c>
      <c r="Y2" s="8"/>
      <c r="Z2" s="8"/>
      <c r="AA2" s="8"/>
    </row>
    <row r="3" spans="1:12" ht="13.5" thickBot="1">
      <c r="A3" s="3">
        <v>37622</v>
      </c>
      <c r="B3" s="46">
        <v>4155980</v>
      </c>
      <c r="C3" s="69">
        <v>1017.5</v>
      </c>
      <c r="D3" s="69">
        <v>0</v>
      </c>
      <c r="E3" s="47">
        <v>31</v>
      </c>
      <c r="F3" s="47">
        <v>0</v>
      </c>
      <c r="G3" s="17">
        <v>2955</v>
      </c>
      <c r="H3" s="35">
        <v>125.66024937363977</v>
      </c>
      <c r="I3" s="9">
        <v>351.912</v>
      </c>
      <c r="J3" s="9">
        <f>$N$18+C3*$N$19+D3*$N$20+E3*$N$21+F3*$N$22</f>
        <v>4326696.57386421</v>
      </c>
      <c r="K3" s="9"/>
      <c r="L3" s="13"/>
    </row>
    <row r="4" spans="1:14" ht="12.75">
      <c r="A4" s="3">
        <v>37653</v>
      </c>
      <c r="B4" s="46">
        <v>4005706</v>
      </c>
      <c r="C4" s="69">
        <v>923</v>
      </c>
      <c r="D4" s="69">
        <v>0</v>
      </c>
      <c r="E4" s="47">
        <v>28</v>
      </c>
      <c r="F4" s="47">
        <v>0</v>
      </c>
      <c r="G4" s="17">
        <v>2855</v>
      </c>
      <c r="H4" s="35">
        <v>125.80592062045517</v>
      </c>
      <c r="I4" s="9">
        <v>319.872</v>
      </c>
      <c r="J4" s="9">
        <f aca="true" t="shared" si="0" ref="J4:J67">$N$18+C4*$N$19+D4*$N$20+E4*$N$21+F4*$N$22</f>
        <v>3907264.5627339166</v>
      </c>
      <c r="K4" s="9"/>
      <c r="L4" s="13"/>
      <c r="M4" s="59" t="s">
        <v>23</v>
      </c>
      <c r="N4" s="59"/>
    </row>
    <row r="5" spans="1:14" ht="12.75">
      <c r="A5" s="3">
        <v>37681</v>
      </c>
      <c r="B5" s="46">
        <v>3612280</v>
      </c>
      <c r="C5" s="69">
        <v>753.1</v>
      </c>
      <c r="D5" s="69">
        <v>0</v>
      </c>
      <c r="E5" s="47">
        <v>31</v>
      </c>
      <c r="F5" s="47">
        <v>1</v>
      </c>
      <c r="G5" s="17">
        <v>2870</v>
      </c>
      <c r="H5" s="35">
        <v>125.9517607362029</v>
      </c>
      <c r="I5" s="9">
        <v>336.288</v>
      </c>
      <c r="J5" s="9">
        <f t="shared" si="0"/>
        <v>3487750.781054495</v>
      </c>
      <c r="K5" s="9"/>
      <c r="L5" s="13"/>
      <c r="M5" s="36" t="s">
        <v>24</v>
      </c>
      <c r="N5" s="68">
        <v>0.9938276748176418</v>
      </c>
    </row>
    <row r="6" spans="1:14" ht="12.75">
      <c r="A6" s="3">
        <v>37712</v>
      </c>
      <c r="B6" s="46">
        <v>2776634</v>
      </c>
      <c r="C6" s="69">
        <v>525.7</v>
      </c>
      <c r="D6" s="69">
        <v>0</v>
      </c>
      <c r="E6" s="47">
        <v>30</v>
      </c>
      <c r="F6" s="47">
        <v>1</v>
      </c>
      <c r="G6" s="17">
        <v>2862</v>
      </c>
      <c r="H6" s="35">
        <v>126.09776991664374</v>
      </c>
      <c r="I6" s="9">
        <v>336.24</v>
      </c>
      <c r="J6" s="9">
        <f t="shared" si="0"/>
        <v>2847957.9930090895</v>
      </c>
      <c r="K6" s="9"/>
      <c r="L6" s="13"/>
      <c r="M6" s="36" t="s">
        <v>25</v>
      </c>
      <c r="N6" s="68">
        <v>0.9876934472334403</v>
      </c>
    </row>
    <row r="7" spans="1:14" ht="12.75">
      <c r="A7" s="3">
        <v>37742</v>
      </c>
      <c r="B7" s="46">
        <v>2170503</v>
      </c>
      <c r="C7" s="69">
        <v>223.3</v>
      </c>
      <c r="D7" s="69">
        <v>0</v>
      </c>
      <c r="E7" s="47">
        <v>31</v>
      </c>
      <c r="F7" s="47">
        <v>1</v>
      </c>
      <c r="G7" s="17">
        <v>2843</v>
      </c>
      <c r="H7" s="35">
        <v>126.2439483577654</v>
      </c>
      <c r="I7" s="9">
        <v>336.288</v>
      </c>
      <c r="J7" s="9">
        <f t="shared" si="0"/>
        <v>2135578.622091525</v>
      </c>
      <c r="K7" s="9"/>
      <c r="L7" s="13"/>
      <c r="M7" s="36" t="s">
        <v>26</v>
      </c>
      <c r="N7" s="68">
        <v>0.9871524998590862</v>
      </c>
    </row>
    <row r="8" spans="1:14" ht="12.75">
      <c r="A8" s="3">
        <v>37773</v>
      </c>
      <c r="B8" s="46">
        <v>1923779</v>
      </c>
      <c r="C8" s="69">
        <v>70.1</v>
      </c>
      <c r="D8" s="69">
        <v>30.5</v>
      </c>
      <c r="E8" s="47">
        <v>30</v>
      </c>
      <c r="F8" s="47">
        <v>0</v>
      </c>
      <c r="G8" s="17">
        <v>2848</v>
      </c>
      <c r="H8" s="35">
        <v>126.3902962557828</v>
      </c>
      <c r="I8" s="9">
        <v>336.24</v>
      </c>
      <c r="J8" s="9">
        <f t="shared" si="0"/>
        <v>1954017.3976240912</v>
      </c>
      <c r="K8" s="9"/>
      <c r="L8" s="13"/>
      <c r="M8" s="36" t="s">
        <v>27</v>
      </c>
      <c r="N8" s="68">
        <v>91351.34102982553</v>
      </c>
    </row>
    <row r="9" spans="1:14" ht="13.5" thickBot="1">
      <c r="A9" s="3">
        <v>37803</v>
      </c>
      <c r="B9" s="46">
        <v>1969820</v>
      </c>
      <c r="C9" s="69">
        <v>11.5</v>
      </c>
      <c r="D9" s="69">
        <v>37.9</v>
      </c>
      <c r="E9" s="47">
        <v>31</v>
      </c>
      <c r="F9" s="47">
        <v>0</v>
      </c>
      <c r="G9" s="17">
        <v>2837</v>
      </c>
      <c r="H9" s="35">
        <v>126.5368138071383</v>
      </c>
      <c r="I9" s="9">
        <v>351.912</v>
      </c>
      <c r="J9" s="9">
        <f t="shared" si="0"/>
        <v>1889279.541731826</v>
      </c>
      <c r="K9" s="9"/>
      <c r="L9" s="13"/>
      <c r="M9" s="57" t="s">
        <v>28</v>
      </c>
      <c r="N9" s="57">
        <v>96</v>
      </c>
    </row>
    <row r="10" spans="1:12" ht="12.75">
      <c r="A10" s="3">
        <v>37834</v>
      </c>
      <c r="B10" s="46">
        <v>1932454</v>
      </c>
      <c r="C10" s="69">
        <v>31.9</v>
      </c>
      <c r="D10" s="69">
        <v>57.8</v>
      </c>
      <c r="E10" s="47">
        <v>31</v>
      </c>
      <c r="F10" s="47">
        <v>0</v>
      </c>
      <c r="G10" s="17">
        <v>2859</v>
      </c>
      <c r="H10" s="35">
        <v>126.683501208502</v>
      </c>
      <c r="I10" s="9">
        <v>319.92</v>
      </c>
      <c r="J10" s="9">
        <f t="shared" si="0"/>
        <v>2009670.6798949165</v>
      </c>
      <c r="K10" s="9"/>
      <c r="L10" s="13"/>
    </row>
    <row r="11" spans="1:13" ht="13.5" thickBot="1">
      <c r="A11" s="3">
        <v>37865</v>
      </c>
      <c r="B11" s="46">
        <v>1941680</v>
      </c>
      <c r="C11" s="69">
        <v>127.3</v>
      </c>
      <c r="D11" s="69">
        <v>4.8</v>
      </c>
      <c r="E11" s="47">
        <v>30</v>
      </c>
      <c r="F11" s="47">
        <v>1</v>
      </c>
      <c r="G11" s="17">
        <v>2855</v>
      </c>
      <c r="H11" s="35">
        <v>126.83035865677196</v>
      </c>
      <c r="I11" s="9">
        <v>336.24</v>
      </c>
      <c r="J11" s="9">
        <f t="shared" si="0"/>
        <v>1847629.5822107366</v>
      </c>
      <c r="K11" s="9"/>
      <c r="L11" s="13"/>
      <c r="M11" t="s">
        <v>29</v>
      </c>
    </row>
    <row r="12" spans="1:18" ht="12.75">
      <c r="A12" s="3">
        <v>37895</v>
      </c>
      <c r="B12" s="46">
        <v>2427804</v>
      </c>
      <c r="C12" s="69">
        <v>380</v>
      </c>
      <c r="D12" s="69">
        <v>0</v>
      </c>
      <c r="E12" s="47">
        <v>31</v>
      </c>
      <c r="F12" s="47">
        <v>1</v>
      </c>
      <c r="G12" s="17">
        <v>2839</v>
      </c>
      <c r="H12" s="35">
        <v>126.97738634907456</v>
      </c>
      <c r="I12" s="9">
        <v>351.912</v>
      </c>
      <c r="J12" s="9">
        <f t="shared" si="0"/>
        <v>2535513.2715998245</v>
      </c>
      <c r="K12" s="9"/>
      <c r="L12" s="13"/>
      <c r="M12" s="58"/>
      <c r="N12" s="58" t="s">
        <v>33</v>
      </c>
      <c r="O12" s="58" t="s">
        <v>34</v>
      </c>
      <c r="P12" s="58" t="s">
        <v>35</v>
      </c>
      <c r="Q12" s="58" t="s">
        <v>36</v>
      </c>
      <c r="R12" s="58" t="s">
        <v>37</v>
      </c>
    </row>
    <row r="13" spans="1:18" ht="12.75">
      <c r="A13" s="3">
        <v>37926</v>
      </c>
      <c r="B13" s="46">
        <v>2927573</v>
      </c>
      <c r="C13" s="69">
        <v>535.3</v>
      </c>
      <c r="D13" s="69">
        <v>0</v>
      </c>
      <c r="E13" s="47">
        <v>30</v>
      </c>
      <c r="F13" s="47">
        <v>1</v>
      </c>
      <c r="G13" s="17">
        <v>2864</v>
      </c>
      <c r="H13" s="35">
        <v>127.12458448276465</v>
      </c>
      <c r="I13" s="9">
        <v>319.68</v>
      </c>
      <c r="J13" s="9">
        <f t="shared" si="0"/>
        <v>2872459.41378305</v>
      </c>
      <c r="K13" s="9"/>
      <c r="L13" s="13"/>
      <c r="M13" s="36" t="s">
        <v>30</v>
      </c>
      <c r="N13" s="36">
        <v>4</v>
      </c>
      <c r="O13" s="36">
        <v>60947655059121.695</v>
      </c>
      <c r="P13" s="36">
        <v>15236913764780.424</v>
      </c>
      <c r="Q13" s="36">
        <v>1825.8586584553616</v>
      </c>
      <c r="R13" s="36">
        <v>5.799606220647428E-86</v>
      </c>
    </row>
    <row r="14" spans="1:18" ht="12.75">
      <c r="A14" s="3">
        <v>37956</v>
      </c>
      <c r="B14" s="46">
        <v>3763397</v>
      </c>
      <c r="C14" s="69">
        <v>754.7</v>
      </c>
      <c r="D14" s="69">
        <v>0</v>
      </c>
      <c r="E14" s="47">
        <v>31</v>
      </c>
      <c r="F14" s="47">
        <v>0</v>
      </c>
      <c r="G14" s="17">
        <v>2851</v>
      </c>
      <c r="H14" s="35">
        <v>127.27195325542573</v>
      </c>
      <c r="I14" s="9">
        <v>336.288</v>
      </c>
      <c r="J14" s="9">
        <f t="shared" si="0"/>
        <v>3655970.1801770297</v>
      </c>
      <c r="K14" s="9"/>
      <c r="L14" s="13"/>
      <c r="M14" s="36" t="s">
        <v>31</v>
      </c>
      <c r="N14" s="36">
        <v>91</v>
      </c>
      <c r="O14" s="36">
        <v>759401143223.2212</v>
      </c>
      <c r="P14" s="36">
        <v>8345067507.947486</v>
      </c>
      <c r="Q14" s="36"/>
      <c r="R14" s="36"/>
    </row>
    <row r="15" spans="1:18" ht="13.5" thickBot="1">
      <c r="A15" s="3">
        <v>37987</v>
      </c>
      <c r="B15" s="46">
        <v>4590696</v>
      </c>
      <c r="C15" s="69">
        <v>1129.7</v>
      </c>
      <c r="D15" s="69">
        <v>0</v>
      </c>
      <c r="E15" s="79">
        <v>31</v>
      </c>
      <c r="F15" s="79">
        <v>0</v>
      </c>
      <c r="G15" s="17">
        <v>2854</v>
      </c>
      <c r="H15" s="72">
        <v>127.53411264087498</v>
      </c>
      <c r="I15" s="71">
        <v>336.288</v>
      </c>
      <c r="J15" s="9">
        <f t="shared" si="0"/>
        <v>4613056.92915988</v>
      </c>
      <c r="K15" s="9"/>
      <c r="L15" s="13"/>
      <c r="M15" s="57" t="s">
        <v>11</v>
      </c>
      <c r="N15" s="57">
        <v>95</v>
      </c>
      <c r="O15" s="57">
        <v>61707056202344.914</v>
      </c>
      <c r="P15" s="57"/>
      <c r="Q15" s="57"/>
      <c r="R15" s="57"/>
    </row>
    <row r="16" spans="1:12" ht="13.5" thickBot="1">
      <c r="A16" s="3">
        <v>38018</v>
      </c>
      <c r="B16" s="46">
        <v>3725534</v>
      </c>
      <c r="C16" s="69">
        <v>780.2</v>
      </c>
      <c r="D16" s="69">
        <v>0</v>
      </c>
      <c r="E16" s="79">
        <v>29</v>
      </c>
      <c r="F16" s="79">
        <v>0</v>
      </c>
      <c r="G16" s="17">
        <v>2861</v>
      </c>
      <c r="H16" s="72">
        <v>127.79681203173486</v>
      </c>
      <c r="I16" s="71">
        <v>320.16</v>
      </c>
      <c r="J16" s="9">
        <f t="shared" si="0"/>
        <v>3602221.312183453</v>
      </c>
      <c r="K16" s="9"/>
      <c r="L16" s="13"/>
    </row>
    <row r="17" spans="1:21" ht="12.75">
      <c r="A17" s="3">
        <v>38047</v>
      </c>
      <c r="B17" s="46">
        <v>3372758</v>
      </c>
      <c r="C17" s="69">
        <v>662.7</v>
      </c>
      <c r="D17" s="69">
        <v>0</v>
      </c>
      <c r="E17" s="79">
        <v>31</v>
      </c>
      <c r="F17" s="79">
        <v>1</v>
      </c>
      <c r="G17" s="17">
        <v>2851</v>
      </c>
      <c r="H17" s="72">
        <v>128.06005254032812</v>
      </c>
      <c r="I17" s="71">
        <v>368.28</v>
      </c>
      <c r="J17" s="9">
        <f t="shared" si="0"/>
        <v>3257029.068766363</v>
      </c>
      <c r="K17" s="9"/>
      <c r="L17" s="13"/>
      <c r="M17" s="58"/>
      <c r="N17" s="58" t="s">
        <v>38</v>
      </c>
      <c r="O17" s="58" t="s">
        <v>27</v>
      </c>
      <c r="P17" s="58" t="s">
        <v>39</v>
      </c>
      <c r="Q17" s="58" t="s">
        <v>40</v>
      </c>
      <c r="R17" s="58" t="s">
        <v>41</v>
      </c>
      <c r="S17" s="58" t="s">
        <v>42</v>
      </c>
      <c r="T17" s="58" t="s">
        <v>43</v>
      </c>
      <c r="U17" s="58" t="s">
        <v>44</v>
      </c>
    </row>
    <row r="18" spans="1:21" ht="12.75">
      <c r="A18" s="3">
        <v>38078</v>
      </c>
      <c r="B18" s="46">
        <v>2749009</v>
      </c>
      <c r="C18" s="69">
        <v>460</v>
      </c>
      <c r="D18" s="69">
        <v>0</v>
      </c>
      <c r="E18" s="79">
        <v>30</v>
      </c>
      <c r="F18" s="79">
        <v>1</v>
      </c>
      <c r="G18" s="17">
        <v>2851</v>
      </c>
      <c r="H18" s="72">
        <v>128.32383528126866</v>
      </c>
      <c r="I18" s="71">
        <v>336.24</v>
      </c>
      <c r="J18" s="9">
        <f t="shared" si="0"/>
        <v>2680276.394587294</v>
      </c>
      <c r="K18" s="9"/>
      <c r="L18" s="13"/>
      <c r="M18" s="36" t="s">
        <v>32</v>
      </c>
      <c r="N18" s="36">
        <v>-112075.69237095393</v>
      </c>
      <c r="O18" s="36">
        <v>360199.38288914424</v>
      </c>
      <c r="P18" s="36">
        <v>-0.3111490404897406</v>
      </c>
      <c r="Q18" s="36">
        <v>0.756398970597793</v>
      </c>
      <c r="R18" s="36">
        <v>-827567.50160337</v>
      </c>
      <c r="S18" s="36">
        <v>603416.116861462</v>
      </c>
      <c r="T18" s="36">
        <v>-827567.50160337</v>
      </c>
      <c r="U18" s="36">
        <v>603416.116861462</v>
      </c>
    </row>
    <row r="19" spans="1:21" ht="12.75">
      <c r="A19" s="3">
        <v>38108</v>
      </c>
      <c r="B19" s="46">
        <v>2237204</v>
      </c>
      <c r="C19" s="69">
        <v>258.3</v>
      </c>
      <c r="D19" s="69">
        <v>1</v>
      </c>
      <c r="E19" s="79">
        <v>31</v>
      </c>
      <c r="F19" s="79">
        <v>1</v>
      </c>
      <c r="G19" s="17">
        <v>2846</v>
      </c>
      <c r="H19" s="72">
        <v>128.58816137146633</v>
      </c>
      <c r="I19" s="71">
        <v>319.92</v>
      </c>
      <c r="J19" s="9">
        <f t="shared" si="0"/>
        <v>2228340.166855138</v>
      </c>
      <c r="K19" s="9"/>
      <c r="L19" s="13"/>
      <c r="M19" s="36" t="str">
        <f>C2</f>
        <v>Heating Degree Days</v>
      </c>
      <c r="N19" s="36">
        <v>2552.231330620933</v>
      </c>
      <c r="O19" s="36">
        <v>41.01645091759865</v>
      </c>
      <c r="P19" s="36">
        <v>62.22457754202875</v>
      </c>
      <c r="Q19" s="36">
        <v>2.2540185690006876E-76</v>
      </c>
      <c r="R19" s="36">
        <v>2470.7571913818965</v>
      </c>
      <c r="S19" s="36">
        <v>2633.7054698599695</v>
      </c>
      <c r="T19" s="36">
        <v>2470.7571913818965</v>
      </c>
      <c r="U19" s="36">
        <v>2633.7054698599695</v>
      </c>
    </row>
    <row r="20" spans="1:21" ht="12.75">
      <c r="A20" s="3">
        <v>38139</v>
      </c>
      <c r="B20" s="46">
        <v>1869665</v>
      </c>
      <c r="C20" s="69">
        <v>105.1</v>
      </c>
      <c r="D20" s="69">
        <v>7.8</v>
      </c>
      <c r="E20" s="79">
        <v>30</v>
      </c>
      <c r="F20" s="79">
        <v>0</v>
      </c>
      <c r="G20" s="17">
        <v>2851</v>
      </c>
      <c r="H20" s="72">
        <v>128.85303193013166</v>
      </c>
      <c r="I20" s="71">
        <v>352.08</v>
      </c>
      <c r="J20" s="9">
        <f t="shared" si="0"/>
        <v>1965406.2202401347</v>
      </c>
      <c r="K20" s="9"/>
      <c r="L20" s="13"/>
      <c r="M20" s="36" t="str">
        <f>D2</f>
        <v>Cooling Degree Days</v>
      </c>
      <c r="N20" s="36">
        <v>3433.4481918805773</v>
      </c>
      <c r="O20" s="36">
        <v>678.9270814873215</v>
      </c>
      <c r="P20" s="36">
        <v>5.057167824796358</v>
      </c>
      <c r="Q20" s="36">
        <v>2.193692517695415E-06</v>
      </c>
      <c r="R20" s="36">
        <v>2084.842977807381</v>
      </c>
      <c r="S20" s="36">
        <v>4782.053405953773</v>
      </c>
      <c r="T20" s="36">
        <v>2084.842977807381</v>
      </c>
      <c r="U20" s="36">
        <v>4782.053405953773</v>
      </c>
    </row>
    <row r="21" spans="1:21" ht="12.75">
      <c r="A21" s="3">
        <v>38169</v>
      </c>
      <c r="B21" s="46">
        <v>1955359</v>
      </c>
      <c r="C21" s="69">
        <v>30.1</v>
      </c>
      <c r="D21" s="69">
        <v>39.3</v>
      </c>
      <c r="E21" s="79">
        <v>31</v>
      </c>
      <c r="F21" s="79">
        <v>0</v>
      </c>
      <c r="G21" s="17">
        <v>2844</v>
      </c>
      <c r="H21" s="72">
        <v>129.11844807878055</v>
      </c>
      <c r="I21" s="71">
        <v>336.288</v>
      </c>
      <c r="J21" s="9">
        <f t="shared" si="0"/>
        <v>1941557.8719500082</v>
      </c>
      <c r="K21" s="9"/>
      <c r="L21" s="13"/>
      <c r="M21" s="36" t="str">
        <f>E2</f>
        <v>Number of Days in Month</v>
      </c>
      <c r="N21" s="36">
        <v>59415.38346220533</v>
      </c>
      <c r="O21" s="36">
        <v>11919.353760154361</v>
      </c>
      <c r="P21" s="36">
        <v>4.984782284155973</v>
      </c>
      <c r="Q21" s="36">
        <v>2.9462219243392195E-06</v>
      </c>
      <c r="R21" s="36">
        <v>35739.05198620527</v>
      </c>
      <c r="S21" s="36">
        <v>83091.7149382054</v>
      </c>
      <c r="T21" s="36">
        <v>35739.05198620527</v>
      </c>
      <c r="U21" s="36">
        <v>83091.7149382054</v>
      </c>
    </row>
    <row r="22" spans="1:21" ht="13.5" thickBot="1">
      <c r="A22" s="3">
        <v>38200</v>
      </c>
      <c r="B22" s="46">
        <v>1928476</v>
      </c>
      <c r="C22" s="69">
        <v>82.3</v>
      </c>
      <c r="D22" s="69">
        <v>15</v>
      </c>
      <c r="E22" s="79">
        <v>31</v>
      </c>
      <c r="F22" s="79">
        <v>0</v>
      </c>
      <c r="G22" s="17">
        <v>2850</v>
      </c>
      <c r="H22" s="72">
        <v>129.38441094123903</v>
      </c>
      <c r="I22" s="71">
        <v>336.288</v>
      </c>
      <c r="J22" s="9">
        <f t="shared" si="0"/>
        <v>1991351.5563457229</v>
      </c>
      <c r="K22" s="9"/>
      <c r="L22" s="13"/>
      <c r="M22" s="57" t="str">
        <f>F2</f>
        <v>Spring Fall Flag</v>
      </c>
      <c r="N22" s="57">
        <v>-164135.82899354128</v>
      </c>
      <c r="O22" s="57">
        <v>23311.827922434346</v>
      </c>
      <c r="P22" s="57">
        <v>-7.04088197372046</v>
      </c>
      <c r="Q22" s="57">
        <v>3.5160983198478747E-10</v>
      </c>
      <c r="R22" s="57">
        <v>-210441.91037256073</v>
      </c>
      <c r="S22" s="57">
        <v>-117829.74761452182</v>
      </c>
      <c r="T22" s="57">
        <v>-210441.91037256073</v>
      </c>
      <c r="U22" s="57">
        <v>-117829.74761452182</v>
      </c>
    </row>
    <row r="23" spans="1:12" ht="12.75">
      <c r="A23" s="3">
        <v>38231</v>
      </c>
      <c r="B23" s="46">
        <v>1861860</v>
      </c>
      <c r="C23" s="69">
        <v>92.8</v>
      </c>
      <c r="D23" s="69">
        <v>19.5</v>
      </c>
      <c r="E23" s="79">
        <v>30</v>
      </c>
      <c r="F23" s="79">
        <v>1</v>
      </c>
      <c r="G23" s="17">
        <v>2843</v>
      </c>
      <c r="H23" s="72">
        <v>129.65092164364802</v>
      </c>
      <c r="I23" s="71">
        <v>336.24</v>
      </c>
      <c r="J23" s="9">
        <f t="shared" si="0"/>
        <v>1810049.2897249588</v>
      </c>
      <c r="K23" s="9"/>
      <c r="L23" s="13"/>
    </row>
    <row r="24" spans="1:12" ht="12.75">
      <c r="A24" s="3">
        <v>38261</v>
      </c>
      <c r="B24" s="46">
        <v>2319941</v>
      </c>
      <c r="C24" s="69">
        <v>325</v>
      </c>
      <c r="D24" s="69">
        <v>0</v>
      </c>
      <c r="E24" s="79">
        <v>31</v>
      </c>
      <c r="F24" s="79">
        <v>1</v>
      </c>
      <c r="G24" s="17">
        <v>2847</v>
      </c>
      <c r="H24" s="72">
        <v>129.91798131446814</v>
      </c>
      <c r="I24" s="71">
        <v>319.92</v>
      </c>
      <c r="J24" s="9">
        <f t="shared" si="0"/>
        <v>2395140.5484156734</v>
      </c>
      <c r="K24" s="9"/>
      <c r="L24" s="13"/>
    </row>
    <row r="25" spans="1:12" ht="12.75">
      <c r="A25" s="3">
        <v>38292</v>
      </c>
      <c r="B25" s="46">
        <v>2849069</v>
      </c>
      <c r="C25" s="69">
        <v>530</v>
      </c>
      <c r="D25" s="69">
        <v>0</v>
      </c>
      <c r="E25" s="79">
        <v>30</v>
      </c>
      <c r="F25" s="79">
        <v>1</v>
      </c>
      <c r="G25" s="17">
        <v>2845</v>
      </c>
      <c r="H25" s="72">
        <v>130.18559108448443</v>
      </c>
      <c r="I25" s="71">
        <v>352.08</v>
      </c>
      <c r="J25" s="9">
        <f t="shared" si="0"/>
        <v>2858932.5877307593</v>
      </c>
      <c r="K25" s="9"/>
      <c r="L25" s="13"/>
    </row>
    <row r="26" spans="1:12" ht="12.75">
      <c r="A26" s="3">
        <v>38322</v>
      </c>
      <c r="B26" s="46">
        <v>4065103</v>
      </c>
      <c r="C26" s="69">
        <v>895.5</v>
      </c>
      <c r="D26" s="69">
        <v>0</v>
      </c>
      <c r="E26" s="79">
        <v>31</v>
      </c>
      <c r="F26" s="79">
        <v>0</v>
      </c>
      <c r="G26" s="17">
        <v>2833</v>
      </c>
      <c r="H26" s="72">
        <v>130.45375208681136</v>
      </c>
      <c r="I26" s="71">
        <v>336.288</v>
      </c>
      <c r="J26" s="9">
        <f t="shared" si="0"/>
        <v>4015324.351528457</v>
      </c>
      <c r="K26" s="9"/>
      <c r="L26" s="13"/>
    </row>
    <row r="27" spans="1:12" ht="12.75">
      <c r="A27" s="3">
        <v>38353</v>
      </c>
      <c r="B27" s="46">
        <v>4384729</v>
      </c>
      <c r="C27" s="69">
        <v>1011.1</v>
      </c>
      <c r="D27" s="69">
        <v>0</v>
      </c>
      <c r="E27" s="79">
        <v>31</v>
      </c>
      <c r="F27" s="79">
        <v>0</v>
      </c>
      <c r="G27" s="17">
        <v>2860</v>
      </c>
      <c r="H27" s="72">
        <v>130.7437021568508</v>
      </c>
      <c r="I27" s="71">
        <v>319.92</v>
      </c>
      <c r="J27" s="9">
        <f t="shared" si="0"/>
        <v>4310362.293348237</v>
      </c>
      <c r="K27" s="9"/>
      <c r="L27" s="13"/>
    </row>
    <row r="28" spans="1:12" ht="12.75">
      <c r="A28" s="3">
        <v>38384</v>
      </c>
      <c r="B28" s="46">
        <v>3574679</v>
      </c>
      <c r="C28" s="69">
        <v>747</v>
      </c>
      <c r="D28" s="69">
        <v>0</v>
      </c>
      <c r="E28" s="79">
        <v>28</v>
      </c>
      <c r="F28" s="79">
        <v>0</v>
      </c>
      <c r="G28" s="17">
        <v>2875</v>
      </c>
      <c r="H28" s="72">
        <v>131.0342966778299</v>
      </c>
      <c r="I28" s="71">
        <v>319.872</v>
      </c>
      <c r="J28" s="9">
        <f t="shared" si="0"/>
        <v>3458071.848544632</v>
      </c>
      <c r="K28" s="9"/>
      <c r="L28" s="13"/>
    </row>
    <row r="29" spans="1:12" ht="12.75">
      <c r="A29" s="3">
        <v>38412</v>
      </c>
      <c r="B29" s="46">
        <v>3381119</v>
      </c>
      <c r="C29" s="69">
        <v>733.6</v>
      </c>
      <c r="D29" s="69">
        <v>0</v>
      </c>
      <c r="E29" s="79">
        <v>31</v>
      </c>
      <c r="F29" s="79">
        <v>1</v>
      </c>
      <c r="G29" s="17">
        <v>2826</v>
      </c>
      <c r="H29" s="72">
        <v>131.32553708212293</v>
      </c>
      <c r="I29" s="71">
        <v>351.912</v>
      </c>
      <c r="J29" s="9">
        <f t="shared" si="0"/>
        <v>3437982.2701073866</v>
      </c>
      <c r="K29" s="9"/>
      <c r="L29" s="13"/>
    </row>
    <row r="30" spans="1:12" ht="12.75">
      <c r="A30" s="3">
        <v>38443</v>
      </c>
      <c r="B30" s="46">
        <v>2552400</v>
      </c>
      <c r="C30" s="69">
        <v>371.5</v>
      </c>
      <c r="D30" s="69">
        <v>0</v>
      </c>
      <c r="E30" s="79">
        <v>30</v>
      </c>
      <c r="F30" s="79">
        <v>1</v>
      </c>
      <c r="G30" s="17">
        <v>2855</v>
      </c>
      <c r="H30" s="72">
        <v>131.61742480528775</v>
      </c>
      <c r="I30" s="71">
        <v>336.24</v>
      </c>
      <c r="J30" s="9">
        <f t="shared" si="0"/>
        <v>2454403.9218273414</v>
      </c>
      <c r="K30" s="9"/>
      <c r="L30" s="13"/>
    </row>
    <row r="31" spans="1:12" ht="12.75">
      <c r="A31" s="3">
        <v>38473</v>
      </c>
      <c r="B31" s="46">
        <v>2137502</v>
      </c>
      <c r="C31" s="69">
        <v>215.4</v>
      </c>
      <c r="D31" s="69">
        <v>0</v>
      </c>
      <c r="E31" s="79">
        <v>31</v>
      </c>
      <c r="F31" s="79">
        <v>1</v>
      </c>
      <c r="G31" s="17">
        <v>2868</v>
      </c>
      <c r="H31" s="72">
        <v>131.90996128607298</v>
      </c>
      <c r="I31" s="71">
        <v>336.288</v>
      </c>
      <c r="J31" s="9">
        <f t="shared" si="0"/>
        <v>2115415.9945796193</v>
      </c>
      <c r="K31" s="9"/>
      <c r="L31" s="13"/>
    </row>
    <row r="32" spans="1:12" ht="12.75">
      <c r="A32" s="3">
        <v>38504</v>
      </c>
      <c r="B32" s="46">
        <v>1960134</v>
      </c>
      <c r="C32" s="69">
        <v>26.3</v>
      </c>
      <c r="D32" s="69">
        <v>0</v>
      </c>
      <c r="E32" s="79">
        <v>30</v>
      </c>
      <c r="F32" s="79">
        <v>0</v>
      </c>
      <c r="G32" s="17">
        <v>2840</v>
      </c>
      <c r="H32" s="72">
        <v>132.203147966425</v>
      </c>
      <c r="I32" s="71">
        <v>352.08</v>
      </c>
      <c r="J32" s="9">
        <f t="shared" si="0"/>
        <v>1737509.4954905366</v>
      </c>
      <c r="K32" s="9"/>
      <c r="L32" s="13"/>
    </row>
    <row r="33" spans="1:12" ht="12.75">
      <c r="A33" s="3">
        <v>38534</v>
      </c>
      <c r="B33" s="46">
        <v>2103196</v>
      </c>
      <c r="C33" s="69">
        <v>14.4</v>
      </c>
      <c r="D33" s="69">
        <v>94.3</v>
      </c>
      <c r="E33" s="79">
        <v>31</v>
      </c>
      <c r="F33" s="79">
        <v>0</v>
      </c>
      <c r="G33" s="17">
        <v>2856</v>
      </c>
      <c r="H33" s="72">
        <v>132.49698629149512</v>
      </c>
      <c r="I33" s="71">
        <v>319.92</v>
      </c>
      <c r="J33" s="9">
        <f t="shared" si="0"/>
        <v>2090327.4906126913</v>
      </c>
      <c r="K33" s="9"/>
      <c r="L33" s="13"/>
    </row>
    <row r="34" spans="1:12" ht="12.75">
      <c r="A34" s="3">
        <v>38565</v>
      </c>
      <c r="B34" s="46">
        <v>1986683</v>
      </c>
      <c r="C34" s="69">
        <v>18.5</v>
      </c>
      <c r="D34" s="69">
        <v>58.9</v>
      </c>
      <c r="E34" s="79">
        <v>31</v>
      </c>
      <c r="F34" s="79">
        <v>0</v>
      </c>
      <c r="G34" s="17">
        <v>2862</v>
      </c>
      <c r="H34" s="72">
        <v>132.79147770964664</v>
      </c>
      <c r="I34" s="71">
        <v>351.912</v>
      </c>
      <c r="J34" s="9">
        <f t="shared" si="0"/>
        <v>1979247.5730756647</v>
      </c>
      <c r="K34" s="9"/>
      <c r="L34" s="13"/>
    </row>
    <row r="35" spans="1:12" ht="12.75">
      <c r="A35" s="3">
        <v>38596</v>
      </c>
      <c r="B35" s="46">
        <v>1850354</v>
      </c>
      <c r="C35" s="69">
        <v>85.2</v>
      </c>
      <c r="D35" s="69">
        <v>18.1</v>
      </c>
      <c r="E35" s="79">
        <v>30</v>
      </c>
      <c r="F35" s="79">
        <v>1</v>
      </c>
      <c r="G35" s="17">
        <v>2841</v>
      </c>
      <c r="H35" s="72">
        <v>133.0866236724621</v>
      </c>
      <c r="I35" s="71">
        <v>336.24</v>
      </c>
      <c r="J35" s="9">
        <f t="shared" si="0"/>
        <v>1785845.5041436069</v>
      </c>
      <c r="K35" s="9"/>
      <c r="L35" s="13"/>
    </row>
    <row r="36" spans="1:12" ht="12.75">
      <c r="A36" s="3">
        <v>38626</v>
      </c>
      <c r="B36" s="46">
        <v>2291845</v>
      </c>
      <c r="C36" s="69">
        <v>300</v>
      </c>
      <c r="D36" s="69">
        <v>7</v>
      </c>
      <c r="E36" s="79">
        <v>31</v>
      </c>
      <c r="F36" s="79">
        <v>1</v>
      </c>
      <c r="G36" s="17">
        <v>2832</v>
      </c>
      <c r="H36" s="72">
        <v>133.38242563475035</v>
      </c>
      <c r="I36" s="71">
        <v>319.92</v>
      </c>
      <c r="J36" s="9">
        <f t="shared" si="0"/>
        <v>2355368.902493314</v>
      </c>
      <c r="K36" s="9"/>
      <c r="L36" s="13"/>
    </row>
    <row r="37" spans="1:12" ht="12.75">
      <c r="A37" s="3">
        <v>38657</v>
      </c>
      <c r="B37" s="46">
        <v>2985214</v>
      </c>
      <c r="C37" s="69">
        <v>563.8</v>
      </c>
      <c r="D37" s="69">
        <v>0</v>
      </c>
      <c r="E37" s="79">
        <v>30</v>
      </c>
      <c r="F37" s="79">
        <v>1</v>
      </c>
      <c r="G37" s="17">
        <v>2837</v>
      </c>
      <c r="H37" s="72">
        <v>133.6788850545537</v>
      </c>
      <c r="I37" s="71">
        <v>352.08</v>
      </c>
      <c r="J37" s="9">
        <f t="shared" si="0"/>
        <v>2945198.006705747</v>
      </c>
      <c r="K37" s="9"/>
      <c r="L37" s="13"/>
    </row>
    <row r="38" spans="1:12" ht="12.75">
      <c r="A38" s="3">
        <v>38687</v>
      </c>
      <c r="B38" s="46">
        <v>3901912</v>
      </c>
      <c r="C38" s="69">
        <v>838.9</v>
      </c>
      <c r="D38" s="69">
        <v>0</v>
      </c>
      <c r="E38" s="79">
        <v>31</v>
      </c>
      <c r="F38" s="79">
        <v>0</v>
      </c>
      <c r="G38" s="17">
        <v>2827</v>
      </c>
      <c r="H38" s="72">
        <v>133.97600339315525</v>
      </c>
      <c r="I38" s="71">
        <v>319.92</v>
      </c>
      <c r="J38" s="9">
        <f t="shared" si="0"/>
        <v>3870868.058215312</v>
      </c>
      <c r="K38" s="9"/>
      <c r="L38" s="13"/>
    </row>
    <row r="39" spans="1:12" ht="12.75">
      <c r="A39" s="3">
        <v>38718</v>
      </c>
      <c r="B39" s="39">
        <v>3833980</v>
      </c>
      <c r="C39" s="69">
        <v>783.8</v>
      </c>
      <c r="D39" s="69">
        <v>0</v>
      </c>
      <c r="E39" s="79">
        <v>31</v>
      </c>
      <c r="F39" s="79">
        <v>0</v>
      </c>
      <c r="G39" s="17">
        <v>2833</v>
      </c>
      <c r="H39" s="72">
        <v>134.25197202423305</v>
      </c>
      <c r="I39" s="71">
        <v>336.288</v>
      </c>
      <c r="J39" s="9">
        <f t="shared" si="0"/>
        <v>3730240.1118980986</v>
      </c>
      <c r="K39" s="9"/>
      <c r="L39" s="13"/>
    </row>
    <row r="40" spans="1:12" ht="12.75">
      <c r="A40" s="3">
        <v>38749</v>
      </c>
      <c r="B40" s="39">
        <v>3507676</v>
      </c>
      <c r="C40" s="69">
        <v>821.6</v>
      </c>
      <c r="D40" s="69">
        <v>0</v>
      </c>
      <c r="E40" s="79">
        <v>28</v>
      </c>
      <c r="F40" s="79">
        <v>0</v>
      </c>
      <c r="G40" s="17">
        <v>2845</v>
      </c>
      <c r="H40" s="72">
        <v>134.5285091055065</v>
      </c>
      <c r="I40" s="71">
        <v>319.872</v>
      </c>
      <c r="J40" s="9">
        <f t="shared" si="0"/>
        <v>3648468.305808954</v>
      </c>
      <c r="K40" s="9"/>
      <c r="L40" s="13"/>
    </row>
    <row r="41" spans="1:12" ht="12.75">
      <c r="A41" s="3">
        <v>38777</v>
      </c>
      <c r="B41" s="39">
        <v>3307660</v>
      </c>
      <c r="C41" s="69">
        <v>644.4</v>
      </c>
      <c r="D41" s="69">
        <v>0</v>
      </c>
      <c r="E41" s="79">
        <v>31</v>
      </c>
      <c r="F41" s="79">
        <v>1</v>
      </c>
      <c r="G41" s="17">
        <v>2839</v>
      </c>
      <c r="H41" s="72">
        <v>134.80561580788986</v>
      </c>
      <c r="I41" s="71">
        <v>368.28</v>
      </c>
      <c r="J41" s="9">
        <f t="shared" si="0"/>
        <v>3210323.2354159993</v>
      </c>
      <c r="K41" s="9"/>
      <c r="L41" s="13"/>
    </row>
    <row r="42" spans="1:12" ht="12.75">
      <c r="A42" s="3">
        <v>38808</v>
      </c>
      <c r="B42" s="39">
        <v>2439960</v>
      </c>
      <c r="C42" s="69">
        <v>365.5</v>
      </c>
      <c r="D42" s="69">
        <v>0</v>
      </c>
      <c r="E42" s="79">
        <v>30</v>
      </c>
      <c r="F42" s="79">
        <v>1</v>
      </c>
      <c r="G42" s="17">
        <v>2850</v>
      </c>
      <c r="H42" s="72">
        <v>135.08329330470943</v>
      </c>
      <c r="I42" s="71">
        <v>303.84</v>
      </c>
      <c r="J42" s="9">
        <f t="shared" si="0"/>
        <v>2439090.533843616</v>
      </c>
      <c r="K42" s="9"/>
      <c r="L42" s="13"/>
    </row>
    <row r="43" spans="1:12" ht="12.75">
      <c r="A43" s="3">
        <v>38838</v>
      </c>
      <c r="B43" s="39">
        <v>2051320</v>
      </c>
      <c r="C43" s="69">
        <v>165.6</v>
      </c>
      <c r="D43" s="69">
        <v>13.6</v>
      </c>
      <c r="E43" s="79">
        <v>31</v>
      </c>
      <c r="F43" s="79">
        <v>1</v>
      </c>
      <c r="G43" s="17">
        <v>2860</v>
      </c>
      <c r="H43" s="72">
        <v>135.3615427717083</v>
      </c>
      <c r="I43" s="71">
        <v>351.912</v>
      </c>
      <c r="J43" s="9">
        <f t="shared" si="0"/>
        <v>2035009.7697242727</v>
      </c>
      <c r="K43" s="9"/>
      <c r="L43" s="13"/>
    </row>
    <row r="44" spans="1:12" ht="12.75">
      <c r="A44" s="3">
        <v>38869</v>
      </c>
      <c r="B44" s="39">
        <v>1937434</v>
      </c>
      <c r="C44" s="69">
        <v>50.6</v>
      </c>
      <c r="D44" s="69">
        <v>29.9</v>
      </c>
      <c r="E44" s="79">
        <v>30</v>
      </c>
      <c r="F44" s="79">
        <v>0</v>
      </c>
      <c r="G44" s="17">
        <v>2848</v>
      </c>
      <c r="H44" s="72">
        <v>135.64036538705133</v>
      </c>
      <c r="I44" s="71">
        <v>352.08</v>
      </c>
      <c r="J44" s="9">
        <f t="shared" si="0"/>
        <v>1902188.8177618545</v>
      </c>
      <c r="K44" s="9"/>
      <c r="L44" s="13"/>
    </row>
    <row r="45" spans="1:12" ht="12.75">
      <c r="A45" s="3">
        <v>38899</v>
      </c>
      <c r="B45" s="39">
        <v>2072024</v>
      </c>
      <c r="C45" s="69">
        <v>10.8</v>
      </c>
      <c r="D45" s="69">
        <v>84.2</v>
      </c>
      <c r="E45" s="79">
        <v>31</v>
      </c>
      <c r="F45" s="79">
        <v>0</v>
      </c>
      <c r="G45" s="17">
        <v>3009</v>
      </c>
      <c r="H45" s="72">
        <v>135.9197623313303</v>
      </c>
      <c r="I45" s="71">
        <v>319.92</v>
      </c>
      <c r="J45" s="9">
        <f t="shared" si="0"/>
        <v>2046461.6310844622</v>
      </c>
      <c r="K45" s="9"/>
      <c r="L45" s="13"/>
    </row>
    <row r="46" spans="1:12" ht="12.75">
      <c r="A46" s="3">
        <v>38930</v>
      </c>
      <c r="B46" s="39">
        <v>1919242</v>
      </c>
      <c r="C46" s="69">
        <v>44.8</v>
      </c>
      <c r="D46" s="69">
        <v>30.6</v>
      </c>
      <c r="E46" s="79">
        <v>31</v>
      </c>
      <c r="F46" s="79">
        <v>0</v>
      </c>
      <c r="G46" s="17">
        <v>2664</v>
      </c>
      <c r="H46" s="72">
        <v>136.1997347875688</v>
      </c>
      <c r="I46" s="71">
        <v>351.912</v>
      </c>
      <c r="J46" s="9">
        <f t="shared" si="0"/>
        <v>1949204.6732407748</v>
      </c>
      <c r="K46" s="9"/>
      <c r="L46" s="13"/>
    </row>
    <row r="47" spans="1:12" ht="12.75">
      <c r="A47" s="3">
        <v>38961</v>
      </c>
      <c r="B47" s="39">
        <v>1887662</v>
      </c>
      <c r="C47" s="69">
        <v>179.6</v>
      </c>
      <c r="D47" s="69">
        <v>1.2</v>
      </c>
      <c r="E47" s="79">
        <v>30</v>
      </c>
      <c r="F47" s="79">
        <v>1</v>
      </c>
      <c r="G47" s="17">
        <v>2844</v>
      </c>
      <c r="H47" s="72">
        <v>136.48028394122719</v>
      </c>
      <c r="I47" s="71">
        <v>319.68</v>
      </c>
      <c r="J47" s="9">
        <f t="shared" si="0"/>
        <v>1968750.8673114413</v>
      </c>
      <c r="K47" s="9"/>
      <c r="L47" s="13"/>
    </row>
    <row r="48" spans="1:12" ht="12.75">
      <c r="A48" s="3">
        <v>38991</v>
      </c>
      <c r="B48" s="39">
        <v>2472168</v>
      </c>
      <c r="C48" s="69">
        <v>399.5</v>
      </c>
      <c r="D48" s="69">
        <v>0</v>
      </c>
      <c r="E48" s="79">
        <v>31</v>
      </c>
      <c r="F48" s="79">
        <v>1</v>
      </c>
      <c r="G48" s="17">
        <v>2845</v>
      </c>
      <c r="H48" s="72">
        <v>136.76141098020776</v>
      </c>
      <c r="I48" s="71">
        <v>336.288</v>
      </c>
      <c r="J48" s="9">
        <f t="shared" si="0"/>
        <v>2585281.782546933</v>
      </c>
      <c r="K48" s="9"/>
      <c r="L48" s="13"/>
    </row>
    <row r="49" spans="1:12" ht="12.75">
      <c r="A49" s="3">
        <v>39022</v>
      </c>
      <c r="B49" s="39">
        <v>2988929</v>
      </c>
      <c r="C49" s="69">
        <v>513</v>
      </c>
      <c r="D49" s="69">
        <v>0</v>
      </c>
      <c r="E49" s="79">
        <v>30</v>
      </c>
      <c r="F49" s="79">
        <v>1</v>
      </c>
      <c r="G49" s="17">
        <v>2822</v>
      </c>
      <c r="H49" s="72">
        <v>137.04311709485967</v>
      </c>
      <c r="I49" s="71">
        <v>352.08</v>
      </c>
      <c r="J49" s="9">
        <f t="shared" si="0"/>
        <v>2815544.6551102037</v>
      </c>
      <c r="K49" s="9"/>
      <c r="L49" s="13"/>
    </row>
    <row r="50" spans="1:12" ht="12.75">
      <c r="A50" s="3">
        <v>39052</v>
      </c>
      <c r="B50" s="39">
        <v>3496151</v>
      </c>
      <c r="C50" s="69">
        <v>675.3</v>
      </c>
      <c r="D50" s="69">
        <v>0</v>
      </c>
      <c r="E50" s="79">
        <v>31</v>
      </c>
      <c r="F50" s="79">
        <v>0</v>
      </c>
      <c r="G50" s="17">
        <v>2824</v>
      </c>
      <c r="H50" s="72">
        <v>137.3254034779841</v>
      </c>
      <c r="I50" s="71">
        <v>304.296</v>
      </c>
      <c r="J50" s="9">
        <f t="shared" si="0"/>
        <v>3453323.012525727</v>
      </c>
      <c r="K50" s="9"/>
      <c r="L50" s="13"/>
    </row>
    <row r="51" spans="1:12" ht="12.75">
      <c r="A51" s="3">
        <v>39083</v>
      </c>
      <c r="B51" s="39">
        <v>3837250</v>
      </c>
      <c r="C51" s="69">
        <v>882.1</v>
      </c>
      <c r="D51" s="69">
        <v>0</v>
      </c>
      <c r="E51" s="79">
        <v>31</v>
      </c>
      <c r="F51" s="79">
        <v>0</v>
      </c>
      <c r="G51" s="17">
        <v>2833</v>
      </c>
      <c r="H51" s="72">
        <v>137.55</v>
      </c>
      <c r="I51" s="71">
        <v>351.912</v>
      </c>
      <c r="J51" s="9">
        <f t="shared" si="0"/>
        <v>3981124.4516981365</v>
      </c>
      <c r="K51" s="9"/>
      <c r="L51" s="13"/>
    </row>
    <row r="52" spans="1:12" ht="12.75">
      <c r="A52" s="3">
        <v>39114</v>
      </c>
      <c r="B52" s="39">
        <v>3717113</v>
      </c>
      <c r="C52" s="69">
        <v>906.6</v>
      </c>
      <c r="D52" s="69">
        <v>0</v>
      </c>
      <c r="E52" s="79">
        <v>28</v>
      </c>
      <c r="F52" s="79">
        <v>0</v>
      </c>
      <c r="G52" s="17">
        <v>2860</v>
      </c>
      <c r="H52" s="72">
        <v>137.78</v>
      </c>
      <c r="I52" s="71">
        <v>319.872</v>
      </c>
      <c r="J52" s="9">
        <f t="shared" si="0"/>
        <v>3865407.968911733</v>
      </c>
      <c r="K52" s="9"/>
      <c r="L52" s="13"/>
    </row>
    <row r="53" spans="1:12" ht="12.75">
      <c r="A53" s="3">
        <v>39142</v>
      </c>
      <c r="B53" s="39">
        <v>3376708</v>
      </c>
      <c r="C53" s="69">
        <v>689.1</v>
      </c>
      <c r="D53" s="69">
        <v>0</v>
      </c>
      <c r="E53" s="79">
        <v>31</v>
      </c>
      <c r="F53" s="79">
        <v>1</v>
      </c>
      <c r="G53" s="17">
        <v>2837</v>
      </c>
      <c r="H53" s="72">
        <v>138.01</v>
      </c>
      <c r="I53" s="71">
        <v>351.912</v>
      </c>
      <c r="J53" s="9">
        <f t="shared" si="0"/>
        <v>3324407.975894755</v>
      </c>
      <c r="K53" s="9"/>
      <c r="L53" s="13"/>
    </row>
    <row r="54" spans="1:12" ht="12.75">
      <c r="A54" s="3">
        <v>39173</v>
      </c>
      <c r="B54" s="39">
        <v>2543260</v>
      </c>
      <c r="C54" s="69">
        <v>428.3</v>
      </c>
      <c r="D54" s="69">
        <v>0</v>
      </c>
      <c r="E54" s="79">
        <v>30</v>
      </c>
      <c r="F54" s="79">
        <v>1</v>
      </c>
      <c r="G54" s="17">
        <v>2852</v>
      </c>
      <c r="H54" s="72">
        <v>138.23</v>
      </c>
      <c r="I54" s="71">
        <v>319.68</v>
      </c>
      <c r="J54" s="9">
        <f t="shared" si="0"/>
        <v>2599370.6614066106</v>
      </c>
      <c r="K54" s="9"/>
      <c r="L54" s="13"/>
    </row>
    <row r="55" spans="1:12" ht="12.75">
      <c r="A55" s="3">
        <v>39203</v>
      </c>
      <c r="B55" s="39">
        <v>2034769</v>
      </c>
      <c r="C55" s="69">
        <v>186.7</v>
      </c>
      <c r="D55" s="69">
        <v>14.2</v>
      </c>
      <c r="E55" s="79">
        <v>31</v>
      </c>
      <c r="F55" s="79">
        <v>1</v>
      </c>
      <c r="G55" s="17">
        <v>2836</v>
      </c>
      <c r="H55" s="72">
        <v>138.46</v>
      </c>
      <c r="I55" s="71">
        <v>351.912</v>
      </c>
      <c r="J55" s="9">
        <f t="shared" si="0"/>
        <v>2090921.9197155028</v>
      </c>
      <c r="K55" s="9"/>
      <c r="L55" s="13"/>
    </row>
    <row r="56" spans="1:12" ht="12.75">
      <c r="A56" s="3">
        <v>39234</v>
      </c>
      <c r="B56" s="39">
        <v>1887287</v>
      </c>
      <c r="C56" s="69">
        <v>62.5</v>
      </c>
      <c r="D56" s="69">
        <v>52.4</v>
      </c>
      <c r="E56" s="79">
        <v>30</v>
      </c>
      <c r="F56" s="79">
        <v>0</v>
      </c>
      <c r="G56" s="17">
        <v>2847</v>
      </c>
      <c r="H56" s="72">
        <v>138.69</v>
      </c>
      <c r="I56" s="71">
        <v>336.24</v>
      </c>
      <c r="J56" s="9">
        <f t="shared" si="0"/>
        <v>2009812.9549135566</v>
      </c>
      <c r="K56" s="9"/>
      <c r="L56" s="13"/>
    </row>
    <row r="57" spans="1:12" ht="12.75">
      <c r="A57" s="3">
        <v>39264</v>
      </c>
      <c r="B57" s="39">
        <v>2000679</v>
      </c>
      <c r="C57" s="69">
        <v>34.1</v>
      </c>
      <c r="D57" s="69">
        <v>46.5</v>
      </c>
      <c r="E57" s="79">
        <v>31</v>
      </c>
      <c r="F57" s="79">
        <v>0</v>
      </c>
      <c r="G57" s="17">
        <v>2831</v>
      </c>
      <c r="H57" s="72">
        <v>138.92</v>
      </c>
      <c r="I57" s="71">
        <v>336.288</v>
      </c>
      <c r="J57" s="9">
        <f t="shared" si="0"/>
        <v>1976487.624254032</v>
      </c>
      <c r="K57" s="9"/>
      <c r="L57" s="13"/>
    </row>
    <row r="58" spans="1:12" ht="12.75">
      <c r="A58" s="3">
        <v>39295</v>
      </c>
      <c r="B58" s="39">
        <v>1949163</v>
      </c>
      <c r="C58" s="69">
        <v>36</v>
      </c>
      <c r="D58" s="69">
        <v>49.6</v>
      </c>
      <c r="E58" s="79">
        <v>31</v>
      </c>
      <c r="F58" s="79">
        <v>0</v>
      </c>
      <c r="G58" s="17">
        <v>2837</v>
      </c>
      <c r="H58" s="72">
        <v>139.15</v>
      </c>
      <c r="I58" s="71">
        <v>351.912</v>
      </c>
      <c r="J58" s="9">
        <f t="shared" si="0"/>
        <v>1991980.5531770417</v>
      </c>
      <c r="K58" s="9"/>
      <c r="L58" s="13"/>
    </row>
    <row r="59" spans="1:12" ht="12.75">
      <c r="A59" s="3">
        <v>39326</v>
      </c>
      <c r="B59" s="39">
        <v>1846993</v>
      </c>
      <c r="C59" s="69">
        <v>118.8</v>
      </c>
      <c r="D59" s="69">
        <v>11.9</v>
      </c>
      <c r="E59" s="79">
        <v>30</v>
      </c>
      <c r="F59" s="79">
        <v>1</v>
      </c>
      <c r="G59" s="17">
        <v>2829</v>
      </c>
      <c r="H59" s="72">
        <v>139.38</v>
      </c>
      <c r="I59" s="71">
        <v>303.84</v>
      </c>
      <c r="J59" s="9">
        <f t="shared" si="0"/>
        <v>1850313.0980628107</v>
      </c>
      <c r="K59" s="9"/>
      <c r="L59" s="13"/>
    </row>
    <row r="60" spans="1:12" ht="12.75">
      <c r="A60" s="3">
        <v>39356</v>
      </c>
      <c r="B60" s="39">
        <v>2185795</v>
      </c>
      <c r="C60" s="69">
        <v>273.1</v>
      </c>
      <c r="D60" s="69">
        <v>0</v>
      </c>
      <c r="E60" s="79">
        <v>31</v>
      </c>
      <c r="F60" s="79">
        <v>1</v>
      </c>
      <c r="G60" s="17">
        <v>2845</v>
      </c>
      <c r="H60" s="72">
        <v>139.61</v>
      </c>
      <c r="I60" s="71">
        <v>351.912</v>
      </c>
      <c r="J60" s="9">
        <f t="shared" si="0"/>
        <v>2262679.742356447</v>
      </c>
      <c r="K60" s="9"/>
      <c r="L60" s="13"/>
    </row>
    <row r="61" spans="1:12" ht="12.75">
      <c r="A61" s="3">
        <v>39387</v>
      </c>
      <c r="B61" s="39">
        <v>3016931</v>
      </c>
      <c r="C61" s="69">
        <v>589.6</v>
      </c>
      <c r="D61" s="69">
        <v>0</v>
      </c>
      <c r="E61" s="79">
        <v>30</v>
      </c>
      <c r="F61" s="79">
        <v>1</v>
      </c>
      <c r="G61" s="17">
        <v>2820</v>
      </c>
      <c r="H61" s="72">
        <v>139.84</v>
      </c>
      <c r="I61" s="71">
        <v>352.08</v>
      </c>
      <c r="J61" s="9">
        <f t="shared" si="0"/>
        <v>3011045.575035767</v>
      </c>
      <c r="K61" s="9"/>
      <c r="L61" s="13"/>
    </row>
    <row r="62" spans="1:12" ht="12.75">
      <c r="A62" s="3">
        <v>39417</v>
      </c>
      <c r="B62" s="39">
        <v>3747897</v>
      </c>
      <c r="C62" s="69">
        <v>824.5</v>
      </c>
      <c r="D62" s="69">
        <v>0</v>
      </c>
      <c r="E62" s="79">
        <v>31</v>
      </c>
      <c r="F62" s="79">
        <v>0</v>
      </c>
      <c r="G62" s="17">
        <v>2845</v>
      </c>
      <c r="H62" s="72">
        <v>140.07</v>
      </c>
      <c r="I62" s="71">
        <v>304.296</v>
      </c>
      <c r="J62" s="9">
        <f t="shared" si="0"/>
        <v>3834115.9270543708</v>
      </c>
      <c r="K62" s="9"/>
      <c r="L62" s="13"/>
    </row>
    <row r="63" spans="1:10" ht="12.75">
      <c r="A63" s="3">
        <v>39448</v>
      </c>
      <c r="B63" s="47">
        <v>3850324</v>
      </c>
      <c r="C63" s="69">
        <v>829.7</v>
      </c>
      <c r="D63" s="69">
        <v>0</v>
      </c>
      <c r="E63" s="79">
        <v>31</v>
      </c>
      <c r="F63" s="79">
        <v>0</v>
      </c>
      <c r="G63" s="17">
        <v>2826</v>
      </c>
      <c r="H63" s="72">
        <v>139.97</v>
      </c>
      <c r="I63" s="71">
        <v>352</v>
      </c>
      <c r="J63" s="9">
        <f t="shared" si="0"/>
        <v>3847387.5299735996</v>
      </c>
    </row>
    <row r="64" spans="1:10" ht="12.75">
      <c r="A64" s="3">
        <v>39479</v>
      </c>
      <c r="B64" s="47">
        <v>3677275</v>
      </c>
      <c r="C64" s="69">
        <v>861.5</v>
      </c>
      <c r="D64" s="69">
        <v>0</v>
      </c>
      <c r="E64" s="79">
        <v>29</v>
      </c>
      <c r="F64" s="79">
        <v>0</v>
      </c>
      <c r="G64" s="17">
        <v>2866</v>
      </c>
      <c r="H64" s="72">
        <v>139.86</v>
      </c>
      <c r="I64" s="71">
        <v>320</v>
      </c>
      <c r="J64" s="9">
        <f t="shared" si="0"/>
        <v>3809717.7193629346</v>
      </c>
    </row>
    <row r="65" spans="1:10" ht="12.75">
      <c r="A65" s="3">
        <v>39508</v>
      </c>
      <c r="B65" s="47">
        <v>3542537</v>
      </c>
      <c r="C65" s="69">
        <v>777.8</v>
      </c>
      <c r="D65" s="69">
        <v>0</v>
      </c>
      <c r="E65" s="79">
        <v>31</v>
      </c>
      <c r="F65" s="79">
        <v>1</v>
      </c>
      <c r="G65" s="17">
        <v>2828</v>
      </c>
      <c r="H65" s="72">
        <v>139.76</v>
      </c>
      <c r="I65" s="71">
        <v>304</v>
      </c>
      <c r="J65" s="9">
        <f t="shared" si="0"/>
        <v>3550790.8949208315</v>
      </c>
    </row>
    <row r="66" spans="1:10" ht="12.75">
      <c r="A66" s="3">
        <v>39539</v>
      </c>
      <c r="B66" s="47">
        <v>2545725</v>
      </c>
      <c r="C66" s="69">
        <v>367.9</v>
      </c>
      <c r="D66" s="69">
        <v>0</v>
      </c>
      <c r="E66" s="79">
        <v>30</v>
      </c>
      <c r="F66" s="79">
        <v>1</v>
      </c>
      <c r="G66" s="17">
        <v>2848</v>
      </c>
      <c r="H66" s="72">
        <v>139.65</v>
      </c>
      <c r="I66" s="71">
        <v>352</v>
      </c>
      <c r="J66" s="9">
        <f t="shared" si="0"/>
        <v>2445215.889037106</v>
      </c>
    </row>
    <row r="67" spans="1:10" ht="12.75">
      <c r="A67" s="3">
        <v>39569</v>
      </c>
      <c r="B67" s="47">
        <v>2136428</v>
      </c>
      <c r="C67" s="69">
        <v>268.8</v>
      </c>
      <c r="D67" s="69">
        <v>0</v>
      </c>
      <c r="E67" s="79">
        <v>31</v>
      </c>
      <c r="F67" s="79">
        <v>1</v>
      </c>
      <c r="G67" s="17">
        <v>2840</v>
      </c>
      <c r="H67" s="72">
        <v>139.55</v>
      </c>
      <c r="I67" s="71">
        <v>336</v>
      </c>
      <c r="J67" s="9">
        <f t="shared" si="0"/>
        <v>2251705.1476347772</v>
      </c>
    </row>
    <row r="68" spans="1:10" ht="12.75">
      <c r="A68" s="3">
        <v>39600</v>
      </c>
      <c r="B68" s="47">
        <v>1872102</v>
      </c>
      <c r="C68" s="69">
        <v>49.4</v>
      </c>
      <c r="D68" s="69">
        <v>23.7</v>
      </c>
      <c r="E68" s="79">
        <v>30</v>
      </c>
      <c r="F68" s="79">
        <v>0</v>
      </c>
      <c r="G68" s="17">
        <v>2843</v>
      </c>
      <c r="H68" s="72">
        <v>139.44</v>
      </c>
      <c r="I68" s="71">
        <v>336</v>
      </c>
      <c r="J68" s="9">
        <f aca="true" t="shared" si="1" ref="J68:J122">$N$18+C68*$N$19+D68*$N$20+E68*$N$21+F68*$N$22</f>
        <v>1877838.7613754498</v>
      </c>
    </row>
    <row r="69" spans="1:10" ht="12.75">
      <c r="A69" s="3">
        <v>39630</v>
      </c>
      <c r="B69" s="47">
        <v>1956073</v>
      </c>
      <c r="C69" s="69">
        <v>16.5</v>
      </c>
      <c r="D69" s="69">
        <v>36.7</v>
      </c>
      <c r="E69" s="79">
        <v>31</v>
      </c>
      <c r="F69" s="79">
        <v>0</v>
      </c>
      <c r="G69" s="17">
        <v>2844</v>
      </c>
      <c r="H69" s="72">
        <v>139.34</v>
      </c>
      <c r="I69" s="71">
        <v>352</v>
      </c>
      <c r="J69" s="9">
        <f t="shared" si="1"/>
        <v>1897920.5605546741</v>
      </c>
    </row>
    <row r="70" spans="1:10" ht="12.75">
      <c r="A70" s="3">
        <v>39661</v>
      </c>
      <c r="B70" s="47">
        <v>1972543</v>
      </c>
      <c r="C70" s="69">
        <v>28.1</v>
      </c>
      <c r="D70" s="69">
        <v>19.9</v>
      </c>
      <c r="E70" s="79">
        <v>31</v>
      </c>
      <c r="F70" s="79">
        <v>0</v>
      </c>
      <c r="G70" s="17">
        <v>2848</v>
      </c>
      <c r="H70" s="72">
        <v>139.23</v>
      </c>
      <c r="I70" s="71">
        <v>320</v>
      </c>
      <c r="J70" s="9">
        <f t="shared" si="1"/>
        <v>1869844.514366283</v>
      </c>
    </row>
    <row r="71" spans="1:10" ht="12.75">
      <c r="A71" s="3">
        <v>39692</v>
      </c>
      <c r="B71" s="47">
        <v>1885057</v>
      </c>
      <c r="C71" s="69">
        <v>153.4</v>
      </c>
      <c r="D71" s="69">
        <v>7.6</v>
      </c>
      <c r="E71" s="79">
        <v>30</v>
      </c>
      <c r="F71" s="79">
        <v>1</v>
      </c>
      <c r="G71" s="17">
        <v>2839</v>
      </c>
      <c r="H71" s="72">
        <v>139.13</v>
      </c>
      <c r="I71" s="71">
        <v>336</v>
      </c>
      <c r="J71" s="9">
        <f t="shared" si="1"/>
        <v>1923856.4748772085</v>
      </c>
    </row>
    <row r="72" spans="1:10" ht="12.75">
      <c r="A72" s="3">
        <v>39722</v>
      </c>
      <c r="B72" s="47">
        <v>2306016</v>
      </c>
      <c r="C72" s="69">
        <v>380.2</v>
      </c>
      <c r="D72" s="69">
        <v>0.3</v>
      </c>
      <c r="E72" s="79">
        <v>31</v>
      </c>
      <c r="F72" s="79">
        <v>1</v>
      </c>
      <c r="G72" s="17">
        <v>2819</v>
      </c>
      <c r="H72" s="72">
        <v>139.02</v>
      </c>
      <c r="I72" s="71">
        <v>352</v>
      </c>
      <c r="J72" s="9">
        <f t="shared" si="1"/>
        <v>2537053.752323513</v>
      </c>
    </row>
    <row r="73" spans="1:10" ht="12.75">
      <c r="A73" s="3">
        <v>39753</v>
      </c>
      <c r="B73" s="47">
        <v>3047949</v>
      </c>
      <c r="C73" s="69">
        <v>573.2</v>
      </c>
      <c r="D73" s="69">
        <v>0</v>
      </c>
      <c r="E73" s="79">
        <v>30</v>
      </c>
      <c r="F73" s="79">
        <v>1</v>
      </c>
      <c r="G73" s="17">
        <v>2842</v>
      </c>
      <c r="H73" s="72">
        <v>138.92</v>
      </c>
      <c r="I73" s="71">
        <v>304</v>
      </c>
      <c r="J73" s="9">
        <f t="shared" si="1"/>
        <v>2969188.9812135836</v>
      </c>
    </row>
    <row r="74" spans="1:10" ht="12.75">
      <c r="A74" s="3">
        <v>39783</v>
      </c>
      <c r="B74" s="47">
        <v>4037170</v>
      </c>
      <c r="C74" s="69">
        <v>891.8</v>
      </c>
      <c r="D74" s="69">
        <v>0</v>
      </c>
      <c r="E74" s="79">
        <v>31</v>
      </c>
      <c r="F74" s="79">
        <v>0</v>
      </c>
      <c r="G74" s="17">
        <v>2838</v>
      </c>
      <c r="H74" s="72">
        <v>138.81</v>
      </c>
      <c r="I74" s="71">
        <v>336</v>
      </c>
      <c r="J74" s="9">
        <f t="shared" si="1"/>
        <v>4005881.095605159</v>
      </c>
    </row>
    <row r="75" spans="1:33" s="14" customFormat="1" ht="12.75">
      <c r="A75" s="3">
        <v>39814</v>
      </c>
      <c r="B75" s="47">
        <v>4486236</v>
      </c>
      <c r="C75" s="69">
        <v>1046.7</v>
      </c>
      <c r="D75" s="69">
        <v>0</v>
      </c>
      <c r="E75" s="79">
        <v>31</v>
      </c>
      <c r="F75" s="79">
        <v>0</v>
      </c>
      <c r="G75" s="17">
        <v>2833</v>
      </c>
      <c r="H75" s="72">
        <v>138.39</v>
      </c>
      <c r="I75" s="71">
        <v>336</v>
      </c>
      <c r="J75" s="9">
        <f t="shared" si="1"/>
        <v>4401221.728718342</v>
      </c>
      <c r="K75" s="51"/>
      <c r="L75" s="1"/>
      <c r="M75"/>
      <c r="N75"/>
      <c r="O75"/>
      <c r="P75"/>
      <c r="Q75"/>
      <c r="R75"/>
      <c r="S75"/>
      <c r="T75"/>
      <c r="U75"/>
      <c r="V75"/>
      <c r="W75"/>
      <c r="X75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11" ht="12.75">
      <c r="A76" s="3">
        <v>39845</v>
      </c>
      <c r="B76" s="47">
        <v>3670457</v>
      </c>
      <c r="C76" s="69">
        <v>790.3</v>
      </c>
      <c r="D76" s="69">
        <v>0</v>
      </c>
      <c r="E76" s="79">
        <v>28</v>
      </c>
      <c r="F76" s="79">
        <v>0</v>
      </c>
      <c r="G76" s="17">
        <v>2852</v>
      </c>
      <c r="H76" s="72">
        <v>137.97</v>
      </c>
      <c r="I76" s="71">
        <v>304</v>
      </c>
      <c r="J76" s="9">
        <f t="shared" si="1"/>
        <v>3568583.4651605184</v>
      </c>
      <c r="K76" s="51"/>
    </row>
    <row r="77" spans="1:11" ht="12.75">
      <c r="A77" s="3">
        <v>39873</v>
      </c>
      <c r="B77" s="47">
        <v>3461778</v>
      </c>
      <c r="C77" s="69">
        <v>696.1</v>
      </c>
      <c r="D77" s="69">
        <v>0</v>
      </c>
      <c r="E77" s="79">
        <v>31</v>
      </c>
      <c r="F77" s="79">
        <v>1</v>
      </c>
      <c r="G77" s="17">
        <v>2838</v>
      </c>
      <c r="H77" s="72">
        <v>137.54</v>
      </c>
      <c r="I77" s="71">
        <v>352</v>
      </c>
      <c r="J77" s="9">
        <f t="shared" si="1"/>
        <v>3342273.5952091017</v>
      </c>
      <c r="K77" s="51"/>
    </row>
    <row r="78" spans="1:11" ht="12.75">
      <c r="A78" s="3">
        <v>39904</v>
      </c>
      <c r="B78" s="47">
        <v>2698179</v>
      </c>
      <c r="C78" s="69">
        <v>434.2</v>
      </c>
      <c r="D78" s="69">
        <v>0</v>
      </c>
      <c r="E78" s="79">
        <v>30</v>
      </c>
      <c r="F78" s="79">
        <v>1</v>
      </c>
      <c r="G78" s="17">
        <v>2837</v>
      </c>
      <c r="H78" s="72">
        <v>137.13</v>
      </c>
      <c r="I78" s="71">
        <v>320</v>
      </c>
      <c r="J78" s="9">
        <f t="shared" si="1"/>
        <v>2614428.826257274</v>
      </c>
      <c r="K78" s="51"/>
    </row>
    <row r="79" spans="1:11" ht="12.75">
      <c r="A79" s="3">
        <v>39934</v>
      </c>
      <c r="B79" s="47">
        <v>2179055</v>
      </c>
      <c r="C79" s="69">
        <v>264.3</v>
      </c>
      <c r="D79" s="69">
        <v>0.6</v>
      </c>
      <c r="E79" s="79">
        <v>31</v>
      </c>
      <c r="F79" s="79">
        <v>1</v>
      </c>
      <c r="G79" s="17">
        <v>2834</v>
      </c>
      <c r="H79" s="72">
        <v>136.71</v>
      </c>
      <c r="I79" s="71">
        <v>320</v>
      </c>
      <c r="J79" s="9">
        <f t="shared" si="1"/>
        <v>2242280.175562111</v>
      </c>
      <c r="K79" s="51"/>
    </row>
    <row r="80" spans="1:11" ht="12.75">
      <c r="A80" s="3">
        <v>39965</v>
      </c>
      <c r="B80" s="47">
        <v>1957502</v>
      </c>
      <c r="C80" s="69">
        <v>93.2</v>
      </c>
      <c r="D80" s="69">
        <v>35.8</v>
      </c>
      <c r="E80" s="79">
        <v>30</v>
      </c>
      <c r="F80" s="79">
        <v>0</v>
      </c>
      <c r="G80" s="17">
        <v>2841</v>
      </c>
      <c r="H80" s="72">
        <v>136.29</v>
      </c>
      <c r="I80" s="71">
        <v>352</v>
      </c>
      <c r="J80" s="9">
        <f t="shared" si="1"/>
        <v>2031171.2167784018</v>
      </c>
      <c r="K80" s="51"/>
    </row>
    <row r="81" spans="1:11" ht="12.75">
      <c r="A81" s="3">
        <v>39995</v>
      </c>
      <c r="B81" s="47">
        <v>1935276</v>
      </c>
      <c r="C81" s="69">
        <v>47.8</v>
      </c>
      <c r="D81" s="69">
        <v>8.8</v>
      </c>
      <c r="E81" s="79">
        <v>31</v>
      </c>
      <c r="F81" s="79">
        <v>0</v>
      </c>
      <c r="G81" s="17">
        <v>2840</v>
      </c>
      <c r="H81" s="72">
        <v>135.87</v>
      </c>
      <c r="I81" s="71">
        <v>352</v>
      </c>
      <c r="J81" s="9">
        <f t="shared" si="1"/>
        <v>1882012.196649641</v>
      </c>
      <c r="K81" s="51"/>
    </row>
    <row r="82" spans="1:11" ht="12.75">
      <c r="A82" s="3">
        <v>40026</v>
      </c>
      <c r="B82" s="47">
        <v>1949598</v>
      </c>
      <c r="C82" s="69">
        <v>60.8</v>
      </c>
      <c r="D82" s="69">
        <v>34</v>
      </c>
      <c r="E82" s="79">
        <v>31</v>
      </c>
      <c r="F82" s="79">
        <v>0</v>
      </c>
      <c r="G82" s="17">
        <v>2850</v>
      </c>
      <c r="H82" s="72">
        <v>135.46</v>
      </c>
      <c r="I82" s="71">
        <v>320</v>
      </c>
      <c r="J82" s="9">
        <f t="shared" si="1"/>
        <v>2001714.0983831037</v>
      </c>
      <c r="K82" s="51"/>
    </row>
    <row r="83" spans="1:11" ht="12.75">
      <c r="A83" s="3">
        <v>40057</v>
      </c>
      <c r="B83" s="47">
        <v>1905891</v>
      </c>
      <c r="C83" s="69">
        <v>113.6</v>
      </c>
      <c r="D83" s="69">
        <v>6.8</v>
      </c>
      <c r="E83" s="79">
        <v>30</v>
      </c>
      <c r="F83" s="79">
        <v>1</v>
      </c>
      <c r="G83" s="17">
        <v>2863</v>
      </c>
      <c r="H83" s="72">
        <v>135.05</v>
      </c>
      <c r="I83" s="71">
        <v>336</v>
      </c>
      <c r="J83" s="9">
        <f t="shared" si="1"/>
        <v>1819530.909364991</v>
      </c>
      <c r="K83" s="51"/>
    </row>
    <row r="84" spans="1:11" ht="12.75">
      <c r="A84" s="3">
        <v>40087</v>
      </c>
      <c r="B84" s="47">
        <v>2507228</v>
      </c>
      <c r="C84" s="69">
        <v>418.2</v>
      </c>
      <c r="D84" s="69">
        <v>0</v>
      </c>
      <c r="E84" s="79">
        <v>31</v>
      </c>
      <c r="F84" s="79">
        <v>1</v>
      </c>
      <c r="G84" s="17">
        <v>2880</v>
      </c>
      <c r="H84" s="72">
        <v>134.63</v>
      </c>
      <c r="I84" s="71">
        <v>336</v>
      </c>
      <c r="J84" s="9">
        <f t="shared" si="1"/>
        <v>2633008.508429544</v>
      </c>
      <c r="K84" s="51"/>
    </row>
    <row r="85" spans="1:11" ht="12.75">
      <c r="A85" s="3">
        <v>40118</v>
      </c>
      <c r="B85" s="47">
        <v>2744924</v>
      </c>
      <c r="C85" s="69">
        <v>453.3</v>
      </c>
      <c r="D85" s="69">
        <v>0</v>
      </c>
      <c r="E85" s="79">
        <v>30</v>
      </c>
      <c r="F85" s="79">
        <v>1</v>
      </c>
      <c r="G85" s="17">
        <v>2928</v>
      </c>
      <c r="H85" s="72">
        <v>134.22</v>
      </c>
      <c r="I85" s="71">
        <v>320</v>
      </c>
      <c r="J85" s="9">
        <f t="shared" si="1"/>
        <v>2663176.444672134</v>
      </c>
      <c r="K85" s="51"/>
    </row>
    <row r="86" spans="1:33" s="32" customFormat="1" ht="12.75">
      <c r="A86" s="3">
        <v>40148</v>
      </c>
      <c r="B86" s="47">
        <v>3921576</v>
      </c>
      <c r="C86" s="69">
        <v>826.5</v>
      </c>
      <c r="D86" s="69">
        <v>0</v>
      </c>
      <c r="E86" s="79">
        <v>31</v>
      </c>
      <c r="F86" s="79">
        <v>0</v>
      </c>
      <c r="G86" s="17">
        <v>2901</v>
      </c>
      <c r="H86" s="72">
        <v>133.81</v>
      </c>
      <c r="I86" s="71">
        <v>352</v>
      </c>
      <c r="J86" s="9">
        <f t="shared" si="1"/>
        <v>3839220.3897156124</v>
      </c>
      <c r="K86" s="51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27" ht="12.75">
      <c r="A87" s="3">
        <v>40179</v>
      </c>
      <c r="B87" s="46">
        <v>3893333</v>
      </c>
      <c r="C87" s="69">
        <v>878.8</v>
      </c>
      <c r="D87" s="69">
        <v>0</v>
      </c>
      <c r="E87" s="79">
        <v>31</v>
      </c>
      <c r="F87" s="79">
        <v>0</v>
      </c>
      <c r="G87" s="17">
        <v>2847</v>
      </c>
      <c r="H87" s="72">
        <v>134.17</v>
      </c>
      <c r="I87" s="71">
        <v>320</v>
      </c>
      <c r="J87" s="9">
        <f t="shared" si="1"/>
        <v>3972702.0883070873</v>
      </c>
      <c r="K87" s="51"/>
      <c r="Y87" s="10"/>
      <c r="Z87" s="10"/>
      <c r="AA87" s="10"/>
    </row>
    <row r="88" spans="1:11" ht="12.75">
      <c r="A88" s="3">
        <v>40210</v>
      </c>
      <c r="B88" s="46">
        <v>3240673</v>
      </c>
      <c r="C88" s="69">
        <v>750.7</v>
      </c>
      <c r="D88" s="69">
        <v>0</v>
      </c>
      <c r="E88" s="79">
        <v>28</v>
      </c>
      <c r="F88" s="79">
        <v>0</v>
      </c>
      <c r="G88" s="17">
        <v>2847</v>
      </c>
      <c r="H88" s="72">
        <v>134.52</v>
      </c>
      <c r="I88" s="71">
        <v>304</v>
      </c>
      <c r="J88" s="9">
        <f t="shared" si="1"/>
        <v>3467515.10446793</v>
      </c>
      <c r="K88" s="51"/>
    </row>
    <row r="89" spans="1:11" ht="12.75">
      <c r="A89" s="3">
        <v>40238</v>
      </c>
      <c r="B89" s="46">
        <v>2859660</v>
      </c>
      <c r="C89" s="69">
        <v>502.9</v>
      </c>
      <c r="D89" s="69">
        <v>0</v>
      </c>
      <c r="E89" s="79">
        <v>31</v>
      </c>
      <c r="F89" s="79">
        <v>1</v>
      </c>
      <c r="G89" s="17">
        <v>2855</v>
      </c>
      <c r="H89" s="72">
        <v>134.87</v>
      </c>
      <c r="I89" s="71">
        <v>368</v>
      </c>
      <c r="J89" s="9">
        <f t="shared" si="1"/>
        <v>2849182.5021331375</v>
      </c>
      <c r="K89" s="51"/>
    </row>
    <row r="90" spans="1:11" ht="12.75">
      <c r="A90" s="3">
        <v>40269</v>
      </c>
      <c r="B90" s="46">
        <v>2293609</v>
      </c>
      <c r="C90" s="69">
        <v>324.1</v>
      </c>
      <c r="D90" s="69">
        <v>0</v>
      </c>
      <c r="E90" s="79">
        <v>30</v>
      </c>
      <c r="F90" s="79">
        <v>1</v>
      </c>
      <c r="G90" s="17">
        <v>2848</v>
      </c>
      <c r="H90" s="72">
        <v>135.23</v>
      </c>
      <c r="I90" s="71">
        <v>320</v>
      </c>
      <c r="J90" s="9">
        <f t="shared" si="1"/>
        <v>2333428.1567559093</v>
      </c>
      <c r="K90" s="51"/>
    </row>
    <row r="91" spans="1:11" ht="12.75">
      <c r="A91" s="3">
        <v>40299</v>
      </c>
      <c r="B91" s="46">
        <v>2077315</v>
      </c>
      <c r="C91" s="69">
        <v>138.9</v>
      </c>
      <c r="D91" s="69">
        <v>33.1</v>
      </c>
      <c r="E91" s="79">
        <v>31</v>
      </c>
      <c r="F91" s="79">
        <v>1</v>
      </c>
      <c r="G91" s="17">
        <v>2877</v>
      </c>
      <c r="H91" s="72">
        <v>135.58</v>
      </c>
      <c r="I91" s="71">
        <v>320</v>
      </c>
      <c r="J91" s="9">
        <f t="shared" si="1"/>
        <v>2033817.4329383653</v>
      </c>
      <c r="K91" s="51"/>
    </row>
    <row r="92" spans="1:11" ht="12.75">
      <c r="A92" s="3">
        <v>40330</v>
      </c>
      <c r="B92" s="46">
        <v>1915578</v>
      </c>
      <c r="C92" s="69">
        <v>70.5</v>
      </c>
      <c r="D92" s="69">
        <v>9.1</v>
      </c>
      <c r="E92" s="79">
        <v>30</v>
      </c>
      <c r="F92" s="79">
        <v>0</v>
      </c>
      <c r="G92" s="17">
        <v>2836</v>
      </c>
      <c r="H92" s="72">
        <v>135.94</v>
      </c>
      <c r="I92" s="71">
        <v>352</v>
      </c>
      <c r="J92" s="9">
        <f t="shared" si="1"/>
        <v>1881562.498850095</v>
      </c>
      <c r="K92" s="51"/>
    </row>
    <row r="93" spans="1:11" ht="12.75">
      <c r="A93" s="3">
        <v>40360</v>
      </c>
      <c r="B93" s="46">
        <v>2114501</v>
      </c>
      <c r="C93" s="69">
        <v>8.3</v>
      </c>
      <c r="D93" s="69">
        <v>100</v>
      </c>
      <c r="E93" s="79">
        <v>31</v>
      </c>
      <c r="F93" s="79">
        <v>0</v>
      </c>
      <c r="G93" s="17">
        <v>2865</v>
      </c>
      <c r="H93" s="72">
        <v>135.3</v>
      </c>
      <c r="I93" s="71">
        <v>336</v>
      </c>
      <c r="J93" s="9">
        <f t="shared" si="1"/>
        <v>2094329.5341896228</v>
      </c>
      <c r="K93" s="51"/>
    </row>
    <row r="94" spans="1:11" ht="12.75">
      <c r="A94" s="3">
        <v>40391</v>
      </c>
      <c r="B94" s="46">
        <v>2068760</v>
      </c>
      <c r="C94" s="69">
        <v>26.6</v>
      </c>
      <c r="D94" s="69">
        <v>70.7</v>
      </c>
      <c r="E94" s="79">
        <v>31</v>
      </c>
      <c r="F94" s="79">
        <v>0</v>
      </c>
      <c r="G94" s="17">
        <v>2831</v>
      </c>
      <c r="H94" s="72">
        <v>136.65</v>
      </c>
      <c r="I94" s="71">
        <v>336</v>
      </c>
      <c r="J94" s="9">
        <f t="shared" si="1"/>
        <v>2040435.3355178852</v>
      </c>
      <c r="K94" s="51"/>
    </row>
    <row r="95" spans="1:11" ht="12.75">
      <c r="A95" s="3">
        <v>40422</v>
      </c>
      <c r="B95" s="46">
        <v>1929158</v>
      </c>
      <c r="C95" s="69">
        <v>180.9</v>
      </c>
      <c r="D95" s="69">
        <v>8.5</v>
      </c>
      <c r="E95" s="79">
        <v>30</v>
      </c>
      <c r="F95" s="79">
        <v>1</v>
      </c>
      <c r="G95" s="17">
        <v>2834</v>
      </c>
      <c r="H95" s="72">
        <v>137.01</v>
      </c>
      <c r="I95" s="71">
        <v>336</v>
      </c>
      <c r="J95" s="9">
        <f t="shared" si="1"/>
        <v>1997132.9398419769</v>
      </c>
      <c r="K95" s="51"/>
    </row>
    <row r="96" spans="1:11" ht="12.75">
      <c r="A96" s="3">
        <v>40452</v>
      </c>
      <c r="B96" s="46">
        <v>2292619</v>
      </c>
      <c r="C96" s="69">
        <v>364.7</v>
      </c>
      <c r="D96" s="69">
        <v>0</v>
      </c>
      <c r="E96" s="79">
        <v>31</v>
      </c>
      <c r="F96" s="79">
        <v>1</v>
      </c>
      <c r="G96" s="17">
        <v>2868</v>
      </c>
      <c r="H96" s="72">
        <v>137.37</v>
      </c>
      <c r="I96" s="71">
        <v>320</v>
      </c>
      <c r="J96" s="9">
        <f t="shared" si="1"/>
        <v>2496464.1322413245</v>
      </c>
      <c r="K96" s="51"/>
    </row>
    <row r="97" spans="1:11" ht="12.75">
      <c r="A97" s="3">
        <v>40483</v>
      </c>
      <c r="B97" s="46">
        <v>2783052</v>
      </c>
      <c r="C97" s="69">
        <v>525.3</v>
      </c>
      <c r="D97" s="69">
        <v>0</v>
      </c>
      <c r="E97" s="79">
        <v>30</v>
      </c>
      <c r="F97" s="79">
        <v>1</v>
      </c>
      <c r="G97" s="17">
        <v>2848</v>
      </c>
      <c r="H97" s="72">
        <v>137.73</v>
      </c>
      <c r="I97" s="71">
        <v>336</v>
      </c>
      <c r="J97" s="9">
        <f t="shared" si="1"/>
        <v>2846937.100476841</v>
      </c>
      <c r="K97" s="51"/>
    </row>
    <row r="98" spans="1:11" ht="12.75">
      <c r="A98" s="3">
        <v>40513</v>
      </c>
      <c r="B98" s="46">
        <v>3757995</v>
      </c>
      <c r="C98" s="69">
        <v>804.9</v>
      </c>
      <c r="D98" s="69">
        <v>0</v>
      </c>
      <c r="E98" s="79">
        <v>31</v>
      </c>
      <c r="F98" s="79">
        <v>0</v>
      </c>
      <c r="G98" s="17">
        <v>2846</v>
      </c>
      <c r="H98" s="72">
        <v>138.1</v>
      </c>
      <c r="I98" s="71">
        <v>368</v>
      </c>
      <c r="J98" s="9">
        <f t="shared" si="1"/>
        <v>3784092.1929742005</v>
      </c>
      <c r="K98" s="51"/>
    </row>
    <row r="99" spans="1:11" ht="12.75">
      <c r="A99" s="3">
        <v>40544</v>
      </c>
      <c r="B99" s="70"/>
      <c r="C99" s="18">
        <f>(C3+C15+C27+C39+C51+C63+C75+C87)/8</f>
        <v>947.425</v>
      </c>
      <c r="D99" s="18">
        <f>(D3+D15+D27+D39+D51+D63+D75+D87)/8</f>
        <v>0</v>
      </c>
      <c r="E99" s="79">
        <v>31</v>
      </c>
      <c r="F99" s="79">
        <v>0</v>
      </c>
      <c r="G99" s="17">
        <f>($G$110-$G$98)/12+G98</f>
        <v>2846.25</v>
      </c>
      <c r="H99" s="72">
        <v>138.35</v>
      </c>
      <c r="I99" s="71">
        <v>336</v>
      </c>
      <c r="J99" s="9">
        <f t="shared" si="1"/>
        <v>4147848.9633709486</v>
      </c>
      <c r="K99" s="51"/>
    </row>
    <row r="100" spans="1:11" ht="12.75">
      <c r="A100" s="3">
        <v>40575</v>
      </c>
      <c r="C100" s="18">
        <f aca="true" t="shared" si="2" ref="C100:D110">(C4+C16+C28+C40+C52+C64+C76+C88)/8</f>
        <v>822.6125</v>
      </c>
      <c r="D100" s="18">
        <f t="shared" si="2"/>
        <v>0</v>
      </c>
      <c r="E100" s="79">
        <v>28</v>
      </c>
      <c r="F100" s="79">
        <v>0</v>
      </c>
      <c r="G100" s="17">
        <f aca="true" t="shared" si="3" ref="G100:G109">($G$110-$G$98)/12+G99</f>
        <v>2846.5</v>
      </c>
      <c r="H100" s="72">
        <v>138.6</v>
      </c>
      <c r="I100" s="71">
        <v>304</v>
      </c>
      <c r="J100" s="9">
        <f t="shared" si="1"/>
        <v>3651052.4400312076</v>
      </c>
      <c r="K100" s="51"/>
    </row>
    <row r="101" spans="1:11" ht="12.75">
      <c r="A101" s="3">
        <v>40603</v>
      </c>
      <c r="C101" s="18">
        <f t="shared" si="2"/>
        <v>682.4625</v>
      </c>
      <c r="D101" s="18">
        <f t="shared" si="2"/>
        <v>0</v>
      </c>
      <c r="E101" s="79">
        <v>31</v>
      </c>
      <c r="F101" s="79">
        <v>1</v>
      </c>
      <c r="G101" s="17">
        <f t="shared" si="3"/>
        <v>2846.75</v>
      </c>
      <c r="H101" s="72">
        <v>138.85</v>
      </c>
      <c r="I101" s="71">
        <v>368</v>
      </c>
      <c r="J101" s="9">
        <f t="shared" si="1"/>
        <v>3307467.540437759</v>
      </c>
      <c r="K101" s="51"/>
    </row>
    <row r="102" spans="1:11" ht="12.75">
      <c r="A102" s="3">
        <v>40634</v>
      </c>
      <c r="C102" s="18">
        <f t="shared" si="2"/>
        <v>409.65</v>
      </c>
      <c r="D102" s="18">
        <f t="shared" si="2"/>
        <v>0</v>
      </c>
      <c r="E102" s="79">
        <v>30</v>
      </c>
      <c r="F102" s="79">
        <v>1</v>
      </c>
      <c r="G102" s="17">
        <f t="shared" si="3"/>
        <v>2847</v>
      </c>
      <c r="H102" s="72">
        <v>139.1</v>
      </c>
      <c r="I102" s="71">
        <v>320</v>
      </c>
      <c r="J102" s="9">
        <f t="shared" si="1"/>
        <v>2551771.54709053</v>
      </c>
      <c r="K102" s="51"/>
    </row>
    <row r="103" spans="1:11" ht="12.75">
      <c r="A103" s="3">
        <v>40664</v>
      </c>
      <c r="C103" s="18">
        <f t="shared" si="2"/>
        <v>215.1625</v>
      </c>
      <c r="D103" s="18">
        <f t="shared" si="2"/>
        <v>7.8125</v>
      </c>
      <c r="E103" s="79">
        <v>31</v>
      </c>
      <c r="F103" s="79">
        <v>1</v>
      </c>
      <c r="G103" s="17">
        <f t="shared" si="3"/>
        <v>2847.25</v>
      </c>
      <c r="H103" s="72">
        <v>139.35</v>
      </c>
      <c r="I103" s="71">
        <v>336</v>
      </c>
      <c r="J103" s="9">
        <f t="shared" si="1"/>
        <v>2141633.6536376635</v>
      </c>
      <c r="K103" s="51"/>
    </row>
    <row r="104" spans="1:11" ht="12.75">
      <c r="A104" s="3">
        <v>40695</v>
      </c>
      <c r="C104" s="18">
        <f t="shared" si="2"/>
        <v>65.9625</v>
      </c>
      <c r="D104" s="18">
        <f t="shared" si="2"/>
        <v>23.649999999999995</v>
      </c>
      <c r="E104" s="79">
        <v>30</v>
      </c>
      <c r="F104" s="79">
        <v>0</v>
      </c>
      <c r="G104" s="17">
        <f t="shared" si="3"/>
        <v>2847.5</v>
      </c>
      <c r="H104" s="72">
        <v>139.61</v>
      </c>
      <c r="I104" s="71">
        <v>352</v>
      </c>
      <c r="J104" s="9">
        <f t="shared" si="1"/>
        <v>1919938.4203792652</v>
      </c>
      <c r="K104" s="51"/>
    </row>
    <row r="105" spans="1:11" ht="12.75">
      <c r="A105" s="3">
        <v>40725</v>
      </c>
      <c r="C105" s="18">
        <f t="shared" si="2"/>
        <v>21.6875</v>
      </c>
      <c r="D105" s="18">
        <f t="shared" si="2"/>
        <v>55.9625</v>
      </c>
      <c r="E105" s="79">
        <v>31</v>
      </c>
      <c r="F105" s="79">
        <v>0</v>
      </c>
      <c r="G105" s="17">
        <f t="shared" si="3"/>
        <v>2847.75</v>
      </c>
      <c r="H105" s="72">
        <v>139.86</v>
      </c>
      <c r="I105" s="71">
        <v>320</v>
      </c>
      <c r="J105" s="9">
        <f t="shared" si="1"/>
        <v>1977297.0563783697</v>
      </c>
      <c r="K105" s="51"/>
    </row>
    <row r="106" spans="1:11" ht="12.75">
      <c r="A106" s="3">
        <v>40756</v>
      </c>
      <c r="C106" s="18">
        <f t="shared" si="2"/>
        <v>41.125</v>
      </c>
      <c r="D106" s="18">
        <f t="shared" si="2"/>
        <v>42.06249999999999</v>
      </c>
      <c r="E106" s="79">
        <v>31</v>
      </c>
      <c r="F106" s="79">
        <v>0</v>
      </c>
      <c r="G106" s="17">
        <f t="shared" si="3"/>
        <v>2848</v>
      </c>
      <c r="H106" s="72">
        <v>140.11</v>
      </c>
      <c r="I106" s="71">
        <v>352</v>
      </c>
      <c r="J106" s="9">
        <f t="shared" si="1"/>
        <v>1979181.123000174</v>
      </c>
      <c r="K106" s="51"/>
    </row>
    <row r="107" spans="1:11" ht="12.75">
      <c r="A107" s="3">
        <v>40787</v>
      </c>
      <c r="C107" s="18">
        <f t="shared" si="2"/>
        <v>131.45</v>
      </c>
      <c r="D107" s="18">
        <f t="shared" si="2"/>
        <v>9.8</v>
      </c>
      <c r="E107" s="79">
        <v>30</v>
      </c>
      <c r="F107" s="79">
        <v>1</v>
      </c>
      <c r="G107" s="17">
        <f t="shared" si="3"/>
        <v>2848.25</v>
      </c>
      <c r="H107" s="72">
        <v>140.37</v>
      </c>
      <c r="I107" s="71">
        <v>336</v>
      </c>
      <c r="J107" s="9">
        <f t="shared" si="1"/>
        <v>1875388.5831922162</v>
      </c>
      <c r="K107" s="51"/>
    </row>
    <row r="108" spans="1:11" ht="12.75">
      <c r="A108" s="3">
        <v>40817</v>
      </c>
      <c r="C108" s="18">
        <f t="shared" si="2"/>
        <v>355.0874999999999</v>
      </c>
      <c r="D108" s="18">
        <f t="shared" si="2"/>
        <v>0.9125</v>
      </c>
      <c r="E108" s="79">
        <v>31</v>
      </c>
      <c r="F108" s="79">
        <v>1</v>
      </c>
      <c r="G108" s="17">
        <f t="shared" si="3"/>
        <v>2848.5</v>
      </c>
      <c r="H108" s="72">
        <v>140.62</v>
      </c>
      <c r="I108" s="71">
        <v>320</v>
      </c>
      <c r="J108" s="9">
        <f t="shared" si="1"/>
        <v>2475063.8300508214</v>
      </c>
      <c r="K108" s="51"/>
    </row>
    <row r="109" spans="1:11" ht="12.75">
      <c r="A109" s="3">
        <v>40848</v>
      </c>
      <c r="C109" s="18">
        <f t="shared" si="2"/>
        <v>535.4375</v>
      </c>
      <c r="D109" s="18">
        <f t="shared" si="2"/>
        <v>0</v>
      </c>
      <c r="E109" s="79">
        <v>30</v>
      </c>
      <c r="F109" s="79">
        <v>1</v>
      </c>
      <c r="G109" s="17">
        <f t="shared" si="3"/>
        <v>2848.75</v>
      </c>
      <c r="H109" s="72">
        <v>140.88</v>
      </c>
      <c r="I109" s="71">
        <v>352</v>
      </c>
      <c r="J109" s="9">
        <f t="shared" si="1"/>
        <v>2872810.3455910105</v>
      </c>
      <c r="K109" s="51"/>
    </row>
    <row r="110" spans="1:11" ht="12.75">
      <c r="A110" s="3">
        <v>40878</v>
      </c>
      <c r="C110" s="18">
        <f t="shared" si="2"/>
        <v>814.0124999999999</v>
      </c>
      <c r="D110" s="18">
        <f t="shared" si="2"/>
        <v>0</v>
      </c>
      <c r="E110" s="79">
        <v>31</v>
      </c>
      <c r="F110" s="79">
        <v>0</v>
      </c>
      <c r="G110" s="17">
        <v>2849</v>
      </c>
      <c r="H110" s="72">
        <v>141.13</v>
      </c>
      <c r="I110" s="71">
        <v>336</v>
      </c>
      <c r="J110" s="9">
        <f t="shared" si="1"/>
        <v>3807349.400974483</v>
      </c>
      <c r="K110" s="51"/>
    </row>
    <row r="111" spans="1:11" ht="12.75">
      <c r="A111" s="3">
        <v>40909</v>
      </c>
      <c r="C111" s="18">
        <v>947.425</v>
      </c>
      <c r="D111" s="18">
        <v>0</v>
      </c>
      <c r="E111" s="79">
        <v>31</v>
      </c>
      <c r="F111" s="79">
        <v>0</v>
      </c>
      <c r="G111" s="17">
        <f>($G$110-$G$122)/12+G110</f>
        <v>2849.1666666666665</v>
      </c>
      <c r="H111" s="72">
        <v>141.42</v>
      </c>
      <c r="I111" s="71">
        <v>336</v>
      </c>
      <c r="J111" s="9">
        <f t="shared" si="1"/>
        <v>4147848.9633709486</v>
      </c>
      <c r="K111" s="51"/>
    </row>
    <row r="112" spans="1:11" ht="12.75">
      <c r="A112" s="3">
        <v>40940</v>
      </c>
      <c r="C112" s="18">
        <v>822.6125</v>
      </c>
      <c r="D112" s="18">
        <v>0</v>
      </c>
      <c r="E112" s="79">
        <v>29</v>
      </c>
      <c r="F112" s="79">
        <v>0</v>
      </c>
      <c r="G112" s="17">
        <f aca="true" t="shared" si="4" ref="G112:G121">($G$110-$G$122)/12+G111</f>
        <v>2849.333333333333</v>
      </c>
      <c r="H112" s="72">
        <v>141.72</v>
      </c>
      <c r="I112" s="71">
        <v>320</v>
      </c>
      <c r="J112" s="9">
        <f t="shared" si="1"/>
        <v>3710467.823493413</v>
      </c>
      <c r="K112" s="51"/>
    </row>
    <row r="113" spans="1:11" ht="12.75">
      <c r="A113" s="3">
        <v>40969</v>
      </c>
      <c r="C113" s="18">
        <v>682.4625</v>
      </c>
      <c r="D113" s="18">
        <v>0</v>
      </c>
      <c r="E113" s="79">
        <v>31</v>
      </c>
      <c r="F113" s="79">
        <v>1</v>
      </c>
      <c r="G113" s="17">
        <f t="shared" si="4"/>
        <v>2849.4999999999995</v>
      </c>
      <c r="H113" s="72">
        <v>142.01</v>
      </c>
      <c r="I113" s="71">
        <v>352</v>
      </c>
      <c r="J113" s="9">
        <f t="shared" si="1"/>
        <v>3307467.540437759</v>
      </c>
      <c r="K113" s="51"/>
    </row>
    <row r="114" spans="1:11" ht="12.75">
      <c r="A114" s="3">
        <v>41000</v>
      </c>
      <c r="C114" s="18">
        <v>409.65</v>
      </c>
      <c r="D114" s="18">
        <v>0</v>
      </c>
      <c r="E114" s="79">
        <v>30</v>
      </c>
      <c r="F114" s="79">
        <v>1</v>
      </c>
      <c r="G114" s="17">
        <f t="shared" si="4"/>
        <v>2849.666666666666</v>
      </c>
      <c r="H114" s="72">
        <v>142.3</v>
      </c>
      <c r="I114" s="71">
        <v>320</v>
      </c>
      <c r="J114" s="9">
        <f t="shared" si="1"/>
        <v>2551771.54709053</v>
      </c>
      <c r="K114" s="51"/>
    </row>
    <row r="115" spans="1:11" ht="12.75">
      <c r="A115" s="3">
        <v>41030</v>
      </c>
      <c r="C115" s="18">
        <v>215.1625</v>
      </c>
      <c r="D115" s="18">
        <v>7.8125</v>
      </c>
      <c r="E115" s="79">
        <v>31</v>
      </c>
      <c r="F115" s="79">
        <v>1</v>
      </c>
      <c r="G115" s="17">
        <f t="shared" si="4"/>
        <v>2849.8333333333326</v>
      </c>
      <c r="H115" s="72">
        <v>142.589</v>
      </c>
      <c r="I115" s="71">
        <v>352</v>
      </c>
      <c r="J115" s="9">
        <f t="shared" si="1"/>
        <v>2141633.6536376635</v>
      </c>
      <c r="K115" s="51"/>
    </row>
    <row r="116" spans="1:11" ht="12.75">
      <c r="A116" s="3">
        <v>41061</v>
      </c>
      <c r="C116" s="18">
        <v>65.9625</v>
      </c>
      <c r="D116" s="18">
        <v>23.65</v>
      </c>
      <c r="E116" s="79">
        <v>30</v>
      </c>
      <c r="F116" s="79">
        <v>0</v>
      </c>
      <c r="G116" s="17">
        <f t="shared" si="4"/>
        <v>2849.999999999999</v>
      </c>
      <c r="H116" s="72">
        <v>142.89</v>
      </c>
      <c r="I116" s="71">
        <v>336</v>
      </c>
      <c r="J116" s="9">
        <f t="shared" si="1"/>
        <v>1919938.4203792652</v>
      </c>
      <c r="K116" s="51"/>
    </row>
    <row r="117" spans="1:11" ht="12.75">
      <c r="A117" s="3">
        <v>41091</v>
      </c>
      <c r="C117" s="18">
        <v>21.6875</v>
      </c>
      <c r="D117" s="18">
        <v>55.9625</v>
      </c>
      <c r="E117" s="79">
        <v>31</v>
      </c>
      <c r="F117" s="79">
        <v>0</v>
      </c>
      <c r="G117" s="17">
        <f t="shared" si="4"/>
        <v>2850.1666666666656</v>
      </c>
      <c r="H117" s="72">
        <v>143.18</v>
      </c>
      <c r="I117" s="71">
        <v>336</v>
      </c>
      <c r="J117" s="9">
        <f t="shared" si="1"/>
        <v>1977297.0563783697</v>
      </c>
      <c r="K117" s="51"/>
    </row>
    <row r="118" spans="1:11" ht="12.75">
      <c r="A118" s="3">
        <v>41122</v>
      </c>
      <c r="C118" s="18">
        <v>41.125</v>
      </c>
      <c r="D118" s="18">
        <v>42.0625</v>
      </c>
      <c r="E118" s="79">
        <v>31</v>
      </c>
      <c r="F118" s="79">
        <v>0</v>
      </c>
      <c r="G118" s="17">
        <f t="shared" si="4"/>
        <v>2850.333333333332</v>
      </c>
      <c r="H118" s="72">
        <v>143.48</v>
      </c>
      <c r="I118" s="71">
        <v>352</v>
      </c>
      <c r="J118" s="9">
        <f t="shared" si="1"/>
        <v>1979181.123000174</v>
      </c>
      <c r="K118" s="51"/>
    </row>
    <row r="119" spans="1:11" ht="12.75">
      <c r="A119" s="3">
        <v>41153</v>
      </c>
      <c r="C119" s="18">
        <v>131.45</v>
      </c>
      <c r="D119" s="18">
        <v>9.8</v>
      </c>
      <c r="E119" s="79">
        <v>30</v>
      </c>
      <c r="F119" s="79">
        <v>1</v>
      </c>
      <c r="G119" s="17">
        <f t="shared" si="4"/>
        <v>2850.4999999999986</v>
      </c>
      <c r="H119" s="72">
        <v>143.77</v>
      </c>
      <c r="I119" s="71">
        <v>304</v>
      </c>
      <c r="J119" s="9">
        <f t="shared" si="1"/>
        <v>1875388.5831922162</v>
      </c>
      <c r="K119" s="51"/>
    </row>
    <row r="120" spans="1:11" ht="12.75">
      <c r="A120" s="3">
        <v>41183</v>
      </c>
      <c r="C120" s="18">
        <v>355.0875</v>
      </c>
      <c r="D120" s="18">
        <v>0.9125</v>
      </c>
      <c r="E120" s="79">
        <v>31</v>
      </c>
      <c r="F120" s="79">
        <v>1</v>
      </c>
      <c r="G120" s="17">
        <f t="shared" si="4"/>
        <v>2850.666666666665</v>
      </c>
      <c r="H120" s="72">
        <v>144.07</v>
      </c>
      <c r="I120" s="71">
        <v>352</v>
      </c>
      <c r="J120" s="9">
        <f t="shared" si="1"/>
        <v>2475063.8300508214</v>
      </c>
      <c r="K120" s="51"/>
    </row>
    <row r="121" spans="1:11" ht="12.75">
      <c r="A121" s="3">
        <v>41214</v>
      </c>
      <c r="C121" s="18">
        <v>535.4375</v>
      </c>
      <c r="D121" s="18">
        <v>0</v>
      </c>
      <c r="E121" s="79">
        <v>30</v>
      </c>
      <c r="F121" s="79">
        <v>1</v>
      </c>
      <c r="G121" s="17">
        <f t="shared" si="4"/>
        <v>2850.8333333333317</v>
      </c>
      <c r="H121" s="72">
        <v>144.37</v>
      </c>
      <c r="I121" s="71">
        <v>352</v>
      </c>
      <c r="J121" s="9">
        <f t="shared" si="1"/>
        <v>2872810.3455910105</v>
      </c>
      <c r="K121" s="51"/>
    </row>
    <row r="122" spans="1:11" ht="12.75">
      <c r="A122" s="3">
        <v>41244</v>
      </c>
      <c r="C122" s="18">
        <v>814.0125</v>
      </c>
      <c r="D122" s="18">
        <v>0</v>
      </c>
      <c r="E122" s="79">
        <v>31</v>
      </c>
      <c r="F122" s="79">
        <v>0</v>
      </c>
      <c r="G122" s="17">
        <v>2847</v>
      </c>
      <c r="H122" s="72">
        <v>144.66</v>
      </c>
      <c r="I122" s="71">
        <v>304</v>
      </c>
      <c r="J122" s="9">
        <f t="shared" si="1"/>
        <v>3807349.4009744837</v>
      </c>
      <c r="K122" s="51"/>
    </row>
    <row r="123" spans="1:27" ht="12.75">
      <c r="A123" s="3"/>
      <c r="Y123" s="10"/>
      <c r="Z123" s="10"/>
      <c r="AA123" s="10"/>
    </row>
    <row r="124" spans="1:10" ht="12.75">
      <c r="A124" s="3"/>
      <c r="C124" s="19"/>
      <c r="D124" s="1" t="s">
        <v>15</v>
      </c>
      <c r="J124" s="51">
        <f>SUM(J3:J122)</f>
        <v>327246275.1917311</v>
      </c>
    </row>
    <row r="125" ht="12.75">
      <c r="A125" s="3"/>
    </row>
    <row r="126" spans="1:12" ht="12.75">
      <c r="A126" s="16">
        <v>2003</v>
      </c>
      <c r="B126" s="6">
        <f>SUM(B3:B14)</f>
        <v>33607610</v>
      </c>
      <c r="J126" s="6">
        <f>SUM(J3:J14)</f>
        <v>33469788.599774715</v>
      </c>
      <c r="K126" s="37">
        <f aca="true" t="shared" si="5" ref="K126:K133">J126-B126</f>
        <v>-137821.40022528544</v>
      </c>
      <c r="L126" s="5">
        <f aca="true" t="shared" si="6" ref="L126:L133">K126/B126</f>
        <v>-0.0041008985829484885</v>
      </c>
    </row>
    <row r="127" spans="1:12" ht="12.75">
      <c r="A127">
        <v>2004</v>
      </c>
      <c r="B127" s="6">
        <f>SUM(B15:B26)</f>
        <v>33524674</v>
      </c>
      <c r="J127" s="6">
        <f>SUM(J15:J26)</f>
        <v>33358686.29748784</v>
      </c>
      <c r="K127" s="37">
        <f t="shared" si="5"/>
        <v>-165987.70251215994</v>
      </c>
      <c r="L127" s="5">
        <f t="shared" si="6"/>
        <v>-0.004951210040466313</v>
      </c>
    </row>
    <row r="128" spans="1:27" ht="12.75">
      <c r="A128" s="16">
        <v>2005</v>
      </c>
      <c r="B128" s="6">
        <f>SUM(B27:B38)</f>
        <v>33109767</v>
      </c>
      <c r="J128" s="6">
        <f>SUM(J27:J38)</f>
        <v>32540601.359144084</v>
      </c>
      <c r="K128" s="37">
        <f t="shared" si="5"/>
        <v>-569165.6408559158</v>
      </c>
      <c r="L128" s="5">
        <f t="shared" si="6"/>
        <v>-0.01719026415546554</v>
      </c>
      <c r="Y128" s="10"/>
      <c r="Z128" s="10"/>
      <c r="AA128" s="10"/>
    </row>
    <row r="129" spans="1:12" ht="12.75">
      <c r="A129">
        <v>2006</v>
      </c>
      <c r="B129" s="6">
        <f>SUM(B39:B50)</f>
        <v>31914206</v>
      </c>
      <c r="J129" s="6">
        <f>SUM(J39:J50)</f>
        <v>31783887.39627233</v>
      </c>
      <c r="K129" s="37">
        <f t="shared" si="5"/>
        <v>-130318.60372766852</v>
      </c>
      <c r="L129" s="5">
        <f t="shared" si="6"/>
        <v>-0.00408340422843885</v>
      </c>
    </row>
    <row r="130" spans="1:12" ht="12.75">
      <c r="A130" s="16">
        <v>2007</v>
      </c>
      <c r="B130" s="6">
        <f>SUM(B51:B62)</f>
        <v>32143845</v>
      </c>
      <c r="J130" s="6">
        <f>SUM(J51:J62)</f>
        <v>32797668.45248076</v>
      </c>
      <c r="K130" s="37">
        <f t="shared" si="5"/>
        <v>653823.4524807595</v>
      </c>
      <c r="L130" s="5">
        <f t="shared" si="6"/>
        <v>0.020340548944308295</v>
      </c>
    </row>
    <row r="131" spans="1:12" ht="12.75">
      <c r="A131">
        <v>2008</v>
      </c>
      <c r="B131" s="6">
        <f>SUM(B63:B74)</f>
        <v>32829199</v>
      </c>
      <c r="J131" s="6">
        <f>SUM(J63:J74)</f>
        <v>32986401.321245126</v>
      </c>
      <c r="K131" s="37">
        <f t="shared" si="5"/>
        <v>157202.32124512643</v>
      </c>
      <c r="L131" s="5">
        <f t="shared" si="6"/>
        <v>0.004788490917647013</v>
      </c>
    </row>
    <row r="132" spans="1:12" ht="12.75">
      <c r="A132" s="16">
        <v>2009</v>
      </c>
      <c r="B132" s="6">
        <f>SUM(B75:B86)</f>
        <v>33417700</v>
      </c>
      <c r="J132" s="6">
        <f>SUM(J75:J86)</f>
        <v>33038621.554900777</v>
      </c>
      <c r="K132" s="37">
        <f t="shared" si="5"/>
        <v>-379078.4450992234</v>
      </c>
      <c r="L132" s="5">
        <f t="shared" si="6"/>
        <v>-0.011343642593572371</v>
      </c>
    </row>
    <row r="133" spans="1:12" ht="12.75">
      <c r="A133">
        <v>2010</v>
      </c>
      <c r="B133" s="6">
        <f>SUM(B87:B98)</f>
        <v>31226253</v>
      </c>
      <c r="J133" s="6">
        <f>SUM(J87:J98)</f>
        <v>31797599.01869437</v>
      </c>
      <c r="K133" s="37">
        <f t="shared" si="5"/>
        <v>571346.018694371</v>
      </c>
      <c r="L133" s="5">
        <f t="shared" si="6"/>
        <v>0.018296976543883476</v>
      </c>
    </row>
    <row r="134" spans="1:10" ht="12.75">
      <c r="A134" s="16">
        <v>2011</v>
      </c>
      <c r="J134" s="6">
        <f>SUM(J99:J110)</f>
        <v>32706802.904134452</v>
      </c>
    </row>
    <row r="135" spans="1:10" ht="12.75">
      <c r="A135" s="16">
        <v>2012</v>
      </c>
      <c r="J135" s="94">
        <f>SUM(J111:J122)</f>
        <v>32766218.287596658</v>
      </c>
    </row>
    <row r="136" ht="12.75">
      <c r="J136" s="6"/>
    </row>
    <row r="137" spans="1:11" ht="12.75">
      <c r="A137" t="s">
        <v>81</v>
      </c>
      <c r="B137" s="6">
        <f>SUM(B126:B133)</f>
        <v>261773254</v>
      </c>
      <c r="J137" s="6">
        <f>SUM(J126:J133)</f>
        <v>261773254</v>
      </c>
      <c r="K137" s="6">
        <f>J137-B137</f>
        <v>0</v>
      </c>
    </row>
    <row r="139" spans="10:11" ht="12.75">
      <c r="J139" s="6">
        <f>SUM(J126:J135)</f>
        <v>327246275.1917311</v>
      </c>
      <c r="K139" s="51">
        <f>J124-J139</f>
        <v>0</v>
      </c>
    </row>
    <row r="140" spans="10:12" ht="12.75">
      <c r="J140" s="19"/>
      <c r="K140" s="19" t="s">
        <v>68</v>
      </c>
      <c r="L140" s="19"/>
    </row>
    <row r="142" spans="9:27" ht="12.75">
      <c r="I142" s="75" t="s">
        <v>88</v>
      </c>
      <c r="J142" s="76">
        <f>'Rate Class Energy Model'!H69</f>
        <v>289081.05534928234</v>
      </c>
      <c r="Y142" s="10"/>
      <c r="Z142" s="10"/>
      <c r="AA142" s="10"/>
    </row>
    <row r="144" ht="12.75">
      <c r="J144" s="94">
        <f>J135</f>
        <v>32766218.287596658</v>
      </c>
    </row>
    <row r="145" ht="12.75">
      <c r="J145" s="93">
        <f>-J142</f>
        <v>-289081.05534928234</v>
      </c>
    </row>
    <row r="146" ht="12.75">
      <c r="J146" s="6">
        <f>SUM(J144:J145)</f>
        <v>32477137.232247375</v>
      </c>
    </row>
    <row r="154" spans="25:27" ht="12.75">
      <c r="Y154" s="10"/>
      <c r="Z154" s="10"/>
      <c r="AA154" s="10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3"/>
  <sheetViews>
    <sheetView zoomScalePageLayoutView="0" workbookViewId="0" topLeftCell="A105">
      <selection activeCell="E49" sqref="E49:E107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5" width="12.421875" style="80" customWidth="1"/>
    <col min="6" max="6" width="14.421875" style="92" customWidth="1"/>
    <col min="7" max="7" width="13.421875" style="24" customWidth="1"/>
    <col min="8" max="8" width="10.14062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1" spans="1:9" ht="15">
      <c r="A1" s="88" t="s">
        <v>94</v>
      </c>
      <c r="B1" s="87"/>
      <c r="D1" s="24"/>
      <c r="E1" s="24"/>
      <c r="F1" s="81" t="s">
        <v>89</v>
      </c>
      <c r="G1" s="81" t="s">
        <v>89</v>
      </c>
      <c r="H1" s="82" t="s">
        <v>89</v>
      </c>
      <c r="I1" s="81" t="s">
        <v>89</v>
      </c>
    </row>
    <row r="2" spans="2:27" ht="42" customHeight="1">
      <c r="B2" s="7" t="s">
        <v>71</v>
      </c>
      <c r="C2" s="11" t="s">
        <v>3</v>
      </c>
      <c r="D2" s="78" t="s">
        <v>21</v>
      </c>
      <c r="E2" s="78" t="s">
        <v>70</v>
      </c>
      <c r="F2" s="91" t="s">
        <v>7</v>
      </c>
      <c r="G2" s="78" t="s">
        <v>4</v>
      </c>
      <c r="H2" s="11" t="s">
        <v>5</v>
      </c>
      <c r="I2" s="11" t="s">
        <v>6</v>
      </c>
      <c r="J2" s="11" t="s">
        <v>96</v>
      </c>
      <c r="K2" s="11" t="s">
        <v>13</v>
      </c>
      <c r="L2" s="11" t="s">
        <v>14</v>
      </c>
      <c r="M2" t="s">
        <v>22</v>
      </c>
      <c r="Y2" s="8"/>
      <c r="Z2" s="8"/>
      <c r="AA2" s="8"/>
    </row>
    <row r="3" spans="1:12" ht="13.5" thickBot="1">
      <c r="A3" s="3">
        <v>37622</v>
      </c>
      <c r="B3" s="46">
        <v>1002894.55</v>
      </c>
      <c r="C3" s="69">
        <v>1017.5</v>
      </c>
      <c r="D3" s="47">
        <v>0</v>
      </c>
      <c r="E3" s="47">
        <v>425</v>
      </c>
      <c r="F3" s="92">
        <v>125.66024937363977</v>
      </c>
      <c r="G3" s="89">
        <v>0</v>
      </c>
      <c r="H3" s="9">
        <v>31</v>
      </c>
      <c r="I3" s="9">
        <v>351.912</v>
      </c>
      <c r="J3" s="9">
        <f>$N$18+C3*$N$19+D3*$N$20+E3*$N$21</f>
        <v>1504245.4005205105</v>
      </c>
      <c r="K3" s="9"/>
      <c r="L3" s="13"/>
    </row>
    <row r="4" spans="1:14" ht="12.75">
      <c r="A4" s="3">
        <v>37653</v>
      </c>
      <c r="B4" s="46">
        <v>1482872.13</v>
      </c>
      <c r="C4" s="69">
        <v>923</v>
      </c>
      <c r="D4" s="47">
        <v>0</v>
      </c>
      <c r="E4" s="47">
        <v>422</v>
      </c>
      <c r="F4" s="92">
        <v>125.80592062045517</v>
      </c>
      <c r="G4" s="89">
        <v>0</v>
      </c>
      <c r="H4" s="9">
        <v>28</v>
      </c>
      <c r="I4" s="9">
        <v>319.872</v>
      </c>
      <c r="J4" s="9">
        <f aca="true" t="shared" si="0" ref="J4:J67">$N$18+C4*$N$19+D4*$N$20+E4*$N$21</f>
        <v>1441852.8059039633</v>
      </c>
      <c r="K4" s="9"/>
      <c r="L4" s="13"/>
      <c r="M4" s="59" t="s">
        <v>23</v>
      </c>
      <c r="N4" s="59"/>
    </row>
    <row r="5" spans="1:14" ht="12.75">
      <c r="A5" s="3">
        <v>37681</v>
      </c>
      <c r="B5" s="46">
        <v>1482655</v>
      </c>
      <c r="C5" s="69">
        <v>753.1</v>
      </c>
      <c r="D5" s="47">
        <v>1</v>
      </c>
      <c r="E5" s="47">
        <v>427</v>
      </c>
      <c r="F5" s="92">
        <v>125.9517607362029</v>
      </c>
      <c r="G5" s="89">
        <v>0</v>
      </c>
      <c r="H5" s="9">
        <v>31</v>
      </c>
      <c r="I5" s="9">
        <v>336.288</v>
      </c>
      <c r="J5" s="9">
        <f t="shared" si="0"/>
        <v>1265913.0980132464</v>
      </c>
      <c r="K5" s="9"/>
      <c r="L5" s="13"/>
      <c r="M5" s="36" t="s">
        <v>24</v>
      </c>
      <c r="N5" s="68">
        <v>0.8739460387932458</v>
      </c>
    </row>
    <row r="6" spans="1:14" ht="12.75">
      <c r="A6" s="3">
        <v>37712</v>
      </c>
      <c r="B6" s="46">
        <v>1205815</v>
      </c>
      <c r="C6" s="69">
        <v>525.7</v>
      </c>
      <c r="D6" s="47">
        <v>1</v>
      </c>
      <c r="E6" s="47">
        <v>424</v>
      </c>
      <c r="F6" s="92">
        <v>126.09776991664374</v>
      </c>
      <c r="G6" s="89">
        <v>0</v>
      </c>
      <c r="H6" s="9">
        <v>30</v>
      </c>
      <c r="I6" s="9">
        <v>336.24</v>
      </c>
      <c r="J6" s="9">
        <f t="shared" si="0"/>
        <v>1132594.479310241</v>
      </c>
      <c r="K6" s="9"/>
      <c r="L6" s="13"/>
      <c r="M6" s="36" t="s">
        <v>25</v>
      </c>
      <c r="N6" s="95">
        <v>0.7637816787224057</v>
      </c>
    </row>
    <row r="7" spans="1:14" ht="12.75">
      <c r="A7" s="3">
        <v>37742</v>
      </c>
      <c r="B7" s="46">
        <v>1076451</v>
      </c>
      <c r="C7" s="69">
        <v>223.3</v>
      </c>
      <c r="D7" s="47">
        <v>1</v>
      </c>
      <c r="E7" s="47">
        <v>432</v>
      </c>
      <c r="F7" s="92">
        <v>126.2439483577654</v>
      </c>
      <c r="G7" s="89">
        <v>0</v>
      </c>
      <c r="H7" s="9">
        <v>31</v>
      </c>
      <c r="I7" s="9">
        <v>336.288</v>
      </c>
      <c r="J7" s="9">
        <f t="shared" si="0"/>
        <v>1003102.7394951329</v>
      </c>
      <c r="K7" s="9"/>
      <c r="L7" s="13"/>
      <c r="M7" s="36" t="s">
        <v>26</v>
      </c>
      <c r="N7" s="68">
        <v>0.756078907376397</v>
      </c>
    </row>
    <row r="8" spans="1:14" ht="12.75">
      <c r="A8" s="3">
        <v>37773</v>
      </c>
      <c r="B8" s="46">
        <v>1062917</v>
      </c>
      <c r="C8" s="69">
        <v>70.1</v>
      </c>
      <c r="D8" s="47">
        <v>0</v>
      </c>
      <c r="E8" s="47">
        <v>420</v>
      </c>
      <c r="F8" s="92">
        <v>126.3902962557828</v>
      </c>
      <c r="G8" s="89">
        <v>30.5</v>
      </c>
      <c r="H8" s="9">
        <v>30</v>
      </c>
      <c r="I8" s="9">
        <v>336.24</v>
      </c>
      <c r="J8" s="9">
        <f t="shared" si="0"/>
        <v>978704.1956035924</v>
      </c>
      <c r="K8" s="9"/>
      <c r="L8" s="13"/>
      <c r="M8" s="36" t="s">
        <v>27</v>
      </c>
      <c r="N8" s="68">
        <v>108277.61276845243</v>
      </c>
    </row>
    <row r="9" spans="1:14" ht="13.5" thickBot="1">
      <c r="A9" s="3">
        <v>37803</v>
      </c>
      <c r="B9" s="46">
        <v>1126036</v>
      </c>
      <c r="C9" s="69">
        <v>11.5</v>
      </c>
      <c r="D9" s="47">
        <v>0</v>
      </c>
      <c r="E9" s="47">
        <v>421</v>
      </c>
      <c r="F9" s="92">
        <v>126.5368138071383</v>
      </c>
      <c r="G9" s="89">
        <v>37.9</v>
      </c>
      <c r="H9" s="9">
        <v>31</v>
      </c>
      <c r="I9" s="9">
        <v>351.912</v>
      </c>
      <c r="J9" s="9">
        <f t="shared" si="0"/>
        <v>951417.1916255879</v>
      </c>
      <c r="K9" s="9"/>
      <c r="L9" s="13"/>
      <c r="M9" s="57" t="s">
        <v>28</v>
      </c>
      <c r="N9" s="57">
        <v>96</v>
      </c>
    </row>
    <row r="10" spans="1:12" ht="12.75">
      <c r="A10" s="3">
        <v>37834</v>
      </c>
      <c r="B10" s="46">
        <v>1084701</v>
      </c>
      <c r="C10" s="69">
        <v>31.9</v>
      </c>
      <c r="D10" s="47">
        <v>0</v>
      </c>
      <c r="E10" s="47">
        <v>430</v>
      </c>
      <c r="F10" s="92">
        <v>126.683501208502</v>
      </c>
      <c r="G10" s="89">
        <v>57.8</v>
      </c>
      <c r="H10" s="9">
        <v>31</v>
      </c>
      <c r="I10" s="9">
        <v>319.92</v>
      </c>
      <c r="J10" s="9">
        <f t="shared" si="0"/>
        <v>998183.8623289014</v>
      </c>
      <c r="K10" s="9"/>
      <c r="L10" s="13"/>
    </row>
    <row r="11" spans="1:13" ht="13.5" thickBot="1">
      <c r="A11" s="3">
        <v>37865</v>
      </c>
      <c r="B11" s="46">
        <v>1040109</v>
      </c>
      <c r="C11" s="69">
        <v>127.3</v>
      </c>
      <c r="D11" s="47">
        <v>1</v>
      </c>
      <c r="E11" s="47">
        <v>426</v>
      </c>
      <c r="F11" s="92">
        <v>126.83035865677196</v>
      </c>
      <c r="G11" s="89">
        <v>4.8</v>
      </c>
      <c r="H11" s="9">
        <v>30</v>
      </c>
      <c r="I11" s="9">
        <v>336.24</v>
      </c>
      <c r="J11" s="9">
        <f t="shared" si="0"/>
        <v>927949.7567333741</v>
      </c>
      <c r="K11" s="9"/>
      <c r="L11" s="13"/>
      <c r="M11" t="s">
        <v>29</v>
      </c>
    </row>
    <row r="12" spans="1:18" ht="12.75">
      <c r="A12" s="3">
        <v>37895</v>
      </c>
      <c r="B12" s="46">
        <v>1123137</v>
      </c>
      <c r="C12" s="69">
        <v>380</v>
      </c>
      <c r="D12" s="47">
        <v>1</v>
      </c>
      <c r="E12" s="47">
        <v>421</v>
      </c>
      <c r="F12" s="92">
        <v>126.97738634907456</v>
      </c>
      <c r="G12" s="89">
        <v>0</v>
      </c>
      <c r="H12" s="9">
        <v>31</v>
      </c>
      <c r="I12" s="9">
        <v>351.912</v>
      </c>
      <c r="J12" s="9">
        <f t="shared" si="0"/>
        <v>1042877.4871524848</v>
      </c>
      <c r="K12" s="9"/>
      <c r="L12" s="13"/>
      <c r="M12" s="58"/>
      <c r="N12" s="58" t="s">
        <v>33</v>
      </c>
      <c r="O12" s="58" t="s">
        <v>34</v>
      </c>
      <c r="P12" s="58" t="s">
        <v>35</v>
      </c>
      <c r="Q12" s="58" t="s">
        <v>36</v>
      </c>
      <c r="R12" s="58" t="s">
        <v>37</v>
      </c>
    </row>
    <row r="13" spans="1:18" ht="12.75">
      <c r="A13" s="3">
        <v>37926</v>
      </c>
      <c r="B13" s="46">
        <v>1242932</v>
      </c>
      <c r="C13" s="69">
        <v>535.3</v>
      </c>
      <c r="D13" s="47">
        <v>1</v>
      </c>
      <c r="E13" s="47">
        <v>420</v>
      </c>
      <c r="F13" s="92">
        <v>127.12458448276465</v>
      </c>
      <c r="G13" s="89">
        <v>0</v>
      </c>
      <c r="H13" s="9">
        <v>30</v>
      </c>
      <c r="I13" s="9">
        <v>319.68</v>
      </c>
      <c r="J13" s="9">
        <f t="shared" si="0"/>
        <v>1121771.3122678895</v>
      </c>
      <c r="K13" s="9"/>
      <c r="L13" s="13"/>
      <c r="M13" s="36" t="s">
        <v>30</v>
      </c>
      <c r="N13" s="36">
        <v>3</v>
      </c>
      <c r="O13" s="36">
        <v>3487553105301.1924</v>
      </c>
      <c r="P13" s="36">
        <v>1162517701767.0642</v>
      </c>
      <c r="Q13" s="36">
        <v>99.15673780426943</v>
      </c>
      <c r="R13" s="36">
        <v>1.006190518007926E-28</v>
      </c>
    </row>
    <row r="14" spans="1:18" ht="12.75">
      <c r="A14" s="3">
        <v>37956</v>
      </c>
      <c r="B14" s="46">
        <v>1456512</v>
      </c>
      <c r="C14" s="69">
        <v>754.7</v>
      </c>
      <c r="D14" s="47">
        <v>0</v>
      </c>
      <c r="E14" s="47">
        <v>420</v>
      </c>
      <c r="F14" s="92">
        <v>127.27195325542573</v>
      </c>
      <c r="G14" s="89">
        <v>0</v>
      </c>
      <c r="H14" s="9">
        <v>31</v>
      </c>
      <c r="I14" s="9">
        <v>336.288</v>
      </c>
      <c r="J14" s="9">
        <f t="shared" si="0"/>
        <v>1344061.2767893646</v>
      </c>
      <c r="K14" s="9"/>
      <c r="L14" s="13"/>
      <c r="M14" s="36" t="s">
        <v>31</v>
      </c>
      <c r="N14" s="36">
        <v>92</v>
      </c>
      <c r="O14" s="36">
        <v>1078611811268.8137</v>
      </c>
      <c r="P14" s="36">
        <v>11724041426.834932</v>
      </c>
      <c r="Q14" s="36"/>
      <c r="R14" s="36"/>
    </row>
    <row r="15" spans="1:18" ht="13.5" thickBot="1">
      <c r="A15" s="3">
        <v>37987</v>
      </c>
      <c r="B15" s="46">
        <v>1751556</v>
      </c>
      <c r="C15" s="69">
        <v>1129.7</v>
      </c>
      <c r="D15" s="79">
        <v>0</v>
      </c>
      <c r="E15" s="47">
        <v>424</v>
      </c>
      <c r="F15" s="72">
        <v>127.53411264087498</v>
      </c>
      <c r="G15" s="89">
        <v>0</v>
      </c>
      <c r="H15" s="71">
        <v>31</v>
      </c>
      <c r="I15" s="71">
        <v>336.288</v>
      </c>
      <c r="J15" s="9">
        <f t="shared" si="0"/>
        <v>1560137.6331744683</v>
      </c>
      <c r="K15" s="9"/>
      <c r="L15" s="13"/>
      <c r="M15" s="57" t="s">
        <v>11</v>
      </c>
      <c r="N15" s="57">
        <v>95</v>
      </c>
      <c r="O15" s="57">
        <v>4566164916570.006</v>
      </c>
      <c r="P15" s="57"/>
      <c r="Q15" s="57"/>
      <c r="R15" s="57"/>
    </row>
    <row r="16" spans="1:12" ht="13.5" thickBot="1">
      <c r="A16" s="3">
        <v>38018</v>
      </c>
      <c r="B16" s="46">
        <v>1466613</v>
      </c>
      <c r="C16" s="69">
        <v>780.2</v>
      </c>
      <c r="D16" s="79">
        <v>0</v>
      </c>
      <c r="E16" s="47">
        <v>418</v>
      </c>
      <c r="F16" s="72">
        <v>127.79681203173486</v>
      </c>
      <c r="G16" s="89">
        <v>0</v>
      </c>
      <c r="H16" s="71">
        <v>29</v>
      </c>
      <c r="I16" s="71">
        <v>320.16</v>
      </c>
      <c r="J16" s="9">
        <f t="shared" si="0"/>
        <v>1349696.8618053573</v>
      </c>
      <c r="K16" s="9"/>
      <c r="L16" s="13"/>
    </row>
    <row r="17" spans="1:21" ht="12.75">
      <c r="A17" s="3">
        <v>38047</v>
      </c>
      <c r="B17" s="46">
        <v>1353296</v>
      </c>
      <c r="C17" s="69">
        <v>662.7</v>
      </c>
      <c r="D17" s="79">
        <v>1</v>
      </c>
      <c r="E17" s="47">
        <v>420</v>
      </c>
      <c r="F17" s="72">
        <v>128.06005254032812</v>
      </c>
      <c r="G17" s="89">
        <v>0</v>
      </c>
      <c r="H17" s="71">
        <v>31</v>
      </c>
      <c r="I17" s="71">
        <v>368.28</v>
      </c>
      <c r="J17" s="9">
        <f t="shared" si="0"/>
        <v>1189762.0983372256</v>
      </c>
      <c r="K17" s="9"/>
      <c r="L17" s="13"/>
      <c r="M17" s="58"/>
      <c r="N17" s="58" t="s">
        <v>38</v>
      </c>
      <c r="O17" s="58" t="s">
        <v>27</v>
      </c>
      <c r="P17" s="58" t="s">
        <v>39</v>
      </c>
      <c r="Q17" s="58" t="s">
        <v>40</v>
      </c>
      <c r="R17" s="58" t="s">
        <v>41</v>
      </c>
      <c r="S17" s="58" t="s">
        <v>42</v>
      </c>
      <c r="T17" s="58" t="s">
        <v>43</v>
      </c>
      <c r="U17" s="58" t="s">
        <v>44</v>
      </c>
    </row>
    <row r="18" spans="1:21" ht="12.75">
      <c r="A18" s="3">
        <v>38078</v>
      </c>
      <c r="B18" s="46">
        <v>1138048</v>
      </c>
      <c r="C18" s="69">
        <v>460</v>
      </c>
      <c r="D18" s="79">
        <v>1</v>
      </c>
      <c r="E18" s="47">
        <v>423</v>
      </c>
      <c r="F18" s="72">
        <v>128.32383528126866</v>
      </c>
      <c r="G18" s="89">
        <v>0</v>
      </c>
      <c r="H18" s="71">
        <v>30</v>
      </c>
      <c r="I18" s="71">
        <v>336.24</v>
      </c>
      <c r="J18" s="9">
        <f t="shared" si="0"/>
        <v>1093545.1041012877</v>
      </c>
      <c r="K18" s="9"/>
      <c r="L18" s="13"/>
      <c r="M18" s="36" t="s">
        <v>32</v>
      </c>
      <c r="N18" s="36">
        <v>-733088.3631631795</v>
      </c>
      <c r="O18" s="36">
        <v>492943.2606750771</v>
      </c>
      <c r="P18" s="36">
        <v>-1.487165809223617</v>
      </c>
      <c r="Q18" s="36">
        <v>0.14039038816838512</v>
      </c>
      <c r="R18" s="36">
        <v>-1712116.2059270826</v>
      </c>
      <c r="S18" s="36">
        <v>245939.4796007236</v>
      </c>
      <c r="T18" s="36">
        <v>-1712116.2059270826</v>
      </c>
      <c r="U18" s="36">
        <v>245939.4796007236</v>
      </c>
    </row>
    <row r="19" spans="1:21" ht="12.75">
      <c r="A19" s="3">
        <v>38108</v>
      </c>
      <c r="B19" s="46">
        <v>1055605</v>
      </c>
      <c r="C19" s="69">
        <v>258.3</v>
      </c>
      <c r="D19" s="79">
        <v>1</v>
      </c>
      <c r="E19" s="47">
        <v>426</v>
      </c>
      <c r="F19" s="72">
        <v>128.58816137146633</v>
      </c>
      <c r="G19" s="89">
        <v>1</v>
      </c>
      <c r="H19" s="71">
        <v>31</v>
      </c>
      <c r="I19" s="71">
        <v>319.92</v>
      </c>
      <c r="J19" s="9">
        <f t="shared" si="0"/>
        <v>997861.7895048262</v>
      </c>
      <c r="K19" s="9"/>
      <c r="L19" s="13"/>
      <c r="M19" s="36" t="str">
        <f>C2</f>
        <v>Heating Degree Days</v>
      </c>
      <c r="N19" s="36">
        <v>533.6796394767342</v>
      </c>
      <c r="O19" s="36">
        <v>34.0838077658125</v>
      </c>
      <c r="P19" s="36">
        <v>15.65786437781865</v>
      </c>
      <c r="Q19" s="36">
        <v>1.0954825488342306E-27</v>
      </c>
      <c r="R19" s="36">
        <v>465.98625678509393</v>
      </c>
      <c r="S19" s="36">
        <v>601.3730221683745</v>
      </c>
      <c r="T19" s="36">
        <v>465.98625678509393</v>
      </c>
      <c r="U19" s="36">
        <v>601.3730221683745</v>
      </c>
    </row>
    <row r="20" spans="1:21" ht="12.75">
      <c r="A20" s="3">
        <v>38139</v>
      </c>
      <c r="B20" s="46">
        <v>999640</v>
      </c>
      <c r="C20" s="69">
        <v>105.1</v>
      </c>
      <c r="D20" s="79">
        <v>0</v>
      </c>
      <c r="E20" s="47">
        <v>430</v>
      </c>
      <c r="F20" s="72">
        <v>128.85303193013166</v>
      </c>
      <c r="G20" s="89">
        <v>7.8</v>
      </c>
      <c r="H20" s="71">
        <v>30</v>
      </c>
      <c r="I20" s="71">
        <v>352.08</v>
      </c>
      <c r="J20" s="9">
        <f t="shared" si="0"/>
        <v>1037249.2119385984</v>
      </c>
      <c r="K20" s="9"/>
      <c r="L20" s="13"/>
      <c r="M20" s="36" t="str">
        <f>D2</f>
        <v>Spring Fall Flag</v>
      </c>
      <c r="N20" s="36">
        <v>-105200.65162027966</v>
      </c>
      <c r="O20" s="36">
        <v>22240.28273074698</v>
      </c>
      <c r="P20" s="36">
        <v>-4.730184993324781</v>
      </c>
      <c r="Q20" s="36">
        <v>8.07094605699649E-06</v>
      </c>
      <c r="R20" s="36">
        <v>-149371.77183099842</v>
      </c>
      <c r="S20" s="36">
        <v>-61029.5314095609</v>
      </c>
      <c r="T20" s="36">
        <v>-149371.77183099842</v>
      </c>
      <c r="U20" s="36">
        <v>-61029.5314095609</v>
      </c>
    </row>
    <row r="21" spans="1:21" ht="13.5" thickBot="1">
      <c r="A21" s="3">
        <v>38169</v>
      </c>
      <c r="B21" s="46">
        <v>1088247.91</v>
      </c>
      <c r="C21" s="69">
        <v>30.1</v>
      </c>
      <c r="D21" s="79">
        <v>0</v>
      </c>
      <c r="E21" s="47">
        <v>430</v>
      </c>
      <c r="F21" s="72">
        <v>129.11844807878055</v>
      </c>
      <c r="G21" s="89">
        <v>39.3</v>
      </c>
      <c r="H21" s="71">
        <v>31</v>
      </c>
      <c r="I21" s="71">
        <v>336.288</v>
      </c>
      <c r="J21" s="9">
        <f t="shared" si="0"/>
        <v>997223.2389778433</v>
      </c>
      <c r="K21" s="9"/>
      <c r="L21" s="13"/>
      <c r="M21" s="57" t="str">
        <f>E2</f>
        <v>Number of Customers</v>
      </c>
      <c r="N21" s="57">
        <v>3986.6228953320306</v>
      </c>
      <c r="O21" s="57">
        <v>1130.967539854012</v>
      </c>
      <c r="P21" s="57">
        <v>3.5249666810478337</v>
      </c>
      <c r="Q21" s="57">
        <v>0.0006622003445678907</v>
      </c>
      <c r="R21" s="57">
        <v>1740.4237906664866</v>
      </c>
      <c r="S21" s="57">
        <v>6232.8219999975745</v>
      </c>
      <c r="T21" s="57">
        <v>1740.4237906664866</v>
      </c>
      <c r="U21" s="57">
        <v>6232.8219999975745</v>
      </c>
    </row>
    <row r="22" spans="1:12" ht="12.75">
      <c r="A22" s="3">
        <v>38200</v>
      </c>
      <c r="B22" s="46">
        <v>1035598.77</v>
      </c>
      <c r="C22" s="69">
        <v>82.3</v>
      </c>
      <c r="D22" s="79">
        <v>0</v>
      </c>
      <c r="E22" s="47">
        <v>433</v>
      </c>
      <c r="F22" s="72">
        <v>129.38441094123903</v>
      </c>
      <c r="G22" s="89">
        <v>15</v>
      </c>
      <c r="H22" s="71">
        <v>31</v>
      </c>
      <c r="I22" s="71">
        <v>336.288</v>
      </c>
      <c r="J22" s="9">
        <f t="shared" si="0"/>
        <v>1037041.1848445251</v>
      </c>
      <c r="K22" s="9"/>
      <c r="L22" s="13"/>
    </row>
    <row r="23" spans="1:12" ht="12.75">
      <c r="A23" s="3">
        <v>38231</v>
      </c>
      <c r="B23" s="46">
        <v>1005643</v>
      </c>
      <c r="C23" s="69">
        <v>92.8</v>
      </c>
      <c r="D23" s="79">
        <v>1</v>
      </c>
      <c r="E23" s="47">
        <v>434</v>
      </c>
      <c r="F23" s="72">
        <v>129.65092164364802</v>
      </c>
      <c r="G23" s="89">
        <v>19.5</v>
      </c>
      <c r="H23" s="71">
        <v>30</v>
      </c>
      <c r="I23" s="71">
        <v>336.24</v>
      </c>
      <c r="J23" s="9">
        <f t="shared" si="0"/>
        <v>941430.7923340831</v>
      </c>
      <c r="K23" s="9"/>
      <c r="L23" s="13"/>
    </row>
    <row r="24" spans="1:12" ht="12.75">
      <c r="A24" s="3">
        <v>38261</v>
      </c>
      <c r="B24" s="46">
        <v>1102652.72</v>
      </c>
      <c r="C24" s="69">
        <v>325</v>
      </c>
      <c r="D24" s="79">
        <v>1</v>
      </c>
      <c r="E24" s="47">
        <v>434</v>
      </c>
      <c r="F24" s="72">
        <v>129.91798131446814</v>
      </c>
      <c r="G24" s="89">
        <v>0</v>
      </c>
      <c r="H24" s="71">
        <v>31</v>
      </c>
      <c r="I24" s="71">
        <v>319.92</v>
      </c>
      <c r="J24" s="9">
        <f t="shared" si="0"/>
        <v>1065351.204620581</v>
      </c>
      <c r="K24" s="9"/>
      <c r="L24" s="13"/>
    </row>
    <row r="25" spans="1:12" ht="12.75">
      <c r="A25" s="3">
        <v>38292</v>
      </c>
      <c r="B25" s="46">
        <v>1231967.12</v>
      </c>
      <c r="C25" s="69">
        <v>530</v>
      </c>
      <c r="D25" s="79">
        <v>1</v>
      </c>
      <c r="E25" s="47">
        <v>427</v>
      </c>
      <c r="F25" s="72">
        <v>130.18559108448443</v>
      </c>
      <c r="G25" s="89">
        <v>0</v>
      </c>
      <c r="H25" s="71">
        <v>30</v>
      </c>
      <c r="I25" s="71">
        <v>352.08</v>
      </c>
      <c r="J25" s="9">
        <f t="shared" si="0"/>
        <v>1146849.170445987</v>
      </c>
      <c r="K25" s="9"/>
      <c r="L25" s="13"/>
    </row>
    <row r="26" spans="1:12" ht="12.75">
      <c r="A26" s="3">
        <v>38322</v>
      </c>
      <c r="B26" s="46">
        <v>1533540.78</v>
      </c>
      <c r="C26" s="69">
        <v>895.5</v>
      </c>
      <c r="D26" s="79">
        <v>0</v>
      </c>
      <c r="E26" s="47">
        <v>429</v>
      </c>
      <c r="F26" s="72">
        <v>130.45375208681136</v>
      </c>
      <c r="G26" s="89">
        <v>0</v>
      </c>
      <c r="H26" s="71">
        <v>31</v>
      </c>
      <c r="I26" s="71">
        <v>336.288</v>
      </c>
      <c r="J26" s="9">
        <f t="shared" si="0"/>
        <v>1455082.976085677</v>
      </c>
      <c r="K26" s="9"/>
      <c r="L26" s="13"/>
    </row>
    <row r="27" spans="1:12" ht="12.75">
      <c r="A27" s="3">
        <v>38353</v>
      </c>
      <c r="B27" s="46">
        <v>1698252.58</v>
      </c>
      <c r="C27" s="69">
        <v>1011.1</v>
      </c>
      <c r="D27" s="79">
        <v>0</v>
      </c>
      <c r="E27" s="47">
        <v>433</v>
      </c>
      <c r="F27" s="72">
        <v>130.7437021568508</v>
      </c>
      <c r="G27" s="89">
        <v>0</v>
      </c>
      <c r="H27" s="71">
        <v>31</v>
      </c>
      <c r="I27" s="71">
        <v>319.92</v>
      </c>
      <c r="J27" s="9">
        <f t="shared" si="0"/>
        <v>1532722.8339905157</v>
      </c>
      <c r="K27" s="9"/>
      <c r="L27" s="13"/>
    </row>
    <row r="28" spans="1:12" ht="12.75">
      <c r="A28" s="3">
        <v>38384</v>
      </c>
      <c r="B28" s="46">
        <v>1427199</v>
      </c>
      <c r="C28" s="69">
        <v>747</v>
      </c>
      <c r="D28" s="79">
        <v>0</v>
      </c>
      <c r="E28" s="47">
        <v>437</v>
      </c>
      <c r="F28" s="72">
        <v>131.0342966778299</v>
      </c>
      <c r="G28" s="89">
        <v>0</v>
      </c>
      <c r="H28" s="71">
        <v>28</v>
      </c>
      <c r="I28" s="71">
        <v>319.872</v>
      </c>
      <c r="J28" s="9">
        <f t="shared" si="0"/>
        <v>1407724.5327860382</v>
      </c>
      <c r="K28" s="9"/>
      <c r="L28" s="13"/>
    </row>
    <row r="29" spans="1:12" ht="12.75">
      <c r="A29" s="3">
        <v>38412</v>
      </c>
      <c r="B29" s="46">
        <v>1375030</v>
      </c>
      <c r="C29" s="69">
        <v>733.6</v>
      </c>
      <c r="D29" s="79">
        <v>1</v>
      </c>
      <c r="E29" s="47">
        <v>437</v>
      </c>
      <c r="F29" s="72">
        <v>131.32553708212293</v>
      </c>
      <c r="G29" s="89">
        <v>0</v>
      </c>
      <c r="H29" s="71">
        <v>31</v>
      </c>
      <c r="I29" s="71">
        <v>351.912</v>
      </c>
      <c r="J29" s="9">
        <f t="shared" si="0"/>
        <v>1295372.5739967704</v>
      </c>
      <c r="K29" s="9"/>
      <c r="L29" s="13"/>
    </row>
    <row r="30" spans="1:12" ht="12.75">
      <c r="A30" s="3">
        <v>38443</v>
      </c>
      <c r="B30" s="46">
        <v>1120858</v>
      </c>
      <c r="C30" s="69">
        <v>371.5</v>
      </c>
      <c r="D30" s="79">
        <v>1</v>
      </c>
      <c r="E30" s="47">
        <v>438</v>
      </c>
      <c r="F30" s="72">
        <v>131.61742480528775</v>
      </c>
      <c r="G30" s="89">
        <v>0</v>
      </c>
      <c r="H30" s="71">
        <v>30</v>
      </c>
      <c r="I30" s="71">
        <v>336.24</v>
      </c>
      <c r="J30" s="9">
        <f t="shared" si="0"/>
        <v>1106113.799437577</v>
      </c>
      <c r="K30" s="9"/>
      <c r="L30" s="13"/>
    </row>
    <row r="31" spans="1:12" ht="12.75">
      <c r="A31" s="3">
        <v>38473</v>
      </c>
      <c r="B31" s="46">
        <v>1070883</v>
      </c>
      <c r="C31" s="69">
        <v>215.4</v>
      </c>
      <c r="D31" s="79">
        <v>1</v>
      </c>
      <c r="E31" s="47">
        <v>440</v>
      </c>
      <c r="F31" s="72">
        <v>131.90996128607298</v>
      </c>
      <c r="G31" s="89">
        <v>0</v>
      </c>
      <c r="H31" s="71">
        <v>31</v>
      </c>
      <c r="I31" s="71">
        <v>336.288</v>
      </c>
      <c r="J31" s="9">
        <f t="shared" si="0"/>
        <v>1030779.6535059229</v>
      </c>
      <c r="K31" s="9"/>
      <c r="L31" s="13"/>
    </row>
    <row r="32" spans="1:12" ht="12.75">
      <c r="A32" s="3">
        <v>38504</v>
      </c>
      <c r="B32" s="46">
        <v>1087455.96</v>
      </c>
      <c r="C32" s="69">
        <v>26.3</v>
      </c>
      <c r="D32" s="79">
        <v>0</v>
      </c>
      <c r="E32" s="47">
        <v>433</v>
      </c>
      <c r="F32" s="72">
        <v>132.203147966425</v>
      </c>
      <c r="G32" s="89">
        <v>0</v>
      </c>
      <c r="H32" s="71">
        <v>30</v>
      </c>
      <c r="I32" s="71">
        <v>352.08</v>
      </c>
      <c r="J32" s="9">
        <f t="shared" si="0"/>
        <v>1007155.125033828</v>
      </c>
      <c r="K32" s="9"/>
      <c r="L32" s="13"/>
    </row>
    <row r="33" spans="1:12" ht="12.75">
      <c r="A33" s="3">
        <v>38534</v>
      </c>
      <c r="B33" s="46">
        <v>1168032.4</v>
      </c>
      <c r="C33" s="69">
        <v>14.4</v>
      </c>
      <c r="D33" s="79">
        <v>0</v>
      </c>
      <c r="E33" s="47">
        <v>445</v>
      </c>
      <c r="F33" s="72">
        <v>132.49698629149512</v>
      </c>
      <c r="G33" s="89">
        <v>94.3</v>
      </c>
      <c r="H33" s="71">
        <v>31</v>
      </c>
      <c r="I33" s="71">
        <v>319.92</v>
      </c>
      <c r="J33" s="9">
        <f t="shared" si="0"/>
        <v>1048643.812068039</v>
      </c>
      <c r="K33" s="9"/>
      <c r="L33" s="13"/>
    </row>
    <row r="34" spans="1:12" ht="12.75">
      <c r="A34" s="3">
        <v>38565</v>
      </c>
      <c r="B34" s="46">
        <v>1102234.42</v>
      </c>
      <c r="C34" s="69">
        <v>18.5</v>
      </c>
      <c r="D34" s="79">
        <v>0</v>
      </c>
      <c r="E34" s="47">
        <v>432</v>
      </c>
      <c r="F34" s="72">
        <v>132.79147770964664</v>
      </c>
      <c r="G34" s="89">
        <v>58.9</v>
      </c>
      <c r="H34" s="71">
        <v>31</v>
      </c>
      <c r="I34" s="71">
        <v>351.912</v>
      </c>
      <c r="J34" s="9">
        <f t="shared" si="0"/>
        <v>999005.8009505774</v>
      </c>
      <c r="K34" s="9"/>
      <c r="L34" s="13"/>
    </row>
    <row r="35" spans="1:12" ht="12.75">
      <c r="A35" s="3">
        <v>38596</v>
      </c>
      <c r="B35" s="46">
        <v>1015763.68</v>
      </c>
      <c r="C35" s="69">
        <v>85.2</v>
      </c>
      <c r="D35" s="79">
        <v>1</v>
      </c>
      <c r="E35" s="47">
        <v>448</v>
      </c>
      <c r="F35" s="72">
        <v>133.0866236724621</v>
      </c>
      <c r="G35" s="89">
        <v>18.1</v>
      </c>
      <c r="H35" s="71">
        <v>30</v>
      </c>
      <c r="I35" s="71">
        <v>336.24</v>
      </c>
      <c r="J35" s="9">
        <f t="shared" si="0"/>
        <v>993187.5476087083</v>
      </c>
      <c r="K35" s="9"/>
      <c r="L35" s="13"/>
    </row>
    <row r="36" spans="1:12" ht="12.75">
      <c r="A36" s="3">
        <v>38626</v>
      </c>
      <c r="B36" s="46">
        <v>1092325.21</v>
      </c>
      <c r="C36" s="69">
        <v>300</v>
      </c>
      <c r="D36" s="79">
        <v>1</v>
      </c>
      <c r="E36" s="47">
        <v>451</v>
      </c>
      <c r="F36" s="72">
        <v>133.38242563475035</v>
      </c>
      <c r="G36" s="89">
        <v>7</v>
      </c>
      <c r="H36" s="71">
        <v>31</v>
      </c>
      <c r="I36" s="71">
        <v>319.92</v>
      </c>
      <c r="J36" s="9">
        <f t="shared" si="0"/>
        <v>1119781.802854307</v>
      </c>
      <c r="K36" s="9"/>
      <c r="L36" s="13"/>
    </row>
    <row r="37" spans="1:12" ht="12.75">
      <c r="A37" s="3">
        <v>38657</v>
      </c>
      <c r="B37" s="46">
        <v>1286741.02</v>
      </c>
      <c r="C37" s="69">
        <v>563.8</v>
      </c>
      <c r="D37" s="79">
        <v>1</v>
      </c>
      <c r="E37" s="47">
        <v>449</v>
      </c>
      <c r="F37" s="72">
        <v>133.6788850545537</v>
      </c>
      <c r="G37" s="89">
        <v>0</v>
      </c>
      <c r="H37" s="71">
        <v>30</v>
      </c>
      <c r="I37" s="71">
        <v>352.08</v>
      </c>
      <c r="J37" s="9">
        <f t="shared" si="0"/>
        <v>1252593.2459576053</v>
      </c>
      <c r="K37" s="9"/>
      <c r="L37" s="13"/>
    </row>
    <row r="38" spans="1:12" ht="12.75">
      <c r="A38" s="3">
        <v>38687</v>
      </c>
      <c r="B38" s="46">
        <v>1506656.44</v>
      </c>
      <c r="C38" s="69">
        <v>838.9</v>
      </c>
      <c r="D38" s="79">
        <v>0</v>
      </c>
      <c r="E38" s="47">
        <v>449</v>
      </c>
      <c r="F38" s="72">
        <v>133.97600339315525</v>
      </c>
      <c r="G38" s="89">
        <v>0</v>
      </c>
      <c r="H38" s="71">
        <v>31</v>
      </c>
      <c r="I38" s="71">
        <v>319.92</v>
      </c>
      <c r="J38" s="9">
        <f t="shared" si="0"/>
        <v>1504609.1663979345</v>
      </c>
      <c r="K38" s="9"/>
      <c r="L38" s="13"/>
    </row>
    <row r="39" spans="1:12" ht="12.75">
      <c r="A39" s="3">
        <v>38718</v>
      </c>
      <c r="B39" s="39">
        <v>1511621.998939125</v>
      </c>
      <c r="C39" s="69">
        <v>783.8</v>
      </c>
      <c r="D39" s="79">
        <v>0</v>
      </c>
      <c r="E39" s="47">
        <v>440</v>
      </c>
      <c r="F39" s="72">
        <v>134.25197202423305</v>
      </c>
      <c r="G39" s="89">
        <v>0</v>
      </c>
      <c r="H39" s="71">
        <v>31</v>
      </c>
      <c r="I39" s="71">
        <v>336.288</v>
      </c>
      <c r="J39" s="9">
        <f t="shared" si="0"/>
        <v>1439323.8122047782</v>
      </c>
      <c r="K39" s="9"/>
      <c r="L39" s="13"/>
    </row>
    <row r="40" spans="1:12" ht="12.75">
      <c r="A40" s="3">
        <v>38749</v>
      </c>
      <c r="B40" s="39">
        <v>1412189.3883192015</v>
      </c>
      <c r="C40" s="69">
        <v>821.6</v>
      </c>
      <c r="D40" s="79">
        <v>0</v>
      </c>
      <c r="E40" s="47">
        <v>446</v>
      </c>
      <c r="F40" s="72">
        <v>134.5285091055065</v>
      </c>
      <c r="G40" s="89">
        <v>0</v>
      </c>
      <c r="H40" s="71">
        <v>28</v>
      </c>
      <c r="I40" s="71">
        <v>319.872</v>
      </c>
      <c r="J40" s="9">
        <f t="shared" si="0"/>
        <v>1483416.639948991</v>
      </c>
      <c r="K40" s="9"/>
      <c r="L40" s="13"/>
    </row>
    <row r="41" spans="1:12" ht="12.75">
      <c r="A41" s="3">
        <v>38777</v>
      </c>
      <c r="B41" s="39">
        <v>1349796.2239178584</v>
      </c>
      <c r="C41" s="69">
        <v>644.4</v>
      </c>
      <c r="D41" s="79">
        <v>1</v>
      </c>
      <c r="E41" s="47">
        <v>448</v>
      </c>
      <c r="F41" s="72">
        <v>134.80561580788986</v>
      </c>
      <c r="G41" s="89">
        <v>0</v>
      </c>
      <c r="H41" s="71">
        <v>31</v>
      </c>
      <c r="I41" s="71">
        <v>368.28</v>
      </c>
      <c r="J41" s="9">
        <f t="shared" si="0"/>
        <v>1291621.202004098</v>
      </c>
      <c r="K41" s="9"/>
      <c r="L41" s="13"/>
    </row>
    <row r="42" spans="1:12" ht="12.75">
      <c r="A42" s="3">
        <v>38808</v>
      </c>
      <c r="B42" s="39">
        <v>1087218.894235864</v>
      </c>
      <c r="C42" s="69">
        <v>365.5</v>
      </c>
      <c r="D42" s="79">
        <v>1</v>
      </c>
      <c r="E42" s="47">
        <v>445</v>
      </c>
      <c r="F42" s="72">
        <v>135.08329330470943</v>
      </c>
      <c r="G42" s="89">
        <v>0</v>
      </c>
      <c r="H42" s="71">
        <v>30</v>
      </c>
      <c r="I42" s="71">
        <v>303.84</v>
      </c>
      <c r="J42" s="9">
        <f t="shared" si="0"/>
        <v>1130818.0818680408</v>
      </c>
      <c r="K42" s="9"/>
      <c r="L42" s="13"/>
    </row>
    <row r="43" spans="1:12" ht="12.75">
      <c r="A43" s="3">
        <v>38838</v>
      </c>
      <c r="B43" s="39">
        <v>1030264.6232349363</v>
      </c>
      <c r="C43" s="69">
        <v>165.6</v>
      </c>
      <c r="D43" s="79">
        <v>1</v>
      </c>
      <c r="E43" s="47">
        <v>446</v>
      </c>
      <c r="F43" s="72">
        <v>135.3615427717083</v>
      </c>
      <c r="G43" s="89">
        <v>13.6</v>
      </c>
      <c r="H43" s="71">
        <v>31</v>
      </c>
      <c r="I43" s="71">
        <v>351.912</v>
      </c>
      <c r="J43" s="9">
        <f t="shared" si="0"/>
        <v>1028122.1448319736</v>
      </c>
      <c r="K43" s="9"/>
      <c r="L43" s="13"/>
    </row>
    <row r="44" spans="1:12" ht="12.75">
      <c r="A44" s="3">
        <v>38869</v>
      </c>
      <c r="B44" s="39">
        <v>1024549.414203974</v>
      </c>
      <c r="C44" s="69">
        <v>50.6</v>
      </c>
      <c r="D44" s="79">
        <v>0</v>
      </c>
      <c r="E44" s="47">
        <v>436</v>
      </c>
      <c r="F44" s="72">
        <v>135.64036538705133</v>
      </c>
      <c r="G44" s="89">
        <v>29.9</v>
      </c>
      <c r="H44" s="71">
        <v>30</v>
      </c>
      <c r="I44" s="71">
        <v>352.08</v>
      </c>
      <c r="J44" s="9">
        <f t="shared" si="0"/>
        <v>1032083.4089591085</v>
      </c>
      <c r="K44" s="9"/>
      <c r="L44" s="13"/>
    </row>
    <row r="45" spans="1:12" ht="12.75">
      <c r="A45" s="3">
        <v>38899</v>
      </c>
      <c r="B45" s="39">
        <v>1148407.1648209482</v>
      </c>
      <c r="C45" s="69">
        <v>10.8</v>
      </c>
      <c r="D45" s="79">
        <v>0</v>
      </c>
      <c r="E45" s="47">
        <v>451</v>
      </c>
      <c r="F45" s="72">
        <v>135.9197623313303</v>
      </c>
      <c r="G45" s="89">
        <v>84.2</v>
      </c>
      <c r="H45" s="71">
        <v>31</v>
      </c>
      <c r="I45" s="71">
        <v>319.92</v>
      </c>
      <c r="J45" s="9">
        <f t="shared" si="0"/>
        <v>1070642.302737915</v>
      </c>
      <c r="K45" s="9"/>
      <c r="L45" s="13"/>
    </row>
    <row r="46" spans="1:12" ht="12.75">
      <c r="A46" s="3">
        <v>38930</v>
      </c>
      <c r="B46" s="39">
        <v>1076668.447723218</v>
      </c>
      <c r="C46" s="69">
        <v>44.8</v>
      </c>
      <c r="D46" s="79">
        <v>0</v>
      </c>
      <c r="E46" s="47">
        <v>446</v>
      </c>
      <c r="F46" s="72">
        <v>136.1997347875688</v>
      </c>
      <c r="G46" s="89">
        <v>30.6</v>
      </c>
      <c r="H46" s="71">
        <v>31</v>
      </c>
      <c r="I46" s="71">
        <v>351.912</v>
      </c>
      <c r="J46" s="9">
        <f t="shared" si="0"/>
        <v>1068854.2960034637</v>
      </c>
      <c r="K46" s="9"/>
      <c r="L46" s="13"/>
    </row>
    <row r="47" spans="1:12" ht="12.75">
      <c r="A47" s="3">
        <v>38961</v>
      </c>
      <c r="B47" s="39">
        <v>973236.1916137111</v>
      </c>
      <c r="C47" s="69">
        <v>179.6</v>
      </c>
      <c r="D47" s="79">
        <v>1</v>
      </c>
      <c r="E47" s="47">
        <v>444</v>
      </c>
      <c r="F47" s="72">
        <v>136.48028394122719</v>
      </c>
      <c r="G47" s="89">
        <v>1.2</v>
      </c>
      <c r="H47" s="71">
        <v>30</v>
      </c>
      <c r="I47" s="71">
        <v>319.68</v>
      </c>
      <c r="J47" s="9">
        <f t="shared" si="0"/>
        <v>1027620.413993984</v>
      </c>
      <c r="K47" s="9"/>
      <c r="L47" s="13"/>
    </row>
    <row r="48" spans="1:12" ht="12.75">
      <c r="A48" s="3">
        <v>38991</v>
      </c>
      <c r="B48" s="39">
        <v>1123891.368630195</v>
      </c>
      <c r="C48" s="69">
        <v>399.5</v>
      </c>
      <c r="D48" s="79">
        <v>1</v>
      </c>
      <c r="E48" s="47">
        <v>436</v>
      </c>
      <c r="F48" s="72">
        <v>136.76141098020776</v>
      </c>
      <c r="G48" s="89">
        <v>0</v>
      </c>
      <c r="H48" s="71">
        <v>31</v>
      </c>
      <c r="I48" s="71">
        <v>336.288</v>
      </c>
      <c r="J48" s="9">
        <f t="shared" si="0"/>
        <v>1113083.5835522613</v>
      </c>
      <c r="K48" s="9"/>
      <c r="L48" s="13"/>
    </row>
    <row r="49" spans="1:12" ht="12.75">
      <c r="A49" s="3">
        <v>39022</v>
      </c>
      <c r="B49" s="39">
        <v>1235627.981964207</v>
      </c>
      <c r="C49" s="69">
        <v>513</v>
      </c>
      <c r="D49" s="79">
        <v>1</v>
      </c>
      <c r="E49" s="47">
        <v>442</v>
      </c>
      <c r="F49" s="72">
        <v>137.04311709485967</v>
      </c>
      <c r="G49" s="89">
        <v>0</v>
      </c>
      <c r="H49" s="71">
        <v>30</v>
      </c>
      <c r="I49" s="71">
        <v>352.08</v>
      </c>
      <c r="J49" s="9">
        <f t="shared" si="0"/>
        <v>1197575.960004863</v>
      </c>
      <c r="K49" s="9"/>
      <c r="L49" s="13"/>
    </row>
    <row r="50" spans="1:12" ht="12.75">
      <c r="A50" s="3">
        <v>39052</v>
      </c>
      <c r="B50" s="39">
        <v>1380809.5886349678</v>
      </c>
      <c r="C50" s="69">
        <v>675.3</v>
      </c>
      <c r="D50" s="79">
        <v>0</v>
      </c>
      <c r="E50" s="47">
        <v>441</v>
      </c>
      <c r="F50" s="72">
        <v>137.3254034779841</v>
      </c>
      <c r="G50" s="89">
        <v>0</v>
      </c>
      <c r="H50" s="71">
        <v>31</v>
      </c>
      <c r="I50" s="71">
        <v>304.296</v>
      </c>
      <c r="J50" s="9">
        <f t="shared" si="0"/>
        <v>1385406.1942168847</v>
      </c>
      <c r="K50" s="9"/>
      <c r="L50" s="13"/>
    </row>
    <row r="51" spans="1:12" ht="12.75">
      <c r="A51" s="3">
        <v>39083</v>
      </c>
      <c r="B51" s="39">
        <v>1522502.0470399093</v>
      </c>
      <c r="C51" s="69">
        <v>882.1</v>
      </c>
      <c r="D51" s="79">
        <v>0</v>
      </c>
      <c r="E51" s="47">
        <v>440</v>
      </c>
      <c r="F51" s="72">
        <v>137.55</v>
      </c>
      <c r="G51" s="89">
        <v>0</v>
      </c>
      <c r="H51" s="71">
        <v>31</v>
      </c>
      <c r="I51" s="71">
        <v>351.912</v>
      </c>
      <c r="J51" s="9">
        <f t="shared" si="0"/>
        <v>1491784.5207653414</v>
      </c>
      <c r="K51" s="9"/>
      <c r="L51" s="13"/>
    </row>
    <row r="52" spans="1:12" ht="12.75">
      <c r="A52" s="3">
        <v>39114</v>
      </c>
      <c r="B52" s="39">
        <v>1480040.9569976898</v>
      </c>
      <c r="C52" s="69">
        <v>906.6</v>
      </c>
      <c r="D52" s="79">
        <v>0</v>
      </c>
      <c r="E52" s="47">
        <v>442</v>
      </c>
      <c r="F52" s="72">
        <v>137.78</v>
      </c>
      <c r="G52" s="89">
        <v>0</v>
      </c>
      <c r="H52" s="71">
        <v>28</v>
      </c>
      <c r="I52" s="71">
        <v>319.872</v>
      </c>
      <c r="J52" s="9">
        <f t="shared" si="0"/>
        <v>1512832.9177231854</v>
      </c>
      <c r="K52" s="9"/>
      <c r="L52" s="13"/>
    </row>
    <row r="53" spans="1:12" ht="12.75">
      <c r="A53" s="3">
        <v>39142</v>
      </c>
      <c r="B53" s="39">
        <v>1384789.869675204</v>
      </c>
      <c r="C53" s="69">
        <v>689.1</v>
      </c>
      <c r="D53" s="79">
        <v>1</v>
      </c>
      <c r="E53" s="47">
        <v>443</v>
      </c>
      <c r="F53" s="72">
        <v>138.01</v>
      </c>
      <c r="G53" s="89">
        <v>0</v>
      </c>
      <c r="H53" s="71">
        <v>31</v>
      </c>
      <c r="I53" s="71">
        <v>351.912</v>
      </c>
      <c r="J53" s="9">
        <f t="shared" si="0"/>
        <v>1295543.567412048</v>
      </c>
      <c r="K53" s="9"/>
      <c r="L53" s="13"/>
    </row>
    <row r="54" spans="1:12" ht="12.75">
      <c r="A54" s="3">
        <v>39173</v>
      </c>
      <c r="B54" s="39">
        <v>1123122.9468010133</v>
      </c>
      <c r="C54" s="69">
        <v>428.3</v>
      </c>
      <c r="D54" s="79">
        <v>1</v>
      </c>
      <c r="E54" s="47">
        <v>451</v>
      </c>
      <c r="F54" s="72">
        <v>138.23</v>
      </c>
      <c r="G54" s="89">
        <v>0</v>
      </c>
      <c r="H54" s="71">
        <v>30</v>
      </c>
      <c r="I54" s="71">
        <v>319.68</v>
      </c>
      <c r="J54" s="9">
        <f t="shared" si="0"/>
        <v>1188252.9005991719</v>
      </c>
      <c r="K54" s="9"/>
      <c r="L54" s="13"/>
    </row>
    <row r="55" spans="1:12" ht="12.75">
      <c r="A55" s="3">
        <v>39203</v>
      </c>
      <c r="B55" s="39">
        <v>1030444.6883191462</v>
      </c>
      <c r="C55" s="69">
        <v>186.7</v>
      </c>
      <c r="D55" s="79">
        <v>1</v>
      </c>
      <c r="E55" s="47">
        <v>445</v>
      </c>
      <c r="F55" s="72">
        <v>138.46</v>
      </c>
      <c r="G55" s="89">
        <v>14.2</v>
      </c>
      <c r="H55" s="71">
        <v>31</v>
      </c>
      <c r="I55" s="71">
        <v>351.912</v>
      </c>
      <c r="J55" s="9">
        <f t="shared" si="0"/>
        <v>1035396.1623296009</v>
      </c>
      <c r="K55" s="9"/>
      <c r="L55" s="13"/>
    </row>
    <row r="56" spans="1:12" ht="12.75">
      <c r="A56" s="3">
        <v>39234</v>
      </c>
      <c r="B56" s="39">
        <v>1034180.198727427</v>
      </c>
      <c r="C56" s="69">
        <v>62.5</v>
      </c>
      <c r="D56" s="79">
        <v>0</v>
      </c>
      <c r="E56" s="47">
        <v>452</v>
      </c>
      <c r="F56" s="72">
        <v>138.69</v>
      </c>
      <c r="G56" s="89">
        <v>52.4</v>
      </c>
      <c r="H56" s="71">
        <v>30</v>
      </c>
      <c r="I56" s="71">
        <v>336.24</v>
      </c>
      <c r="J56" s="9">
        <f t="shared" si="0"/>
        <v>1102220.1629941943</v>
      </c>
      <c r="K56" s="9"/>
      <c r="L56" s="13"/>
    </row>
    <row r="57" spans="1:12" ht="12.75">
      <c r="A57" s="3">
        <v>39264</v>
      </c>
      <c r="B57" s="39">
        <v>1128325.6086984295</v>
      </c>
      <c r="C57" s="69">
        <v>34.1</v>
      </c>
      <c r="D57" s="79">
        <v>0</v>
      </c>
      <c r="E57" s="47">
        <v>438</v>
      </c>
      <c r="F57" s="72">
        <v>138.92</v>
      </c>
      <c r="G57" s="89">
        <v>46.5</v>
      </c>
      <c r="H57" s="71">
        <v>31</v>
      </c>
      <c r="I57" s="71">
        <v>336.288</v>
      </c>
      <c r="J57" s="9">
        <f t="shared" si="0"/>
        <v>1031250.9406984065</v>
      </c>
      <c r="K57" s="9"/>
      <c r="L57" s="13"/>
    </row>
    <row r="58" spans="1:12" ht="12.75">
      <c r="A58" s="3">
        <v>39295</v>
      </c>
      <c r="B58" s="39">
        <v>1055630.1814114968</v>
      </c>
      <c r="C58" s="69">
        <v>36</v>
      </c>
      <c r="D58" s="79">
        <v>0</v>
      </c>
      <c r="E58" s="47">
        <v>440</v>
      </c>
      <c r="F58" s="72">
        <v>139.15</v>
      </c>
      <c r="G58" s="89">
        <v>49.6</v>
      </c>
      <c r="H58" s="71">
        <v>31</v>
      </c>
      <c r="I58" s="71">
        <v>351.912</v>
      </c>
      <c r="J58" s="9">
        <f t="shared" si="0"/>
        <v>1040238.1778040763</v>
      </c>
      <c r="K58" s="9"/>
      <c r="L58" s="13"/>
    </row>
    <row r="59" spans="1:12" ht="12.75">
      <c r="A59" s="3">
        <v>39326</v>
      </c>
      <c r="B59" s="39">
        <v>987378.5958605675</v>
      </c>
      <c r="C59" s="69">
        <v>118.8</v>
      </c>
      <c r="D59" s="79">
        <v>1</v>
      </c>
      <c r="E59" s="47">
        <v>444</v>
      </c>
      <c r="F59" s="72">
        <v>139.38</v>
      </c>
      <c r="G59" s="89">
        <v>11.9</v>
      </c>
      <c r="H59" s="71">
        <v>30</v>
      </c>
      <c r="I59" s="71">
        <v>303.84</v>
      </c>
      <c r="J59" s="9">
        <f t="shared" si="0"/>
        <v>995172.6919137986</v>
      </c>
      <c r="K59" s="9"/>
      <c r="L59" s="13"/>
    </row>
    <row r="60" spans="1:12" ht="12.75">
      <c r="A60" s="3">
        <v>39356</v>
      </c>
      <c r="B60" s="39">
        <v>1056832.09628061</v>
      </c>
      <c r="C60" s="69">
        <v>273.1</v>
      </c>
      <c r="D60" s="79">
        <v>1</v>
      </c>
      <c r="E60" s="47">
        <v>443</v>
      </c>
      <c r="F60" s="72">
        <v>139.61</v>
      </c>
      <c r="G60" s="89">
        <v>0</v>
      </c>
      <c r="H60" s="71">
        <v>31</v>
      </c>
      <c r="I60" s="71">
        <v>351.912</v>
      </c>
      <c r="J60" s="9">
        <f t="shared" si="0"/>
        <v>1073532.8373897267</v>
      </c>
      <c r="K60" s="9"/>
      <c r="L60" s="13"/>
    </row>
    <row r="61" spans="1:12" ht="12.75">
      <c r="A61" s="3">
        <v>39387</v>
      </c>
      <c r="B61" s="39">
        <v>1243989.380384282</v>
      </c>
      <c r="C61" s="69">
        <v>589.6</v>
      </c>
      <c r="D61" s="79">
        <v>1</v>
      </c>
      <c r="E61" s="47">
        <v>448</v>
      </c>
      <c r="F61" s="72">
        <v>139.84</v>
      </c>
      <c r="G61" s="89">
        <v>0</v>
      </c>
      <c r="H61" s="71">
        <v>30</v>
      </c>
      <c r="I61" s="71">
        <v>352.08</v>
      </c>
      <c r="J61" s="9">
        <f t="shared" si="0"/>
        <v>1262375.557760773</v>
      </c>
      <c r="K61" s="9"/>
      <c r="L61" s="13"/>
    </row>
    <row r="62" spans="1:12" ht="12.75">
      <c r="A62" s="3">
        <v>39417</v>
      </c>
      <c r="B62" s="47">
        <v>1440865.3777609346</v>
      </c>
      <c r="C62" s="69">
        <v>824.5</v>
      </c>
      <c r="D62" s="79">
        <v>0</v>
      </c>
      <c r="E62" s="47">
        <v>445</v>
      </c>
      <c r="F62" s="72">
        <v>140.07</v>
      </c>
      <c r="G62" s="89">
        <v>0</v>
      </c>
      <c r="H62" s="71">
        <v>31</v>
      </c>
      <c r="I62" s="71">
        <v>304.296</v>
      </c>
      <c r="J62" s="9">
        <f t="shared" si="0"/>
        <v>1480977.6880081417</v>
      </c>
      <c r="K62" s="9"/>
      <c r="L62" s="13"/>
    </row>
    <row r="63" spans="1:10" ht="12.75">
      <c r="A63" s="3">
        <v>39448</v>
      </c>
      <c r="B63" s="47">
        <v>1510620.477418997</v>
      </c>
      <c r="C63" s="69">
        <v>829.7</v>
      </c>
      <c r="D63" s="79">
        <v>0</v>
      </c>
      <c r="E63" s="47">
        <v>447</v>
      </c>
      <c r="F63" s="72">
        <v>139.97</v>
      </c>
      <c r="G63" s="89">
        <v>0</v>
      </c>
      <c r="H63" s="71">
        <v>31</v>
      </c>
      <c r="I63" s="71">
        <v>352</v>
      </c>
      <c r="J63" s="9">
        <f t="shared" si="0"/>
        <v>1491726.0679240846</v>
      </c>
    </row>
    <row r="64" spans="1:10" ht="12.75">
      <c r="A64" s="3">
        <v>39479</v>
      </c>
      <c r="B64" s="47">
        <v>1483782.8836433566</v>
      </c>
      <c r="C64" s="69">
        <v>861.5</v>
      </c>
      <c r="D64" s="79">
        <v>0</v>
      </c>
      <c r="E64" s="47">
        <v>446</v>
      </c>
      <c r="F64" s="72">
        <v>139.86</v>
      </c>
      <c r="G64" s="89">
        <v>0</v>
      </c>
      <c r="H64" s="71">
        <v>29</v>
      </c>
      <c r="I64" s="71">
        <v>320</v>
      </c>
      <c r="J64" s="9">
        <f t="shared" si="0"/>
        <v>1504710.4575641125</v>
      </c>
    </row>
    <row r="65" spans="1:10" ht="12.75">
      <c r="A65" s="3">
        <v>39508</v>
      </c>
      <c r="B65" s="47">
        <v>1435424.9777367585</v>
      </c>
      <c r="C65" s="69">
        <v>777.8</v>
      </c>
      <c r="D65" s="79">
        <v>1</v>
      </c>
      <c r="E65" s="47">
        <v>441</v>
      </c>
      <c r="F65" s="72">
        <v>139.76</v>
      </c>
      <c r="G65" s="89">
        <v>0</v>
      </c>
      <c r="H65" s="71">
        <v>31</v>
      </c>
      <c r="I65" s="71">
        <v>304</v>
      </c>
      <c r="J65" s="9">
        <f t="shared" si="0"/>
        <v>1334907.7056429703</v>
      </c>
    </row>
    <row r="66" spans="1:10" ht="12.75">
      <c r="A66" s="3">
        <v>39539</v>
      </c>
      <c r="B66" s="47">
        <v>1124107.6309214705</v>
      </c>
      <c r="C66" s="69">
        <v>367.9</v>
      </c>
      <c r="D66" s="79">
        <v>1</v>
      </c>
      <c r="E66" s="47">
        <v>442</v>
      </c>
      <c r="F66" s="72">
        <v>139.65</v>
      </c>
      <c r="G66" s="89">
        <v>0</v>
      </c>
      <c r="H66" s="71">
        <v>30</v>
      </c>
      <c r="I66" s="71">
        <v>352</v>
      </c>
      <c r="J66" s="9">
        <f t="shared" si="0"/>
        <v>1120139.044316789</v>
      </c>
    </row>
    <row r="67" spans="1:10" ht="12.75">
      <c r="A67" s="3">
        <v>39569</v>
      </c>
      <c r="B67" s="47">
        <v>1032244.5804681217</v>
      </c>
      <c r="C67" s="69">
        <v>268.8</v>
      </c>
      <c r="D67" s="79">
        <v>1</v>
      </c>
      <c r="E67" s="47">
        <v>445</v>
      </c>
      <c r="F67" s="72">
        <v>139.55</v>
      </c>
      <c r="G67" s="89">
        <v>0</v>
      </c>
      <c r="H67" s="71">
        <v>31</v>
      </c>
      <c r="I67" s="71">
        <v>336</v>
      </c>
      <c r="J67" s="9">
        <f t="shared" si="0"/>
        <v>1079211.2607306407</v>
      </c>
    </row>
    <row r="68" spans="1:10" ht="12.75">
      <c r="A68" s="3">
        <v>39600</v>
      </c>
      <c r="B68" s="47">
        <v>1014965.652060558</v>
      </c>
      <c r="C68" s="69">
        <v>49.4</v>
      </c>
      <c r="D68" s="79">
        <v>0</v>
      </c>
      <c r="E68" s="47">
        <v>442</v>
      </c>
      <c r="F68" s="72">
        <v>139.44</v>
      </c>
      <c r="G68" s="89">
        <v>23.7</v>
      </c>
      <c r="H68" s="71">
        <v>30</v>
      </c>
      <c r="I68" s="71">
        <v>336</v>
      </c>
      <c r="J68" s="9">
        <f aca="true" t="shared" si="1" ref="J68:J122">$N$18+C68*$N$19+D68*$N$20+E68*$N$21</f>
        <v>1055362.7307637287</v>
      </c>
    </row>
    <row r="69" spans="1:10" ht="12.75">
      <c r="A69" s="3">
        <v>39630</v>
      </c>
      <c r="B69" s="47">
        <v>1095765.019247182</v>
      </c>
      <c r="C69" s="69">
        <v>16.5</v>
      </c>
      <c r="D69" s="79">
        <v>0</v>
      </c>
      <c r="E69" s="47">
        <v>448</v>
      </c>
      <c r="F69" s="72">
        <v>139.34</v>
      </c>
      <c r="G69" s="89">
        <v>36.7</v>
      </c>
      <c r="H69" s="71">
        <v>31</v>
      </c>
      <c r="I69" s="71">
        <v>352</v>
      </c>
      <c r="J69" s="9">
        <f t="shared" si="1"/>
        <v>1061724.4079969362</v>
      </c>
    </row>
    <row r="70" spans="1:10" ht="12.75">
      <c r="A70" s="3">
        <v>39661</v>
      </c>
      <c r="B70" s="47">
        <v>1085047.3981189884</v>
      </c>
      <c r="C70" s="69">
        <v>28.1</v>
      </c>
      <c r="D70" s="79">
        <v>0</v>
      </c>
      <c r="E70" s="47">
        <v>444</v>
      </c>
      <c r="F70" s="72">
        <v>139.23</v>
      </c>
      <c r="G70" s="89">
        <v>19.9</v>
      </c>
      <c r="H70" s="71">
        <v>31</v>
      </c>
      <c r="I70" s="71">
        <v>320</v>
      </c>
      <c r="J70" s="9">
        <f t="shared" si="1"/>
        <v>1051968.6002335385</v>
      </c>
    </row>
    <row r="71" spans="1:10" ht="12.75">
      <c r="A71" s="3">
        <v>39692</v>
      </c>
      <c r="B71" s="47">
        <v>985647.2224861936</v>
      </c>
      <c r="C71" s="69">
        <v>153.4</v>
      </c>
      <c r="D71" s="79">
        <v>1</v>
      </c>
      <c r="E71" s="47">
        <v>444</v>
      </c>
      <c r="F71" s="72">
        <v>139.13</v>
      </c>
      <c r="G71" s="89">
        <v>7.6</v>
      </c>
      <c r="H71" s="71">
        <v>30</v>
      </c>
      <c r="I71" s="71">
        <v>336</v>
      </c>
      <c r="J71" s="9">
        <f t="shared" si="1"/>
        <v>1013638.0074396936</v>
      </c>
    </row>
    <row r="72" spans="1:10" ht="12.75">
      <c r="A72" s="3">
        <v>39722</v>
      </c>
      <c r="B72" s="47">
        <v>1088757.6011006564</v>
      </c>
      <c r="C72" s="69">
        <v>380.2</v>
      </c>
      <c r="D72" s="79">
        <v>1</v>
      </c>
      <c r="E72" s="47">
        <v>444</v>
      </c>
      <c r="F72" s="72">
        <v>139.02</v>
      </c>
      <c r="G72" s="89">
        <v>0.3</v>
      </c>
      <c r="H72" s="71">
        <v>31</v>
      </c>
      <c r="I72" s="71">
        <v>352</v>
      </c>
      <c r="J72" s="9">
        <f t="shared" si="1"/>
        <v>1134676.5496730169</v>
      </c>
    </row>
    <row r="73" spans="1:10" ht="12.75">
      <c r="A73" s="3">
        <v>39753</v>
      </c>
      <c r="B73" s="47">
        <v>1281498.4248259133</v>
      </c>
      <c r="C73" s="69">
        <v>573.2</v>
      </c>
      <c r="D73" s="79">
        <v>1</v>
      </c>
      <c r="E73" s="47">
        <v>451</v>
      </c>
      <c r="F73" s="72">
        <v>138.92</v>
      </c>
      <c r="G73" s="89">
        <v>0</v>
      </c>
      <c r="H73" s="71">
        <v>30</v>
      </c>
      <c r="I73" s="71">
        <v>304</v>
      </c>
      <c r="J73" s="9">
        <f t="shared" si="1"/>
        <v>1265583.0803593507</v>
      </c>
    </row>
    <row r="74" spans="1:10" ht="12.75">
      <c r="A74" s="3">
        <v>39783</v>
      </c>
      <c r="B74" s="47">
        <v>1542831.6880293093</v>
      </c>
      <c r="C74" s="69">
        <v>891.8</v>
      </c>
      <c r="D74" s="79">
        <v>0</v>
      </c>
      <c r="E74" s="47">
        <v>445</v>
      </c>
      <c r="F74" s="72">
        <v>138.81</v>
      </c>
      <c r="G74" s="89">
        <v>0</v>
      </c>
      <c r="H74" s="71">
        <v>31</v>
      </c>
      <c r="I74" s="71">
        <v>336</v>
      </c>
      <c r="J74" s="9">
        <f t="shared" si="1"/>
        <v>1516894.3277449259</v>
      </c>
    </row>
    <row r="75" spans="1:33" s="14" customFormat="1" ht="12.75">
      <c r="A75" s="3">
        <v>39814</v>
      </c>
      <c r="B75" s="47">
        <v>1720537.9056635485</v>
      </c>
      <c r="C75" s="69">
        <v>1046.7</v>
      </c>
      <c r="D75" s="79">
        <v>0</v>
      </c>
      <c r="E75" s="47">
        <v>448</v>
      </c>
      <c r="F75" s="72">
        <v>138.39</v>
      </c>
      <c r="G75" s="89">
        <v>0</v>
      </c>
      <c r="H75" s="71">
        <v>31</v>
      </c>
      <c r="I75" s="71">
        <v>336</v>
      </c>
      <c r="J75" s="9">
        <f t="shared" si="1"/>
        <v>1611521.1725858678</v>
      </c>
      <c r="K75" s="51"/>
      <c r="L75" s="1"/>
      <c r="M75"/>
      <c r="N75"/>
      <c r="O75"/>
      <c r="P75"/>
      <c r="Q75"/>
      <c r="R75"/>
      <c r="S75"/>
      <c r="T75"/>
      <c r="U75"/>
      <c r="V75"/>
      <c r="W75"/>
      <c r="X75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11" ht="12.75">
      <c r="A76" s="3">
        <v>39845</v>
      </c>
      <c r="B76" s="47">
        <v>1440735.109013132</v>
      </c>
      <c r="C76" s="69">
        <v>790.3</v>
      </c>
      <c r="D76" s="79">
        <v>0</v>
      </c>
      <c r="E76" s="47">
        <v>451</v>
      </c>
      <c r="F76" s="72">
        <v>137.97</v>
      </c>
      <c r="G76" s="89">
        <v>0</v>
      </c>
      <c r="H76" s="71">
        <v>28</v>
      </c>
      <c r="I76" s="71">
        <v>304</v>
      </c>
      <c r="J76" s="9">
        <f t="shared" si="1"/>
        <v>1486645.5817100294</v>
      </c>
      <c r="K76" s="51"/>
    </row>
    <row r="77" spans="1:11" ht="12.75">
      <c r="A77" s="3">
        <v>39873</v>
      </c>
      <c r="B77" s="47">
        <v>1424698.3196014436</v>
      </c>
      <c r="C77" s="69">
        <v>696.1</v>
      </c>
      <c r="D77" s="79">
        <v>1</v>
      </c>
      <c r="E77" s="47">
        <v>446</v>
      </c>
      <c r="F77" s="72">
        <v>137.54</v>
      </c>
      <c r="G77" s="89">
        <v>0</v>
      </c>
      <c r="H77" s="71">
        <v>31</v>
      </c>
      <c r="I77" s="71">
        <v>352</v>
      </c>
      <c r="J77" s="9">
        <f t="shared" si="1"/>
        <v>1311239.193574381</v>
      </c>
      <c r="K77" s="51"/>
    </row>
    <row r="78" spans="1:11" ht="12.75">
      <c r="A78" s="3">
        <v>39904</v>
      </c>
      <c r="B78" s="47">
        <v>1132284.695995569</v>
      </c>
      <c r="C78" s="69">
        <v>434.2</v>
      </c>
      <c r="D78" s="79">
        <v>1</v>
      </c>
      <c r="E78" s="47">
        <v>441</v>
      </c>
      <c r="F78" s="72">
        <v>137.13</v>
      </c>
      <c r="G78" s="89">
        <v>0</v>
      </c>
      <c r="H78" s="71">
        <v>30</v>
      </c>
      <c r="I78" s="71">
        <v>320</v>
      </c>
      <c r="J78" s="9">
        <f t="shared" si="1"/>
        <v>1151535.3815187644</v>
      </c>
      <c r="K78" s="51"/>
    </row>
    <row r="79" spans="1:11" ht="12.75">
      <c r="A79" s="3">
        <v>39934</v>
      </c>
      <c r="B79" s="47">
        <v>996933.7006791466</v>
      </c>
      <c r="C79" s="69">
        <v>264.3</v>
      </c>
      <c r="D79" s="79">
        <v>1</v>
      </c>
      <c r="E79" s="47">
        <v>438</v>
      </c>
      <c r="F79" s="72">
        <v>136.71</v>
      </c>
      <c r="G79" s="89">
        <v>0.6</v>
      </c>
      <c r="H79" s="71">
        <v>31</v>
      </c>
      <c r="I79" s="71">
        <v>320</v>
      </c>
      <c r="J79" s="9">
        <f t="shared" si="1"/>
        <v>1048903.3420856711</v>
      </c>
      <c r="K79" s="51"/>
    </row>
    <row r="80" spans="1:11" ht="12.75">
      <c r="A80" s="3">
        <v>39965</v>
      </c>
      <c r="B80" s="47">
        <v>986986.8198984077</v>
      </c>
      <c r="C80" s="69">
        <v>93.2</v>
      </c>
      <c r="D80" s="79">
        <v>0</v>
      </c>
      <c r="E80" s="47">
        <v>436</v>
      </c>
      <c r="F80" s="72">
        <v>136.29</v>
      </c>
      <c r="G80" s="89">
        <v>35.8</v>
      </c>
      <c r="H80" s="71">
        <v>30</v>
      </c>
      <c r="I80" s="71">
        <v>352</v>
      </c>
      <c r="J80" s="9">
        <f t="shared" si="1"/>
        <v>1054818.1616008175</v>
      </c>
      <c r="K80" s="51"/>
    </row>
    <row r="81" spans="1:11" ht="12.75">
      <c r="A81" s="3">
        <v>39995</v>
      </c>
      <c r="B81" s="47">
        <v>991854.7777366664</v>
      </c>
      <c r="C81" s="69">
        <v>47.8</v>
      </c>
      <c r="D81" s="79">
        <v>0</v>
      </c>
      <c r="E81" s="47">
        <v>435</v>
      </c>
      <c r="F81" s="72">
        <v>135.87</v>
      </c>
      <c r="G81" s="89">
        <v>8.8</v>
      </c>
      <c r="H81" s="71">
        <v>31</v>
      </c>
      <c r="I81" s="71">
        <v>352</v>
      </c>
      <c r="J81" s="9">
        <f t="shared" si="1"/>
        <v>1026602.4830732418</v>
      </c>
      <c r="K81" s="51"/>
    </row>
    <row r="82" spans="1:11" ht="12.75">
      <c r="A82" s="3">
        <v>40026</v>
      </c>
      <c r="B82" s="47">
        <v>988644.8703394503</v>
      </c>
      <c r="C82" s="69">
        <v>60.8</v>
      </c>
      <c r="D82" s="79">
        <v>0</v>
      </c>
      <c r="E82" s="47">
        <v>432</v>
      </c>
      <c r="F82" s="72">
        <v>135.46</v>
      </c>
      <c r="G82" s="89">
        <v>34</v>
      </c>
      <c r="H82" s="71">
        <v>31</v>
      </c>
      <c r="I82" s="71">
        <v>320</v>
      </c>
      <c r="J82" s="9">
        <f t="shared" si="1"/>
        <v>1021580.4497004432</v>
      </c>
      <c r="K82" s="51"/>
    </row>
    <row r="83" spans="1:11" ht="12.75">
      <c r="A83" s="3">
        <v>40057</v>
      </c>
      <c r="B83" s="47">
        <v>837291.8795350699</v>
      </c>
      <c r="C83" s="69">
        <v>113.6</v>
      </c>
      <c r="D83" s="79">
        <v>1</v>
      </c>
      <c r="E83" s="47">
        <v>437</v>
      </c>
      <c r="F83" s="72">
        <v>135.05</v>
      </c>
      <c r="G83" s="89">
        <v>6.8</v>
      </c>
      <c r="H83" s="71">
        <v>30</v>
      </c>
      <c r="I83" s="71">
        <v>336</v>
      </c>
      <c r="J83" s="9">
        <f t="shared" si="1"/>
        <v>964491.1975211952</v>
      </c>
      <c r="K83" s="51"/>
    </row>
    <row r="84" spans="1:11" ht="12.75">
      <c r="A84" s="3">
        <v>40087</v>
      </c>
      <c r="B84" s="47">
        <v>989824.0714963637</v>
      </c>
      <c r="C84" s="69">
        <v>418.2</v>
      </c>
      <c r="D84" s="79">
        <v>1</v>
      </c>
      <c r="E84" s="47">
        <v>430</v>
      </c>
      <c r="F84" s="72">
        <v>134.63</v>
      </c>
      <c r="G84" s="89">
        <v>0</v>
      </c>
      <c r="H84" s="71">
        <v>31</v>
      </c>
      <c r="I84" s="71">
        <v>336</v>
      </c>
      <c r="J84" s="9">
        <f t="shared" si="1"/>
        <v>1099143.6554384842</v>
      </c>
      <c r="K84" s="51"/>
    </row>
    <row r="85" spans="1:11" ht="12.75">
      <c r="A85" s="3">
        <v>40118</v>
      </c>
      <c r="B85" s="47">
        <v>1028906.9835504332</v>
      </c>
      <c r="C85" s="69">
        <v>453.3</v>
      </c>
      <c r="D85" s="79">
        <v>1</v>
      </c>
      <c r="E85" s="47">
        <v>439</v>
      </c>
      <c r="F85" s="72">
        <v>134.22</v>
      </c>
      <c r="G85" s="89">
        <v>0</v>
      </c>
      <c r="H85" s="71">
        <v>30</v>
      </c>
      <c r="I85" s="71">
        <v>320</v>
      </c>
      <c r="J85" s="9">
        <f t="shared" si="1"/>
        <v>1153755.4168421058</v>
      </c>
      <c r="K85" s="51"/>
    </row>
    <row r="86" spans="1:33" s="32" customFormat="1" ht="12.75">
      <c r="A86" s="3">
        <v>40148</v>
      </c>
      <c r="B86" s="46">
        <v>1308890.9895335685</v>
      </c>
      <c r="C86" s="69">
        <v>826.5</v>
      </c>
      <c r="D86" s="79">
        <v>0</v>
      </c>
      <c r="E86" s="47">
        <v>439</v>
      </c>
      <c r="F86" s="72">
        <v>133.81</v>
      </c>
      <c r="G86" s="89">
        <v>0</v>
      </c>
      <c r="H86" s="71">
        <v>31</v>
      </c>
      <c r="I86" s="71">
        <v>352</v>
      </c>
      <c r="J86" s="9">
        <f t="shared" si="1"/>
        <v>1458125.3099151028</v>
      </c>
      <c r="K86" s="51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27" ht="12.75">
      <c r="A87" s="3">
        <v>40179</v>
      </c>
      <c r="B87" s="46">
        <v>1357955.736983348</v>
      </c>
      <c r="C87" s="69">
        <v>878.8</v>
      </c>
      <c r="D87" s="79">
        <v>0</v>
      </c>
      <c r="E87" s="47">
        <v>434</v>
      </c>
      <c r="F87" s="72">
        <v>134.17</v>
      </c>
      <c r="G87" s="89">
        <v>0</v>
      </c>
      <c r="H87" s="71">
        <v>31</v>
      </c>
      <c r="I87" s="71">
        <v>320</v>
      </c>
      <c r="J87" s="9">
        <f t="shared" si="1"/>
        <v>1466103.6405830758</v>
      </c>
      <c r="K87" s="51"/>
      <c r="Y87" s="10"/>
      <c r="Z87" s="10"/>
      <c r="AA87" s="10"/>
    </row>
    <row r="88" spans="1:11" ht="12.75">
      <c r="A88" s="3">
        <v>40210</v>
      </c>
      <c r="B88" s="46">
        <v>1121797.6410652823</v>
      </c>
      <c r="C88" s="69">
        <v>750.7</v>
      </c>
      <c r="D88" s="79">
        <v>0</v>
      </c>
      <c r="E88" s="47">
        <v>436</v>
      </c>
      <c r="F88" s="72">
        <v>134.52</v>
      </c>
      <c r="G88" s="89">
        <v>0</v>
      </c>
      <c r="H88" s="71">
        <v>28</v>
      </c>
      <c r="I88" s="71">
        <v>304</v>
      </c>
      <c r="J88" s="9">
        <f t="shared" si="1"/>
        <v>1405712.5245567702</v>
      </c>
      <c r="K88" s="51"/>
    </row>
    <row r="89" spans="1:11" ht="12.75">
      <c r="A89" s="3">
        <v>40238</v>
      </c>
      <c r="B89" s="46">
        <v>985559.144504243</v>
      </c>
      <c r="C89" s="69">
        <v>502.9</v>
      </c>
      <c r="D89" s="79">
        <v>1</v>
      </c>
      <c r="E89" s="47">
        <v>426</v>
      </c>
      <c r="F89" s="72">
        <v>134.87</v>
      </c>
      <c r="G89" s="89">
        <v>0</v>
      </c>
      <c r="H89" s="71">
        <v>31</v>
      </c>
      <c r="I89" s="71">
        <v>368</v>
      </c>
      <c r="J89" s="9">
        <f t="shared" si="1"/>
        <v>1128399.8293208354</v>
      </c>
      <c r="K89" s="51"/>
    </row>
    <row r="90" spans="1:11" ht="12.75">
      <c r="A90" s="3">
        <v>40269</v>
      </c>
      <c r="B90" s="46">
        <v>844251.3394720682</v>
      </c>
      <c r="C90" s="69">
        <v>324.1</v>
      </c>
      <c r="D90" s="79">
        <v>1</v>
      </c>
      <c r="E90" s="47">
        <v>425</v>
      </c>
      <c r="F90" s="72">
        <v>135.23</v>
      </c>
      <c r="G90" s="89">
        <v>0</v>
      </c>
      <c r="H90" s="71">
        <v>30</v>
      </c>
      <c r="I90" s="71">
        <v>320</v>
      </c>
      <c r="J90" s="9">
        <f t="shared" si="1"/>
        <v>1028991.2868870633</v>
      </c>
      <c r="K90" s="51"/>
    </row>
    <row r="91" spans="1:11" ht="12.75">
      <c r="A91" s="3">
        <v>40299</v>
      </c>
      <c r="B91" s="46">
        <v>843704.4077652924</v>
      </c>
      <c r="C91" s="69">
        <v>138.9</v>
      </c>
      <c r="D91" s="79">
        <v>1</v>
      </c>
      <c r="E91" s="47">
        <v>431</v>
      </c>
      <c r="F91" s="72">
        <v>135.58</v>
      </c>
      <c r="G91" s="89">
        <v>33.1</v>
      </c>
      <c r="H91" s="71">
        <v>31</v>
      </c>
      <c r="I91" s="71">
        <v>320</v>
      </c>
      <c r="J91" s="9">
        <f t="shared" si="1"/>
        <v>954073.5550279644</v>
      </c>
      <c r="K91" s="51"/>
    </row>
    <row r="92" spans="1:11" ht="12.75">
      <c r="A92" s="3">
        <v>40330</v>
      </c>
      <c r="B92" s="46">
        <v>798634.060146072</v>
      </c>
      <c r="C92" s="69">
        <v>70.5</v>
      </c>
      <c r="D92" s="79">
        <v>0</v>
      </c>
      <c r="E92" s="47">
        <v>423</v>
      </c>
      <c r="F92" s="72">
        <v>135.94</v>
      </c>
      <c r="G92" s="89">
        <v>9.1</v>
      </c>
      <c r="H92" s="71">
        <v>30</v>
      </c>
      <c r="I92" s="71">
        <v>352</v>
      </c>
      <c r="J92" s="9">
        <f t="shared" si="1"/>
        <v>990877.5361453793</v>
      </c>
      <c r="K92" s="51"/>
    </row>
    <row r="93" spans="1:11" ht="12.75">
      <c r="A93" s="3">
        <v>40360</v>
      </c>
      <c r="B93" s="46">
        <v>902748.0287489734</v>
      </c>
      <c r="C93" s="69">
        <v>8.3</v>
      </c>
      <c r="D93" s="79">
        <v>0</v>
      </c>
      <c r="E93" s="47">
        <v>419</v>
      </c>
      <c r="F93" s="72">
        <v>135.3</v>
      </c>
      <c r="G93" s="89">
        <v>100</v>
      </c>
      <c r="H93" s="71">
        <v>31</v>
      </c>
      <c r="I93" s="71">
        <v>336</v>
      </c>
      <c r="J93" s="9">
        <f t="shared" si="1"/>
        <v>941736.1709885981</v>
      </c>
      <c r="K93" s="51"/>
    </row>
    <row r="94" spans="1:11" ht="12.75">
      <c r="A94" s="3">
        <v>40391</v>
      </c>
      <c r="B94" s="46">
        <v>910025.2339250745</v>
      </c>
      <c r="C94" s="69">
        <v>26.6</v>
      </c>
      <c r="D94" s="79">
        <v>0</v>
      </c>
      <c r="E94" s="47">
        <v>423</v>
      </c>
      <c r="F94" s="72">
        <v>136.65</v>
      </c>
      <c r="G94" s="89">
        <v>70.7</v>
      </c>
      <c r="H94" s="71">
        <v>31</v>
      </c>
      <c r="I94" s="71">
        <v>336</v>
      </c>
      <c r="J94" s="9">
        <f t="shared" si="1"/>
        <v>967448.9999723507</v>
      </c>
      <c r="K94" s="51"/>
    </row>
    <row r="95" spans="1:11" ht="12.75">
      <c r="A95" s="3">
        <v>40422</v>
      </c>
      <c r="B95" s="46">
        <v>778030.840596681</v>
      </c>
      <c r="C95" s="69">
        <v>180.9</v>
      </c>
      <c r="D95" s="79">
        <v>1</v>
      </c>
      <c r="E95" s="47">
        <v>423</v>
      </c>
      <c r="F95" s="72">
        <v>137.01</v>
      </c>
      <c r="G95" s="89">
        <v>8.5</v>
      </c>
      <c r="H95" s="71">
        <v>30</v>
      </c>
      <c r="I95" s="71">
        <v>336</v>
      </c>
      <c r="J95" s="9">
        <f t="shared" si="1"/>
        <v>944595.116723331</v>
      </c>
      <c r="K95" s="51"/>
    </row>
    <row r="96" spans="1:11" ht="12.75">
      <c r="A96" s="3">
        <v>40452</v>
      </c>
      <c r="B96" s="46">
        <v>849407.642069807</v>
      </c>
      <c r="C96" s="69">
        <v>364.7</v>
      </c>
      <c r="D96" s="79">
        <v>1</v>
      </c>
      <c r="E96" s="47">
        <v>420</v>
      </c>
      <c r="F96" s="72">
        <v>137.37</v>
      </c>
      <c r="G96" s="89">
        <v>0</v>
      </c>
      <c r="H96" s="71">
        <v>31</v>
      </c>
      <c r="I96" s="71">
        <v>320</v>
      </c>
      <c r="J96" s="9">
        <f t="shared" si="1"/>
        <v>1030725.5657731587</v>
      </c>
      <c r="K96" s="51"/>
    </row>
    <row r="97" spans="1:11" ht="12.75">
      <c r="A97" s="3">
        <v>40483</v>
      </c>
      <c r="B97" s="46">
        <v>969224.7506306114</v>
      </c>
      <c r="C97" s="69">
        <v>525.3</v>
      </c>
      <c r="D97" s="79">
        <v>1</v>
      </c>
      <c r="E97" s="47">
        <v>427</v>
      </c>
      <c r="F97" s="72">
        <v>137.73</v>
      </c>
      <c r="G97" s="89">
        <v>0</v>
      </c>
      <c r="H97" s="71">
        <v>30</v>
      </c>
      <c r="I97" s="71">
        <v>336</v>
      </c>
      <c r="J97" s="9">
        <f t="shared" si="1"/>
        <v>1144340.8761404464</v>
      </c>
      <c r="K97" s="51"/>
    </row>
    <row r="98" spans="1:11" ht="12.75">
      <c r="A98" s="3">
        <v>40513</v>
      </c>
      <c r="B98" s="46">
        <v>1211650.94</v>
      </c>
      <c r="C98" s="69">
        <v>804.9</v>
      </c>
      <c r="D98" s="79">
        <v>0</v>
      </c>
      <c r="E98" s="47">
        <v>418</v>
      </c>
      <c r="F98" s="72">
        <v>138.1</v>
      </c>
      <c r="G98" s="89">
        <v>0</v>
      </c>
      <c r="H98" s="71">
        <v>31</v>
      </c>
      <c r="I98" s="71">
        <v>368</v>
      </c>
      <c r="J98" s="9">
        <f t="shared" si="1"/>
        <v>1362878.7489004326</v>
      </c>
      <c r="K98" s="51"/>
    </row>
    <row r="99" spans="1:11" ht="12.75">
      <c r="A99" s="3">
        <v>40544</v>
      </c>
      <c r="C99" s="18">
        <f aca="true" t="shared" si="2" ref="C99:C110">(C3+C15+C27+C39+C51+C63+C75+C87)/8</f>
        <v>947.425</v>
      </c>
      <c r="D99" s="79">
        <v>0</v>
      </c>
      <c r="E99" s="47">
        <v>419</v>
      </c>
      <c r="F99" s="72">
        <v>138.35</v>
      </c>
      <c r="G99" s="90">
        <f aca="true" t="shared" si="3" ref="G99:G110">(G3+G15+G27+G39+G51+G63+G75+G87)/8</f>
        <v>0</v>
      </c>
      <c r="H99" s="71">
        <v>31</v>
      </c>
      <c r="I99" s="71">
        <v>336</v>
      </c>
      <c r="J99" s="9">
        <f t="shared" si="1"/>
        <v>1442928.062412186</v>
      </c>
      <c r="K99" s="51"/>
    </row>
    <row r="100" spans="1:11" ht="12.75">
      <c r="A100" s="3">
        <v>40575</v>
      </c>
      <c r="C100" s="18">
        <f t="shared" si="2"/>
        <v>822.6125</v>
      </c>
      <c r="D100" s="79">
        <v>0</v>
      </c>
      <c r="E100" s="47">
        <f aca="true" t="shared" si="4" ref="E100:E109">($H$110-$H$98)/12+E99</f>
        <v>419</v>
      </c>
      <c r="F100" s="72">
        <v>138.6</v>
      </c>
      <c r="G100" s="90">
        <f t="shared" si="3"/>
        <v>0</v>
      </c>
      <c r="H100" s="71">
        <v>28</v>
      </c>
      <c r="I100" s="71">
        <v>304</v>
      </c>
      <c r="J100" s="9">
        <f t="shared" si="1"/>
        <v>1376318.1724099964</v>
      </c>
      <c r="K100" s="51"/>
    </row>
    <row r="101" spans="1:11" ht="12.75">
      <c r="A101" s="3">
        <v>40603</v>
      </c>
      <c r="C101" s="18">
        <f t="shared" si="2"/>
        <v>682.4625</v>
      </c>
      <c r="D101" s="79">
        <v>1</v>
      </c>
      <c r="E101" s="47">
        <f t="shared" si="4"/>
        <v>419</v>
      </c>
      <c r="F101" s="72">
        <v>138.85</v>
      </c>
      <c r="G101" s="90">
        <f t="shared" si="3"/>
        <v>0</v>
      </c>
      <c r="H101" s="71">
        <v>31</v>
      </c>
      <c r="I101" s="71">
        <v>368</v>
      </c>
      <c r="J101" s="9">
        <f t="shared" si="1"/>
        <v>1196322.3193170524</v>
      </c>
      <c r="K101" s="51"/>
    </row>
    <row r="102" spans="1:11" ht="12.75">
      <c r="A102" s="3">
        <v>40634</v>
      </c>
      <c r="C102" s="18">
        <f t="shared" si="2"/>
        <v>409.65</v>
      </c>
      <c r="D102" s="79">
        <v>1</v>
      </c>
      <c r="E102" s="47">
        <f t="shared" si="4"/>
        <v>419</v>
      </c>
      <c r="F102" s="72">
        <v>139.1</v>
      </c>
      <c r="G102" s="90">
        <f t="shared" si="3"/>
        <v>0</v>
      </c>
      <c r="H102" s="71">
        <v>30</v>
      </c>
      <c r="I102" s="71">
        <v>320</v>
      </c>
      <c r="J102" s="9">
        <f t="shared" si="1"/>
        <v>1050727.8426723056</v>
      </c>
      <c r="K102" s="51"/>
    </row>
    <row r="103" spans="1:11" ht="12.75">
      <c r="A103" s="3">
        <v>40664</v>
      </c>
      <c r="C103" s="18">
        <f t="shared" si="2"/>
        <v>215.1625</v>
      </c>
      <c r="D103" s="79">
        <v>1</v>
      </c>
      <c r="E103" s="47">
        <f t="shared" si="4"/>
        <v>419</v>
      </c>
      <c r="F103" s="72">
        <v>139.35</v>
      </c>
      <c r="G103" s="90">
        <f t="shared" si="3"/>
        <v>7.8125</v>
      </c>
      <c r="H103" s="71">
        <v>31</v>
      </c>
      <c r="I103" s="71">
        <v>336</v>
      </c>
      <c r="J103" s="9">
        <f t="shared" si="1"/>
        <v>946933.8237895744</v>
      </c>
      <c r="K103" s="51"/>
    </row>
    <row r="104" spans="1:11" ht="12.75">
      <c r="A104" s="3">
        <v>40695</v>
      </c>
      <c r="C104" s="18">
        <f t="shared" si="2"/>
        <v>65.9625</v>
      </c>
      <c r="D104" s="79">
        <v>0</v>
      </c>
      <c r="E104" s="47">
        <f t="shared" si="4"/>
        <v>419</v>
      </c>
      <c r="F104" s="72">
        <v>139.61</v>
      </c>
      <c r="G104" s="90">
        <f t="shared" si="3"/>
        <v>23.649999999999995</v>
      </c>
      <c r="H104" s="71">
        <v>30</v>
      </c>
      <c r="I104" s="71">
        <v>352</v>
      </c>
      <c r="J104" s="9">
        <f t="shared" si="1"/>
        <v>972509.4731999254</v>
      </c>
      <c r="K104" s="51"/>
    </row>
    <row r="105" spans="1:11" ht="12.75">
      <c r="A105" s="3">
        <v>40725</v>
      </c>
      <c r="C105" s="18">
        <f t="shared" si="2"/>
        <v>21.6875</v>
      </c>
      <c r="D105" s="79">
        <v>0</v>
      </c>
      <c r="E105" s="47">
        <f t="shared" si="4"/>
        <v>419</v>
      </c>
      <c r="F105" s="72">
        <v>139.86</v>
      </c>
      <c r="G105" s="90">
        <f t="shared" si="3"/>
        <v>55.9625</v>
      </c>
      <c r="H105" s="71">
        <v>31</v>
      </c>
      <c r="I105" s="71">
        <v>320</v>
      </c>
      <c r="J105" s="9">
        <f t="shared" si="1"/>
        <v>948880.807162093</v>
      </c>
      <c r="K105" s="51"/>
    </row>
    <row r="106" spans="1:11" ht="12.75">
      <c r="A106" s="3">
        <v>40756</v>
      </c>
      <c r="C106" s="18">
        <f t="shared" si="2"/>
        <v>41.125</v>
      </c>
      <c r="D106" s="79">
        <v>0</v>
      </c>
      <c r="E106" s="47">
        <f t="shared" si="4"/>
        <v>419</v>
      </c>
      <c r="F106" s="72">
        <v>140.11</v>
      </c>
      <c r="G106" s="90">
        <f t="shared" si="3"/>
        <v>42.06249999999999</v>
      </c>
      <c r="H106" s="71">
        <v>31</v>
      </c>
      <c r="I106" s="71">
        <v>352</v>
      </c>
      <c r="J106" s="9">
        <f t="shared" si="1"/>
        <v>959254.205154422</v>
      </c>
      <c r="K106" s="51"/>
    </row>
    <row r="107" spans="1:11" ht="12.75">
      <c r="A107" s="3">
        <v>40787</v>
      </c>
      <c r="C107" s="18">
        <f t="shared" si="2"/>
        <v>131.45</v>
      </c>
      <c r="D107" s="79">
        <v>1</v>
      </c>
      <c r="E107" s="47">
        <f t="shared" si="4"/>
        <v>419</v>
      </c>
      <c r="F107" s="72">
        <v>140.37</v>
      </c>
      <c r="G107" s="90">
        <f t="shared" si="3"/>
        <v>9.8</v>
      </c>
      <c r="H107" s="71">
        <v>30</v>
      </c>
      <c r="I107" s="71">
        <v>336</v>
      </c>
      <c r="J107" s="9">
        <f t="shared" si="1"/>
        <v>902258.1669698784</v>
      </c>
      <c r="K107" s="51"/>
    </row>
    <row r="108" spans="1:11" ht="12.75">
      <c r="A108" s="3">
        <v>40817</v>
      </c>
      <c r="C108" s="18">
        <f t="shared" si="2"/>
        <v>355.0874999999999</v>
      </c>
      <c r="D108" s="79">
        <v>1</v>
      </c>
      <c r="E108" s="47">
        <f t="shared" si="4"/>
        <v>419</v>
      </c>
      <c r="F108" s="72">
        <v>140.62</v>
      </c>
      <c r="G108" s="90">
        <f t="shared" si="3"/>
        <v>0.9125</v>
      </c>
      <c r="H108" s="71">
        <v>31</v>
      </c>
      <c r="I108" s="71">
        <v>320</v>
      </c>
      <c r="J108" s="9">
        <f t="shared" si="1"/>
        <v>1021608.9473433564</v>
      </c>
      <c r="K108" s="51"/>
    </row>
    <row r="109" spans="1:11" ht="12.75">
      <c r="A109" s="3">
        <v>40848</v>
      </c>
      <c r="C109" s="18">
        <f t="shared" si="2"/>
        <v>535.4375</v>
      </c>
      <c r="D109" s="79">
        <v>1</v>
      </c>
      <c r="E109" s="47">
        <f t="shared" si="4"/>
        <v>419</v>
      </c>
      <c r="F109" s="72">
        <v>140.88</v>
      </c>
      <c r="G109" s="90">
        <f t="shared" si="3"/>
        <v>0</v>
      </c>
      <c r="H109" s="71">
        <v>30</v>
      </c>
      <c r="I109" s="71">
        <v>352</v>
      </c>
      <c r="J109" s="9">
        <f t="shared" si="1"/>
        <v>1117858.0703229855</v>
      </c>
      <c r="K109" s="51"/>
    </row>
    <row r="110" spans="1:11" ht="12.75">
      <c r="A110" s="3">
        <v>40878</v>
      </c>
      <c r="C110" s="18">
        <f t="shared" si="2"/>
        <v>814.0124999999999</v>
      </c>
      <c r="D110" s="79">
        <v>0</v>
      </c>
      <c r="E110" s="47">
        <v>426</v>
      </c>
      <c r="F110" s="72">
        <v>141.13</v>
      </c>
      <c r="G110" s="90">
        <f t="shared" si="3"/>
        <v>0</v>
      </c>
      <c r="H110" s="71">
        <v>31</v>
      </c>
      <c r="I110" s="71">
        <v>336</v>
      </c>
      <c r="J110" s="9">
        <f t="shared" si="1"/>
        <v>1399634.8877778205</v>
      </c>
      <c r="K110" s="51"/>
    </row>
    <row r="111" spans="1:11" ht="12.75">
      <c r="A111" s="3">
        <v>40909</v>
      </c>
      <c r="C111" s="18">
        <f>C99</f>
        <v>947.425</v>
      </c>
      <c r="D111" s="79">
        <v>0</v>
      </c>
      <c r="E111" s="47">
        <v>423</v>
      </c>
      <c r="F111" s="72">
        <v>141.42</v>
      </c>
      <c r="G111" s="90">
        <f aca="true" t="shared" si="5" ref="G111:G122">G99</f>
        <v>0</v>
      </c>
      <c r="H111" s="71">
        <v>31</v>
      </c>
      <c r="I111" s="71">
        <v>336</v>
      </c>
      <c r="J111" s="9">
        <f t="shared" si="1"/>
        <v>1458874.5539935143</v>
      </c>
      <c r="K111" s="51"/>
    </row>
    <row r="112" spans="1:11" ht="12.75">
      <c r="A112" s="3">
        <v>40940</v>
      </c>
      <c r="C112" s="18">
        <f aca="true" t="shared" si="6" ref="C112:C122">C100</f>
        <v>822.6125</v>
      </c>
      <c r="D112" s="79">
        <v>0</v>
      </c>
      <c r="E112" s="47">
        <v>423</v>
      </c>
      <c r="F112" s="72">
        <v>141.72</v>
      </c>
      <c r="G112" s="90">
        <f t="shared" si="5"/>
        <v>0</v>
      </c>
      <c r="H112" s="71">
        <v>29</v>
      </c>
      <c r="I112" s="71">
        <v>320</v>
      </c>
      <c r="J112" s="9">
        <f t="shared" si="1"/>
        <v>1392264.6639913246</v>
      </c>
      <c r="K112" s="51"/>
    </row>
    <row r="113" spans="1:11" ht="12.75">
      <c r="A113" s="3">
        <v>40969</v>
      </c>
      <c r="C113" s="18">
        <f t="shared" si="6"/>
        <v>682.4625</v>
      </c>
      <c r="D113" s="79">
        <v>1</v>
      </c>
      <c r="E113" s="47">
        <v>423</v>
      </c>
      <c r="F113" s="72">
        <v>142.01</v>
      </c>
      <c r="G113" s="90">
        <f t="shared" si="5"/>
        <v>0</v>
      </c>
      <c r="H113" s="71">
        <v>31</v>
      </c>
      <c r="I113" s="71">
        <v>352</v>
      </c>
      <c r="J113" s="9">
        <f t="shared" si="1"/>
        <v>1212268.8108983806</v>
      </c>
      <c r="K113" s="51"/>
    </row>
    <row r="114" spans="1:11" ht="12.75">
      <c r="A114" s="3">
        <v>41000</v>
      </c>
      <c r="C114" s="18">
        <f t="shared" si="6"/>
        <v>409.65</v>
      </c>
      <c r="D114" s="79">
        <v>1</v>
      </c>
      <c r="E114" s="47">
        <v>423</v>
      </c>
      <c r="F114" s="72">
        <v>142.3</v>
      </c>
      <c r="G114" s="90">
        <f t="shared" si="5"/>
        <v>0</v>
      </c>
      <c r="H114" s="71">
        <v>30</v>
      </c>
      <c r="I114" s="71">
        <v>320</v>
      </c>
      <c r="J114" s="9">
        <f t="shared" si="1"/>
        <v>1066674.3342536339</v>
      </c>
      <c r="K114" s="51"/>
    </row>
    <row r="115" spans="1:11" ht="12.75">
      <c r="A115" s="3">
        <v>41030</v>
      </c>
      <c r="C115" s="18">
        <f t="shared" si="6"/>
        <v>215.1625</v>
      </c>
      <c r="D115" s="79">
        <v>1</v>
      </c>
      <c r="E115" s="47">
        <v>423</v>
      </c>
      <c r="F115" s="72">
        <v>142.589</v>
      </c>
      <c r="G115" s="90">
        <f t="shared" si="5"/>
        <v>7.8125</v>
      </c>
      <c r="H115" s="71">
        <v>31</v>
      </c>
      <c r="I115" s="71">
        <v>352</v>
      </c>
      <c r="J115" s="9">
        <f t="shared" si="1"/>
        <v>962880.3153709027</v>
      </c>
      <c r="K115" s="51"/>
    </row>
    <row r="116" spans="1:11" ht="12.75">
      <c r="A116" s="3">
        <v>41061</v>
      </c>
      <c r="C116" s="18">
        <f t="shared" si="6"/>
        <v>65.9625</v>
      </c>
      <c r="D116" s="79">
        <v>0</v>
      </c>
      <c r="E116" s="47">
        <v>423</v>
      </c>
      <c r="F116" s="72">
        <v>142.89</v>
      </c>
      <c r="G116" s="90">
        <f t="shared" si="5"/>
        <v>23.649999999999995</v>
      </c>
      <c r="H116" s="71">
        <v>30</v>
      </c>
      <c r="I116" s="71">
        <v>336</v>
      </c>
      <c r="J116" s="9">
        <f t="shared" si="1"/>
        <v>988455.9647812536</v>
      </c>
      <c r="K116" s="51"/>
    </row>
    <row r="117" spans="1:11" ht="12.75">
      <c r="A117" s="3">
        <v>41091</v>
      </c>
      <c r="C117" s="18">
        <f t="shared" si="6"/>
        <v>21.6875</v>
      </c>
      <c r="D117" s="79">
        <v>0</v>
      </c>
      <c r="E117" s="47">
        <v>423</v>
      </c>
      <c r="F117" s="72">
        <v>143.18</v>
      </c>
      <c r="G117" s="90">
        <f t="shared" si="5"/>
        <v>55.9625</v>
      </c>
      <c r="H117" s="71">
        <v>31</v>
      </c>
      <c r="I117" s="71">
        <v>336</v>
      </c>
      <c r="J117" s="9">
        <f t="shared" si="1"/>
        <v>964827.2987434212</v>
      </c>
      <c r="K117" s="51"/>
    </row>
    <row r="118" spans="1:11" ht="12.75">
      <c r="A118" s="3">
        <v>41122</v>
      </c>
      <c r="C118" s="18">
        <f t="shared" si="6"/>
        <v>41.125</v>
      </c>
      <c r="D118" s="79">
        <v>0</v>
      </c>
      <c r="E118" s="47">
        <v>422</v>
      </c>
      <c r="F118" s="72">
        <v>143.48</v>
      </c>
      <c r="G118" s="90">
        <f t="shared" si="5"/>
        <v>42.06249999999999</v>
      </c>
      <c r="H118" s="71">
        <v>31</v>
      </c>
      <c r="I118" s="71">
        <v>352</v>
      </c>
      <c r="J118" s="9">
        <f t="shared" si="1"/>
        <v>971214.0738404181</v>
      </c>
      <c r="K118" s="51"/>
    </row>
    <row r="119" spans="1:11" ht="12.75">
      <c r="A119" s="3">
        <v>41153</v>
      </c>
      <c r="C119" s="18">
        <f t="shared" si="6"/>
        <v>131.45</v>
      </c>
      <c r="D119" s="79">
        <v>1</v>
      </c>
      <c r="E119" s="47">
        <v>422</v>
      </c>
      <c r="F119" s="72">
        <v>143.77</v>
      </c>
      <c r="G119" s="90">
        <f t="shared" si="5"/>
        <v>9.8</v>
      </c>
      <c r="H119" s="71">
        <v>30</v>
      </c>
      <c r="I119" s="71">
        <v>304</v>
      </c>
      <c r="J119" s="9">
        <f t="shared" si="1"/>
        <v>914218.0356558745</v>
      </c>
      <c r="K119" s="51"/>
    </row>
    <row r="120" spans="1:11" ht="12.75">
      <c r="A120" s="3">
        <v>41183</v>
      </c>
      <c r="C120" s="18">
        <f t="shared" si="6"/>
        <v>355.0874999999999</v>
      </c>
      <c r="D120" s="79">
        <v>1</v>
      </c>
      <c r="E120" s="47">
        <v>422</v>
      </c>
      <c r="F120" s="72">
        <v>144.07</v>
      </c>
      <c r="G120" s="90">
        <f t="shared" si="5"/>
        <v>0.9125</v>
      </c>
      <c r="H120" s="71">
        <v>31</v>
      </c>
      <c r="I120" s="71">
        <v>352</v>
      </c>
      <c r="J120" s="9">
        <f t="shared" si="1"/>
        <v>1033568.8160293526</v>
      </c>
      <c r="K120" s="51"/>
    </row>
    <row r="121" spans="1:11" ht="12.75">
      <c r="A121" s="3">
        <v>41214</v>
      </c>
      <c r="C121" s="18">
        <f t="shared" si="6"/>
        <v>535.4375</v>
      </c>
      <c r="D121" s="79">
        <v>1</v>
      </c>
      <c r="E121" s="47">
        <v>422</v>
      </c>
      <c r="F121" s="72">
        <v>144.37</v>
      </c>
      <c r="G121" s="90">
        <f t="shared" si="5"/>
        <v>0</v>
      </c>
      <c r="H121" s="71">
        <v>30</v>
      </c>
      <c r="I121" s="71">
        <v>352</v>
      </c>
      <c r="J121" s="9">
        <f t="shared" si="1"/>
        <v>1129817.9390089817</v>
      </c>
      <c r="K121" s="51"/>
    </row>
    <row r="122" spans="1:11" ht="12.75">
      <c r="A122" s="3">
        <v>41244</v>
      </c>
      <c r="C122" s="18">
        <f t="shared" si="6"/>
        <v>814.0124999999999</v>
      </c>
      <c r="D122" s="79">
        <v>0</v>
      </c>
      <c r="E122" s="47">
        <v>426</v>
      </c>
      <c r="F122" s="72">
        <v>144.66</v>
      </c>
      <c r="G122" s="90">
        <f t="shared" si="5"/>
        <v>0</v>
      </c>
      <c r="H122" s="71">
        <v>31</v>
      </c>
      <c r="I122" s="71">
        <v>304</v>
      </c>
      <c r="J122" s="9">
        <f t="shared" si="1"/>
        <v>1399634.8877778205</v>
      </c>
      <c r="K122" s="51"/>
    </row>
    <row r="123" spans="1:11" ht="12.75">
      <c r="A123" s="3"/>
      <c r="E123" s="47"/>
      <c r="F123" s="34"/>
      <c r="H123" s="9"/>
      <c r="I123" s="67"/>
      <c r="J123" s="9"/>
      <c r="K123" s="51"/>
    </row>
    <row r="124" spans="1:10" ht="12.75">
      <c r="A124" s="3"/>
      <c r="C124" s="19"/>
      <c r="G124" s="24" t="s">
        <v>15</v>
      </c>
      <c r="J124" s="51">
        <f>SUM(J3:J110)</f>
        <v>126379763.14773428</v>
      </c>
    </row>
    <row r="125" ht="12.75">
      <c r="A125" s="3"/>
    </row>
    <row r="126" spans="1:12" ht="12.75">
      <c r="A126" s="16">
        <v>2003</v>
      </c>
      <c r="B126" s="6">
        <f>SUM(B3:B14)</f>
        <v>14387031.68</v>
      </c>
      <c r="J126" s="6">
        <f>SUM(J3:J14)</f>
        <v>13712673.605744291</v>
      </c>
      <c r="K126" s="37">
        <f aca="true" t="shared" si="7" ref="K126:K133">J126-B126</f>
        <v>-674358.0742557086</v>
      </c>
      <c r="L126" s="5">
        <f aca="true" t="shared" si="8" ref="L126:L133">K126/B126</f>
        <v>-0.04687263427612808</v>
      </c>
    </row>
    <row r="127" spans="1:12" ht="12.75">
      <c r="A127">
        <v>2004</v>
      </c>
      <c r="B127" s="6">
        <f>SUM(B15:B26)</f>
        <v>14762408.299999999</v>
      </c>
      <c r="J127" s="6">
        <f>SUM(J15:J26)</f>
        <v>13871231.26617046</v>
      </c>
      <c r="K127" s="37">
        <f t="shared" si="7"/>
        <v>-891177.0338295382</v>
      </c>
      <c r="L127" s="5">
        <f t="shared" si="8"/>
        <v>-0.060367997939031276</v>
      </c>
    </row>
    <row r="128" spans="1:27" ht="12.75">
      <c r="A128" s="16">
        <v>2005</v>
      </c>
      <c r="B128" s="6">
        <f>SUM(B27:B38)</f>
        <v>14951431.709999999</v>
      </c>
      <c r="J128" s="6">
        <f>SUM(J27:J38)</f>
        <v>14297689.894587826</v>
      </c>
      <c r="K128" s="37">
        <f t="shared" si="7"/>
        <v>-653741.815412173</v>
      </c>
      <c r="L128" s="5">
        <f t="shared" si="8"/>
        <v>-0.0437243621943529</v>
      </c>
      <c r="Y128" s="10"/>
      <c r="Z128" s="10"/>
      <c r="AA128" s="10"/>
    </row>
    <row r="129" spans="1:12" ht="12.75">
      <c r="A129">
        <v>2006</v>
      </c>
      <c r="B129" s="6">
        <f>SUM(B39:B50)</f>
        <v>14354281.286238207</v>
      </c>
      <c r="J129" s="6">
        <f>SUM(J39:J50)</f>
        <v>14268568.040326362</v>
      </c>
      <c r="K129" s="37">
        <f t="shared" si="7"/>
        <v>-85713.24591184407</v>
      </c>
      <c r="L129" s="5">
        <f t="shared" si="8"/>
        <v>-0.005971266983183576</v>
      </c>
    </row>
    <row r="130" spans="1:12" ht="12.75">
      <c r="A130" s="16">
        <v>2007</v>
      </c>
      <c r="B130" s="6">
        <f>SUM(B51:B62)</f>
        <v>14488101.947956711</v>
      </c>
      <c r="J130" s="6">
        <f>SUM(J51:J62)</f>
        <v>14509578.125398465</v>
      </c>
      <c r="K130" s="37">
        <f t="shared" si="7"/>
        <v>21476.177441753447</v>
      </c>
      <c r="L130" s="5">
        <f t="shared" si="8"/>
        <v>0.0014823320210541643</v>
      </c>
    </row>
    <row r="131" spans="1:12" ht="12.75">
      <c r="A131">
        <v>2008</v>
      </c>
      <c r="B131" s="6">
        <f>SUM(B63:B74)</f>
        <v>14680693.556057507</v>
      </c>
      <c r="J131" s="6">
        <f>SUM(J63:J74)</f>
        <v>14630542.240389787</v>
      </c>
      <c r="K131" s="37">
        <f t="shared" si="7"/>
        <v>-50151.31566772051</v>
      </c>
      <c r="L131" s="5">
        <f t="shared" si="8"/>
        <v>-0.0034161407617576225</v>
      </c>
    </row>
    <row r="132" spans="1:12" ht="12.75">
      <c r="A132" s="16">
        <v>2009</v>
      </c>
      <c r="B132" s="6">
        <f>SUM(B75:B86)</f>
        <v>13847590.123042798</v>
      </c>
      <c r="J132" s="6">
        <f>SUM(J75:J86)</f>
        <v>14388361.345566105</v>
      </c>
      <c r="K132" s="37">
        <f t="shared" si="7"/>
        <v>540771.2225233074</v>
      </c>
      <c r="L132" s="5">
        <f t="shared" si="8"/>
        <v>0.03905164853366422</v>
      </c>
    </row>
    <row r="133" spans="1:12" ht="12.75">
      <c r="A133">
        <v>2010</v>
      </c>
      <c r="B133" s="6">
        <f>SUM(B87:B98)</f>
        <v>11572989.765907453</v>
      </c>
      <c r="J133" s="6">
        <f>SUM(J87:J98)</f>
        <v>13365883.851019405</v>
      </c>
      <c r="K133" s="37">
        <f t="shared" si="7"/>
        <v>1792894.0851119515</v>
      </c>
      <c r="L133" s="5">
        <f t="shared" si="8"/>
        <v>0.15492056256660555</v>
      </c>
    </row>
    <row r="134" spans="1:10" ht="12.75">
      <c r="A134" s="16">
        <v>2011</v>
      </c>
      <c r="J134" s="6">
        <f>SUM(J99:J110)</f>
        <v>13335234.778531596</v>
      </c>
    </row>
    <row r="135" spans="1:10" ht="12.75">
      <c r="A135" s="16">
        <v>2012</v>
      </c>
      <c r="J135" s="6">
        <f>SUM(J111:J122)</f>
        <v>13494699.694344878</v>
      </c>
    </row>
    <row r="136" ht="12.75">
      <c r="J136" s="6"/>
    </row>
    <row r="137" spans="1:11" ht="12.75">
      <c r="A137" t="s">
        <v>81</v>
      </c>
      <c r="B137" s="6">
        <f>SUM(B126:B133)</f>
        <v>113044528.36920267</v>
      </c>
      <c r="J137" s="6">
        <f>SUM(J126:J133)</f>
        <v>113044528.3692027</v>
      </c>
      <c r="K137" s="6">
        <f>J137-B137</f>
        <v>0</v>
      </c>
    </row>
    <row r="138" spans="10:11" ht="12.75">
      <c r="J138" s="6"/>
      <c r="K138" s="6"/>
    </row>
    <row r="139" spans="10:11" ht="12.75">
      <c r="J139" s="6">
        <f>SUM(J126:J134)</f>
        <v>126379763.1477343</v>
      </c>
      <c r="K139" s="51">
        <f>J124-J139</f>
        <v>0</v>
      </c>
    </row>
    <row r="140" spans="10:12" ht="12.75">
      <c r="J140" s="19"/>
      <c r="K140" s="19" t="s">
        <v>68</v>
      </c>
      <c r="L140" s="19"/>
    </row>
    <row r="141" spans="25:27" ht="12.75">
      <c r="Y141" s="10"/>
      <c r="Z141" s="10"/>
      <c r="AA141" s="10"/>
    </row>
    <row r="142" spans="9:11" ht="12.75">
      <c r="I142" s="35"/>
      <c r="J142" s="75" t="s">
        <v>88</v>
      </c>
      <c r="K142" s="76">
        <f>'Rate Class Energy Model'!I69</f>
        <v>99653.7887246743</v>
      </c>
    </row>
    <row r="143" ht="12.75">
      <c r="I143" s="35"/>
    </row>
    <row r="144" spans="9:11" ht="12.75">
      <c r="I144" s="35"/>
      <c r="K144" s="94">
        <f>J135</f>
        <v>13494699.694344878</v>
      </c>
    </row>
    <row r="145" spans="9:11" ht="12.75">
      <c r="I145" s="35"/>
      <c r="K145" s="93">
        <f>-K142</f>
        <v>-99653.7887246743</v>
      </c>
    </row>
    <row r="146" spans="9:11" ht="12.75">
      <c r="I146" s="35"/>
      <c r="K146" s="6">
        <f>SUM(K144:K145)</f>
        <v>13395045.905620204</v>
      </c>
    </row>
    <row r="153" spans="25:27" ht="12.75">
      <c r="Y153" s="10"/>
      <c r="Z153" s="10"/>
      <c r="AA153" s="10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zoomScalePageLayoutView="0" workbookViewId="0" topLeftCell="A46">
      <selection activeCell="F49" sqref="F49:F121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0.140625" style="80" customWidth="1"/>
    <col min="6" max="6" width="12.421875" style="1" customWidth="1"/>
    <col min="7" max="7" width="14.421875" style="35" customWidth="1"/>
    <col min="8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1" spans="1:9" ht="15">
      <c r="A1" s="88" t="s">
        <v>94</v>
      </c>
      <c r="B1" s="87"/>
      <c r="E1" s="24"/>
      <c r="G1" s="81" t="s">
        <v>89</v>
      </c>
      <c r="H1" s="82" t="s">
        <v>89</v>
      </c>
      <c r="I1" s="81" t="s">
        <v>89</v>
      </c>
    </row>
    <row r="2" spans="2:27" ht="42" customHeight="1">
      <c r="B2" s="7" t="s">
        <v>71</v>
      </c>
      <c r="C2" s="11" t="s">
        <v>3</v>
      </c>
      <c r="D2" s="11" t="s">
        <v>4</v>
      </c>
      <c r="E2" s="78" t="s">
        <v>5</v>
      </c>
      <c r="F2" s="11" t="s">
        <v>70</v>
      </c>
      <c r="G2" s="33" t="s">
        <v>7</v>
      </c>
      <c r="H2" s="11" t="s">
        <v>21</v>
      </c>
      <c r="I2" s="11" t="s">
        <v>6</v>
      </c>
      <c r="J2" s="11" t="s">
        <v>96</v>
      </c>
      <c r="K2" s="11" t="s">
        <v>13</v>
      </c>
      <c r="L2" s="11" t="s">
        <v>14</v>
      </c>
      <c r="M2" t="s">
        <v>22</v>
      </c>
      <c r="Y2" s="8"/>
      <c r="Z2" s="8"/>
      <c r="AA2" s="8"/>
    </row>
    <row r="3" spans="1:12" ht="13.5" thickBot="1">
      <c r="A3" s="3">
        <v>37622</v>
      </c>
      <c r="B3" s="46">
        <v>1991153.9597950883</v>
      </c>
      <c r="C3" s="69">
        <v>1017.5</v>
      </c>
      <c r="D3" s="69">
        <v>0</v>
      </c>
      <c r="E3" s="47">
        <v>31</v>
      </c>
      <c r="F3" s="47">
        <v>16</v>
      </c>
      <c r="G3" s="35">
        <v>125.66024937363977</v>
      </c>
      <c r="H3" s="9">
        <v>0</v>
      </c>
      <c r="I3" s="9">
        <v>351.912</v>
      </c>
      <c r="J3" s="9">
        <f>$N$18+C3*$N$19+D3*$N$20+E3*$N$21+F3*$N$22</f>
        <v>1446776.4672796011</v>
      </c>
      <c r="K3" s="9"/>
      <c r="L3" s="13"/>
    </row>
    <row r="4" spans="1:14" ht="12.75">
      <c r="A4" s="3">
        <v>37653</v>
      </c>
      <c r="B4" s="46">
        <v>1388753.8290141684</v>
      </c>
      <c r="C4" s="69">
        <v>923</v>
      </c>
      <c r="D4" s="69">
        <v>0</v>
      </c>
      <c r="E4" s="47">
        <v>28</v>
      </c>
      <c r="F4" s="47">
        <v>16</v>
      </c>
      <c r="G4" s="35">
        <v>125.80592062045517</v>
      </c>
      <c r="H4" s="9">
        <v>0</v>
      </c>
      <c r="I4" s="9">
        <v>319.872</v>
      </c>
      <c r="J4" s="9">
        <f aca="true" t="shared" si="0" ref="J4:J67">$N$18+C4*$N$19+D4*$N$20+E4*$N$21+F4*$N$22</f>
        <v>1307108.7533240714</v>
      </c>
      <c r="K4" s="9"/>
      <c r="L4" s="13"/>
      <c r="M4" s="59" t="s">
        <v>23</v>
      </c>
      <c r="N4" s="59"/>
    </row>
    <row r="5" spans="1:14" ht="12.75">
      <c r="A5" s="3">
        <v>37681</v>
      </c>
      <c r="B5" s="46">
        <v>1361453.2527267432</v>
      </c>
      <c r="C5" s="69">
        <v>753.1</v>
      </c>
      <c r="D5" s="69">
        <v>0</v>
      </c>
      <c r="E5" s="47">
        <v>31</v>
      </c>
      <c r="F5" s="47">
        <v>18</v>
      </c>
      <c r="G5" s="35">
        <v>125.9517607362029</v>
      </c>
      <c r="H5" s="9">
        <v>1</v>
      </c>
      <c r="I5" s="9">
        <v>336.288</v>
      </c>
      <c r="J5" s="9">
        <f t="shared" si="0"/>
        <v>1388521.8942808742</v>
      </c>
      <c r="K5" s="9"/>
      <c r="L5" s="13"/>
      <c r="M5" s="36" t="s">
        <v>24</v>
      </c>
      <c r="N5" s="68">
        <v>0.8420035589799161</v>
      </c>
    </row>
    <row r="6" spans="1:14" ht="12.75">
      <c r="A6" s="3">
        <v>37712</v>
      </c>
      <c r="B6" s="46">
        <v>1179917.7073387664</v>
      </c>
      <c r="C6" s="69">
        <v>525.7</v>
      </c>
      <c r="D6" s="69">
        <v>0</v>
      </c>
      <c r="E6" s="47">
        <v>30</v>
      </c>
      <c r="F6" s="47">
        <v>16</v>
      </c>
      <c r="G6" s="35">
        <v>126.09776991664374</v>
      </c>
      <c r="H6" s="9">
        <v>1</v>
      </c>
      <c r="I6" s="9">
        <v>336.24</v>
      </c>
      <c r="J6" s="9">
        <f t="shared" si="0"/>
        <v>1225605.716073097</v>
      </c>
      <c r="K6" s="9"/>
      <c r="L6" s="13"/>
      <c r="M6" s="36" t="s">
        <v>25</v>
      </c>
      <c r="N6" s="95">
        <v>0.708969993334845</v>
      </c>
    </row>
    <row r="7" spans="1:14" ht="12.75">
      <c r="A7" s="3">
        <v>37742</v>
      </c>
      <c r="B7" s="46">
        <v>1093874.7379870592</v>
      </c>
      <c r="C7" s="69">
        <v>223.3</v>
      </c>
      <c r="D7" s="69">
        <v>0</v>
      </c>
      <c r="E7" s="47">
        <v>31</v>
      </c>
      <c r="F7" s="47">
        <v>16</v>
      </c>
      <c r="G7" s="35">
        <v>126.2439483577654</v>
      </c>
      <c r="H7" s="9">
        <v>1</v>
      </c>
      <c r="I7" s="9">
        <v>336.288</v>
      </c>
      <c r="J7" s="9">
        <f t="shared" si="0"/>
        <v>1145496.6255813353</v>
      </c>
      <c r="K7" s="9"/>
      <c r="L7" s="13"/>
      <c r="M7" s="36" t="s">
        <v>26</v>
      </c>
      <c r="N7" s="68">
        <v>0.6961774655693438</v>
      </c>
    </row>
    <row r="8" spans="1:14" ht="12.75">
      <c r="A8" s="3">
        <v>37773</v>
      </c>
      <c r="B8" s="46">
        <v>1102575.2781894575</v>
      </c>
      <c r="C8" s="69">
        <v>70.1</v>
      </c>
      <c r="D8" s="69">
        <v>30.5</v>
      </c>
      <c r="E8" s="47">
        <v>30</v>
      </c>
      <c r="F8" s="47">
        <v>18</v>
      </c>
      <c r="G8" s="35">
        <v>126.3902962557828</v>
      </c>
      <c r="H8" s="9">
        <v>0</v>
      </c>
      <c r="I8" s="9">
        <v>336.24</v>
      </c>
      <c r="J8" s="9">
        <f t="shared" si="0"/>
        <v>1174424.7357579474</v>
      </c>
      <c r="K8" s="9"/>
      <c r="L8" s="13"/>
      <c r="M8" s="36" t="s">
        <v>27</v>
      </c>
      <c r="N8" s="68">
        <v>78634.49373706922</v>
      </c>
    </row>
    <row r="9" spans="1:14" ht="13.5" thickBot="1">
      <c r="A9" s="3">
        <v>37803</v>
      </c>
      <c r="B9" s="46">
        <v>1176308.735155713</v>
      </c>
      <c r="C9" s="69">
        <v>11.5</v>
      </c>
      <c r="D9" s="69">
        <v>37.9</v>
      </c>
      <c r="E9" s="47">
        <v>31</v>
      </c>
      <c r="F9" s="47">
        <v>16</v>
      </c>
      <c r="G9" s="35">
        <v>126.5368138071383</v>
      </c>
      <c r="H9" s="9">
        <v>0</v>
      </c>
      <c r="I9" s="9">
        <v>351.912</v>
      </c>
      <c r="J9" s="9">
        <f t="shared" si="0"/>
        <v>1164069.6864573332</v>
      </c>
      <c r="K9" s="9"/>
      <c r="L9" s="13"/>
      <c r="M9" s="57" t="s">
        <v>28</v>
      </c>
      <c r="N9" s="77">
        <v>96</v>
      </c>
    </row>
    <row r="10" spans="1:12" ht="12.75">
      <c r="A10" s="3">
        <v>37834</v>
      </c>
      <c r="B10" s="46">
        <v>1159106.8784950287</v>
      </c>
      <c r="C10" s="69">
        <v>31.9</v>
      </c>
      <c r="D10" s="69">
        <v>57.8</v>
      </c>
      <c r="E10" s="47">
        <v>31</v>
      </c>
      <c r="F10" s="47">
        <v>16</v>
      </c>
      <c r="G10" s="35">
        <v>126.683501208502</v>
      </c>
      <c r="H10" s="9">
        <v>0</v>
      </c>
      <c r="I10" s="9">
        <v>319.92</v>
      </c>
      <c r="J10" s="9">
        <f t="shared" si="0"/>
        <v>1223747.643574324</v>
      </c>
      <c r="K10" s="9"/>
      <c r="L10" s="13"/>
    </row>
    <row r="11" spans="1:13" ht="13.5" thickBot="1">
      <c r="A11" s="3">
        <v>37865</v>
      </c>
      <c r="B11" s="46">
        <v>1136426.1476403626</v>
      </c>
      <c r="C11" s="69">
        <v>127.3</v>
      </c>
      <c r="D11" s="69">
        <v>4.8</v>
      </c>
      <c r="E11" s="47">
        <v>30</v>
      </c>
      <c r="F11" s="47">
        <v>16</v>
      </c>
      <c r="G11" s="35">
        <v>126.83035865677196</v>
      </c>
      <c r="H11" s="9">
        <v>1</v>
      </c>
      <c r="I11" s="9">
        <v>336.24</v>
      </c>
      <c r="J11" s="9">
        <f t="shared" si="0"/>
        <v>1087000.6920323118</v>
      </c>
      <c r="K11" s="9"/>
      <c r="L11" s="13"/>
      <c r="M11" t="s">
        <v>29</v>
      </c>
    </row>
    <row r="12" spans="1:18" ht="12.75">
      <c r="A12" s="3">
        <v>37895</v>
      </c>
      <c r="B12" s="46">
        <v>1196810.8251571388</v>
      </c>
      <c r="C12" s="69">
        <v>380</v>
      </c>
      <c r="D12" s="69">
        <v>0</v>
      </c>
      <c r="E12" s="47">
        <v>31</v>
      </c>
      <c r="F12" s="47">
        <v>16</v>
      </c>
      <c r="G12" s="35">
        <v>126.97738634907456</v>
      </c>
      <c r="H12" s="9">
        <v>1</v>
      </c>
      <c r="I12" s="9">
        <v>351.912</v>
      </c>
      <c r="J12" s="9">
        <f t="shared" si="0"/>
        <v>1204940.7847277948</v>
      </c>
      <c r="K12" s="9"/>
      <c r="L12" s="13"/>
      <c r="M12" s="58"/>
      <c r="N12" s="58" t="s">
        <v>33</v>
      </c>
      <c r="O12" s="58" t="s">
        <v>34</v>
      </c>
      <c r="P12" s="58" t="s">
        <v>35</v>
      </c>
      <c r="Q12" s="58" t="s">
        <v>36</v>
      </c>
      <c r="R12" s="58" t="s">
        <v>37</v>
      </c>
    </row>
    <row r="13" spans="1:18" ht="12.75">
      <c r="A13" s="3">
        <v>37926</v>
      </c>
      <c r="B13" s="46">
        <v>1225621.0530267505</v>
      </c>
      <c r="C13" s="69">
        <v>535.3</v>
      </c>
      <c r="D13" s="69">
        <v>0</v>
      </c>
      <c r="E13" s="47">
        <v>30</v>
      </c>
      <c r="F13" s="47">
        <v>16</v>
      </c>
      <c r="G13" s="35">
        <v>127.12458448276465</v>
      </c>
      <c r="H13" s="9">
        <v>1</v>
      </c>
      <c r="I13" s="9">
        <v>319.68</v>
      </c>
      <c r="J13" s="9">
        <f t="shared" si="0"/>
        <v>1229247.4769397595</v>
      </c>
      <c r="K13" s="9"/>
      <c r="L13" s="13"/>
      <c r="M13" s="36" t="s">
        <v>30</v>
      </c>
      <c r="N13" s="36">
        <v>4</v>
      </c>
      <c r="O13" s="36">
        <v>1370748147288.9429</v>
      </c>
      <c r="P13" s="36">
        <v>342687036822.2357</v>
      </c>
      <c r="Q13" s="36">
        <v>55.42063353943103</v>
      </c>
      <c r="R13" s="36">
        <v>1.35227926493556E-23</v>
      </c>
    </row>
    <row r="14" spans="1:18" ht="12.75">
      <c r="A14" s="3">
        <v>37956</v>
      </c>
      <c r="B14" s="46">
        <v>1320332.8931813748</v>
      </c>
      <c r="C14" s="69">
        <v>754.7</v>
      </c>
      <c r="D14" s="69">
        <v>0</v>
      </c>
      <c r="E14" s="47">
        <v>31</v>
      </c>
      <c r="F14" s="47">
        <v>18</v>
      </c>
      <c r="G14" s="35">
        <v>127.27195325542573</v>
      </c>
      <c r="H14" s="9">
        <v>0</v>
      </c>
      <c r="I14" s="9">
        <v>336.288</v>
      </c>
      <c r="J14" s="9">
        <f t="shared" si="0"/>
        <v>1389128.854425318</v>
      </c>
      <c r="K14" s="9"/>
      <c r="L14" s="13"/>
      <c r="M14" s="36" t="s">
        <v>31</v>
      </c>
      <c r="N14" s="36">
        <v>91</v>
      </c>
      <c r="O14" s="36">
        <v>562687908080.9512</v>
      </c>
      <c r="P14" s="36">
        <v>6183383605.285178</v>
      </c>
      <c r="Q14" s="36"/>
      <c r="R14" s="36"/>
    </row>
    <row r="15" spans="1:18" ht="13.5" thickBot="1">
      <c r="A15" s="3">
        <v>37987</v>
      </c>
      <c r="B15" s="46">
        <v>1470668.8194422936</v>
      </c>
      <c r="C15" s="69">
        <v>1129.7</v>
      </c>
      <c r="D15" s="69">
        <v>0</v>
      </c>
      <c r="E15" s="79">
        <v>31</v>
      </c>
      <c r="F15" s="47">
        <v>16</v>
      </c>
      <c r="G15" s="72">
        <v>127.53411264087498</v>
      </c>
      <c r="H15" s="71">
        <v>0</v>
      </c>
      <c r="I15" s="71">
        <v>336.288</v>
      </c>
      <c r="J15" s="9">
        <f t="shared" si="0"/>
        <v>1489339.547408719</v>
      </c>
      <c r="K15" s="9"/>
      <c r="L15" s="13"/>
      <c r="M15" s="57" t="s">
        <v>11</v>
      </c>
      <c r="N15" s="57">
        <v>95</v>
      </c>
      <c r="O15" s="57">
        <v>1933436055369.894</v>
      </c>
      <c r="P15" s="57"/>
      <c r="Q15" s="57"/>
      <c r="R15" s="57"/>
    </row>
    <row r="16" spans="1:12" ht="13.5" thickBot="1">
      <c r="A16" s="3">
        <v>38018</v>
      </c>
      <c r="B16" s="46">
        <v>1324227.0529933348</v>
      </c>
      <c r="C16" s="69">
        <v>780.2</v>
      </c>
      <c r="D16" s="69">
        <v>0</v>
      </c>
      <c r="E16" s="79">
        <v>29</v>
      </c>
      <c r="F16" s="47">
        <v>16</v>
      </c>
      <c r="G16" s="72">
        <v>127.79681203173486</v>
      </c>
      <c r="H16" s="71">
        <v>0</v>
      </c>
      <c r="I16" s="71">
        <v>320.16</v>
      </c>
      <c r="J16" s="9">
        <f t="shared" si="0"/>
        <v>1287543.9372405738</v>
      </c>
      <c r="K16" s="9"/>
      <c r="L16" s="13"/>
    </row>
    <row r="17" spans="1:21" ht="12.75">
      <c r="A17" s="3">
        <v>38047</v>
      </c>
      <c r="B17" s="46">
        <v>1304774.3750523238</v>
      </c>
      <c r="C17" s="69">
        <v>662.7</v>
      </c>
      <c r="D17" s="69">
        <v>0</v>
      </c>
      <c r="E17" s="79">
        <v>31</v>
      </c>
      <c r="F17" s="47">
        <v>16</v>
      </c>
      <c r="G17" s="72">
        <v>128.06005254032812</v>
      </c>
      <c r="H17" s="71">
        <v>1</v>
      </c>
      <c r="I17" s="71">
        <v>368.28</v>
      </c>
      <c r="J17" s="9">
        <f t="shared" si="0"/>
        <v>1312183.0552491997</v>
      </c>
      <c r="K17" s="9"/>
      <c r="L17" s="13"/>
      <c r="M17" s="58"/>
      <c r="N17" s="58" t="s">
        <v>38</v>
      </c>
      <c r="O17" s="58" t="s">
        <v>27</v>
      </c>
      <c r="P17" s="58" t="s">
        <v>39</v>
      </c>
      <c r="Q17" s="58" t="s">
        <v>40</v>
      </c>
      <c r="R17" s="58" t="s">
        <v>41</v>
      </c>
      <c r="S17" s="58" t="s">
        <v>42</v>
      </c>
      <c r="T17" s="58" t="s">
        <v>43</v>
      </c>
      <c r="U17" s="58" t="s">
        <v>44</v>
      </c>
    </row>
    <row r="18" spans="1:21" ht="12.75">
      <c r="A18" s="3">
        <v>38078</v>
      </c>
      <c r="B18" s="46">
        <v>1139114.5894145165</v>
      </c>
      <c r="C18" s="69">
        <v>460</v>
      </c>
      <c r="D18" s="69">
        <v>0</v>
      </c>
      <c r="E18" s="79">
        <v>30</v>
      </c>
      <c r="F18" s="47">
        <v>16</v>
      </c>
      <c r="G18" s="72">
        <v>128.32383528126866</v>
      </c>
      <c r="H18" s="71">
        <v>1</v>
      </c>
      <c r="I18" s="71">
        <v>336.24</v>
      </c>
      <c r="J18" s="9">
        <f t="shared" si="0"/>
        <v>1200682.4151418754</v>
      </c>
      <c r="K18" s="9"/>
      <c r="L18" s="13"/>
      <c r="M18" s="36" t="s">
        <v>32</v>
      </c>
      <c r="N18" s="36">
        <v>-348374.65759373</v>
      </c>
      <c r="O18" s="36">
        <v>312114.31669331307</v>
      </c>
      <c r="P18" s="36">
        <v>-1.1161764743270228</v>
      </c>
      <c r="Q18" s="36">
        <v>0.26728527100425836</v>
      </c>
      <c r="R18" s="36">
        <v>-968351.3919985355</v>
      </c>
      <c r="S18" s="36">
        <v>271602.07681107544</v>
      </c>
      <c r="T18" s="36">
        <v>-968351.3919985355</v>
      </c>
      <c r="U18" s="36">
        <v>271602.07681107544</v>
      </c>
    </row>
    <row r="19" spans="1:21" ht="12.75">
      <c r="A19" s="3">
        <v>38108</v>
      </c>
      <c r="B19" s="46">
        <v>1088204.4086543026</v>
      </c>
      <c r="C19" s="69">
        <v>258.3</v>
      </c>
      <c r="D19" s="69">
        <v>1</v>
      </c>
      <c r="E19" s="79">
        <v>31</v>
      </c>
      <c r="F19" s="47">
        <v>16</v>
      </c>
      <c r="G19" s="72">
        <v>128.58816137146633</v>
      </c>
      <c r="H19" s="71">
        <v>1</v>
      </c>
      <c r="I19" s="71">
        <v>319.92</v>
      </c>
      <c r="J19" s="9">
        <f t="shared" si="0"/>
        <v>1161383.8895588983</v>
      </c>
      <c r="K19" s="9"/>
      <c r="L19" s="13"/>
      <c r="M19" s="36" t="s">
        <v>90</v>
      </c>
      <c r="N19" s="36">
        <v>379.3500902773431</v>
      </c>
      <c r="O19" s="36">
        <v>31.294503014496062</v>
      </c>
      <c r="P19" s="36">
        <v>12.121940076876207</v>
      </c>
      <c r="Q19" s="36">
        <v>1.0716127654847096E-20</v>
      </c>
      <c r="R19" s="36">
        <v>317.1874058183245</v>
      </c>
      <c r="S19" s="36">
        <v>441.5127747363617</v>
      </c>
      <c r="T19" s="36">
        <v>317.1874058183245</v>
      </c>
      <c r="U19" s="36">
        <v>441.5127747363617</v>
      </c>
    </row>
    <row r="20" spans="1:21" ht="12.75">
      <c r="A20" s="3">
        <v>38139</v>
      </c>
      <c r="B20" s="46">
        <v>1075297.111733328</v>
      </c>
      <c r="C20" s="69">
        <v>105.1</v>
      </c>
      <c r="D20" s="69">
        <v>7.8</v>
      </c>
      <c r="E20" s="79">
        <v>30</v>
      </c>
      <c r="F20" s="47">
        <v>17</v>
      </c>
      <c r="G20" s="72">
        <v>128.85303193013166</v>
      </c>
      <c r="H20" s="71">
        <v>0</v>
      </c>
      <c r="I20" s="71">
        <v>352.08</v>
      </c>
      <c r="J20" s="9">
        <f t="shared" si="0"/>
        <v>1107431.947917024</v>
      </c>
      <c r="K20" s="9"/>
      <c r="L20" s="13"/>
      <c r="M20" s="36" t="s">
        <v>91</v>
      </c>
      <c r="N20" s="36">
        <v>2610.010817855918</v>
      </c>
      <c r="O20" s="36">
        <v>470.6888825656829</v>
      </c>
      <c r="P20" s="36">
        <v>5.545087029948494</v>
      </c>
      <c r="Q20" s="36">
        <v>2.8512676345551036E-07</v>
      </c>
      <c r="R20" s="36">
        <v>1675.0451955629144</v>
      </c>
      <c r="S20" s="36">
        <v>3544.976440148922</v>
      </c>
      <c r="T20" s="36">
        <v>1675.0451955629144</v>
      </c>
      <c r="U20" s="36">
        <v>3544.976440148922</v>
      </c>
    </row>
    <row r="21" spans="1:21" ht="12.75">
      <c r="A21" s="3">
        <v>38169</v>
      </c>
      <c r="B21" s="46">
        <v>1199730.3497831523</v>
      </c>
      <c r="C21" s="69">
        <v>30.1</v>
      </c>
      <c r="D21" s="69">
        <v>39.3</v>
      </c>
      <c r="E21" s="79">
        <v>31</v>
      </c>
      <c r="F21" s="47">
        <v>15</v>
      </c>
      <c r="G21" s="72">
        <v>129.11844807878055</v>
      </c>
      <c r="H21" s="71">
        <v>0</v>
      </c>
      <c r="I21" s="71">
        <v>336.288</v>
      </c>
      <c r="J21" s="9">
        <f t="shared" si="0"/>
        <v>1153756.8178461888</v>
      </c>
      <c r="K21" s="9"/>
      <c r="L21" s="13"/>
      <c r="M21" s="36" t="s">
        <v>92</v>
      </c>
      <c r="N21" s="36">
        <v>34606.37680810691</v>
      </c>
      <c r="O21" s="36">
        <v>10111.816184259118</v>
      </c>
      <c r="P21" s="36">
        <v>3.422370044856831</v>
      </c>
      <c r="Q21" s="36">
        <v>0.0009319500525414161</v>
      </c>
      <c r="R21" s="36">
        <v>14520.496598456972</v>
      </c>
      <c r="S21" s="36">
        <v>54692.25701775684</v>
      </c>
      <c r="T21" s="36">
        <v>14520.496598456972</v>
      </c>
      <c r="U21" s="36">
        <v>54692.25701775684</v>
      </c>
    </row>
    <row r="22" spans="1:21" ht="13.5" thickBot="1">
      <c r="A22" s="3">
        <v>38200</v>
      </c>
      <c r="B22" s="46">
        <v>1191907.0260917735</v>
      </c>
      <c r="C22" s="69">
        <v>82.3</v>
      </c>
      <c r="D22" s="69">
        <v>15</v>
      </c>
      <c r="E22" s="79">
        <v>31</v>
      </c>
      <c r="F22" s="47">
        <v>16</v>
      </c>
      <c r="G22" s="72">
        <v>129.38441094123903</v>
      </c>
      <c r="H22" s="71">
        <v>0</v>
      </c>
      <c r="I22" s="71">
        <v>336.288</v>
      </c>
      <c r="J22" s="9">
        <f t="shared" si="0"/>
        <v>1131158.4251200687</v>
      </c>
      <c r="K22" s="9"/>
      <c r="L22" s="13"/>
      <c r="M22" s="57" t="s">
        <v>93</v>
      </c>
      <c r="N22" s="57">
        <v>21022.79543530128</v>
      </c>
      <c r="O22" s="57">
        <v>2363.805402360226</v>
      </c>
      <c r="P22" s="57">
        <v>8.893623567452007</v>
      </c>
      <c r="Q22" s="57">
        <v>5.27247960058864E-14</v>
      </c>
      <c r="R22" s="57">
        <v>16327.386491392594</v>
      </c>
      <c r="S22" s="57">
        <v>25718.204379209965</v>
      </c>
      <c r="T22" s="57">
        <v>16327.386491392594</v>
      </c>
      <c r="U22" s="57">
        <v>25718.204379209965</v>
      </c>
    </row>
    <row r="23" spans="1:12" ht="12.75">
      <c r="A23" s="3">
        <v>38231</v>
      </c>
      <c r="B23" s="46">
        <v>1161091.5480102296</v>
      </c>
      <c r="C23" s="69">
        <v>92.8</v>
      </c>
      <c r="D23" s="69">
        <v>19.5</v>
      </c>
      <c r="E23" s="79">
        <v>30</v>
      </c>
      <c r="F23" s="47">
        <v>18</v>
      </c>
      <c r="G23" s="72">
        <v>129.65092164364802</v>
      </c>
      <c r="H23" s="71">
        <v>1</v>
      </c>
      <c r="I23" s="71">
        <v>336.24</v>
      </c>
      <c r="J23" s="9">
        <f t="shared" si="0"/>
        <v>1154325.863810828</v>
      </c>
      <c r="K23" s="9"/>
      <c r="L23" s="13"/>
    </row>
    <row r="24" spans="1:12" ht="12.75">
      <c r="A24" s="3">
        <v>38261</v>
      </c>
      <c r="B24" s="46">
        <v>1124301.6571782266</v>
      </c>
      <c r="C24" s="69">
        <v>325</v>
      </c>
      <c r="D24" s="69">
        <v>0</v>
      </c>
      <c r="E24" s="79">
        <v>31</v>
      </c>
      <c r="F24" s="47">
        <v>14</v>
      </c>
      <c r="G24" s="72">
        <v>129.91798131446814</v>
      </c>
      <c r="H24" s="71">
        <v>1</v>
      </c>
      <c r="I24" s="71">
        <v>319.92</v>
      </c>
      <c r="J24" s="9">
        <f t="shared" si="0"/>
        <v>1142030.9388919384</v>
      </c>
      <c r="K24" s="9"/>
      <c r="L24" s="13"/>
    </row>
    <row r="25" spans="1:12" ht="12.75">
      <c r="A25" s="3">
        <v>38292</v>
      </c>
      <c r="B25" s="46">
        <v>1287999.44951708</v>
      </c>
      <c r="C25" s="69">
        <v>530</v>
      </c>
      <c r="D25" s="69">
        <v>0</v>
      </c>
      <c r="E25" s="79">
        <v>30</v>
      </c>
      <c r="F25" s="47">
        <v>16</v>
      </c>
      <c r="G25" s="72">
        <v>130.18559108448443</v>
      </c>
      <c r="H25" s="71">
        <v>1</v>
      </c>
      <c r="I25" s="71">
        <v>352.08</v>
      </c>
      <c r="J25" s="9">
        <f t="shared" si="0"/>
        <v>1227236.9214612895</v>
      </c>
      <c r="K25" s="9"/>
      <c r="L25" s="13"/>
    </row>
    <row r="26" spans="1:12" ht="12.75">
      <c r="A26" s="3">
        <v>38322</v>
      </c>
      <c r="B26" s="46">
        <v>1324009.6408989734</v>
      </c>
      <c r="C26" s="69">
        <v>895.5</v>
      </c>
      <c r="D26" s="69">
        <v>0</v>
      </c>
      <c r="E26" s="79">
        <v>31</v>
      </c>
      <c r="F26" s="47">
        <v>16</v>
      </c>
      <c r="G26" s="72">
        <v>130.45375208681136</v>
      </c>
      <c r="H26" s="71">
        <v>0</v>
      </c>
      <c r="I26" s="71">
        <v>336.288</v>
      </c>
      <c r="J26" s="9">
        <f t="shared" si="0"/>
        <v>1400495.7562657653</v>
      </c>
      <c r="K26" s="9"/>
      <c r="L26" s="13"/>
    </row>
    <row r="27" spans="1:12" ht="12.75">
      <c r="A27" s="3">
        <v>38353</v>
      </c>
      <c r="B27" s="46">
        <v>1406115.7648253234</v>
      </c>
      <c r="C27" s="69">
        <v>1011.1</v>
      </c>
      <c r="D27" s="69">
        <v>0</v>
      </c>
      <c r="E27" s="79">
        <v>31</v>
      </c>
      <c r="F27" s="47">
        <v>16</v>
      </c>
      <c r="G27" s="72">
        <v>130.7437021568508</v>
      </c>
      <c r="H27" s="71">
        <v>0</v>
      </c>
      <c r="I27" s="71">
        <v>319.92</v>
      </c>
      <c r="J27" s="9">
        <f t="shared" si="0"/>
        <v>1444348.626701826</v>
      </c>
      <c r="K27" s="9"/>
      <c r="L27" s="13"/>
    </row>
    <row r="28" spans="1:12" ht="12.75">
      <c r="A28" s="3">
        <v>38384</v>
      </c>
      <c r="B28" s="46">
        <v>1225349.163315437</v>
      </c>
      <c r="C28" s="69">
        <v>747</v>
      </c>
      <c r="D28" s="69">
        <v>0</v>
      </c>
      <c r="E28" s="79">
        <v>28</v>
      </c>
      <c r="F28" s="47">
        <v>16</v>
      </c>
      <c r="G28" s="72">
        <v>131.0342966778299</v>
      </c>
      <c r="H28" s="71">
        <v>0</v>
      </c>
      <c r="I28" s="71">
        <v>319.872</v>
      </c>
      <c r="J28" s="9">
        <f t="shared" si="0"/>
        <v>1240343.137435259</v>
      </c>
      <c r="K28" s="9"/>
      <c r="L28" s="13"/>
    </row>
    <row r="29" spans="1:12" ht="12.75">
      <c r="A29" s="3">
        <v>38412</v>
      </c>
      <c r="B29" s="46">
        <v>1268044.7129691206</v>
      </c>
      <c r="C29" s="69">
        <v>733.6</v>
      </c>
      <c r="D29" s="69">
        <v>0</v>
      </c>
      <c r="E29" s="79">
        <v>31</v>
      </c>
      <c r="F29" s="47">
        <v>16</v>
      </c>
      <c r="G29" s="72">
        <v>131.32553708212293</v>
      </c>
      <c r="H29" s="71">
        <v>1</v>
      </c>
      <c r="I29" s="71">
        <v>351.912</v>
      </c>
      <c r="J29" s="9">
        <f t="shared" si="0"/>
        <v>1339078.9766498634</v>
      </c>
      <c r="K29" s="9"/>
      <c r="L29" s="13"/>
    </row>
    <row r="30" spans="1:12" ht="12.75">
      <c r="A30" s="3">
        <v>38443</v>
      </c>
      <c r="B30" s="46">
        <v>1155614.4287359847</v>
      </c>
      <c r="C30" s="69">
        <v>371.5</v>
      </c>
      <c r="D30" s="69">
        <v>0</v>
      </c>
      <c r="E30" s="79">
        <v>30</v>
      </c>
      <c r="F30" s="47">
        <v>16</v>
      </c>
      <c r="G30" s="72">
        <v>131.61742480528775</v>
      </c>
      <c r="H30" s="71">
        <v>1</v>
      </c>
      <c r="I30" s="71">
        <v>336.24</v>
      </c>
      <c r="J30" s="9">
        <f t="shared" si="0"/>
        <v>1167109.9321523306</v>
      </c>
      <c r="K30" s="9"/>
      <c r="L30" s="13"/>
    </row>
    <row r="31" spans="1:12" ht="12.75">
      <c r="A31" s="3">
        <v>38473</v>
      </c>
      <c r="B31" s="46">
        <v>1109164.156543066</v>
      </c>
      <c r="C31" s="69">
        <v>215.4</v>
      </c>
      <c r="D31" s="69">
        <v>0</v>
      </c>
      <c r="E31" s="79">
        <v>31</v>
      </c>
      <c r="F31" s="47">
        <v>16</v>
      </c>
      <c r="G31" s="72">
        <v>131.90996128607298</v>
      </c>
      <c r="H31" s="71">
        <v>1</v>
      </c>
      <c r="I31" s="71">
        <v>336.288</v>
      </c>
      <c r="J31" s="9">
        <f t="shared" si="0"/>
        <v>1142499.7598681443</v>
      </c>
      <c r="K31" s="9"/>
      <c r="L31" s="13"/>
    </row>
    <row r="32" spans="1:12" ht="12.75">
      <c r="A32" s="3">
        <v>38504</v>
      </c>
      <c r="B32" s="46">
        <v>1179399.542297928</v>
      </c>
      <c r="C32" s="69">
        <v>26.3</v>
      </c>
      <c r="D32" s="69">
        <v>0</v>
      </c>
      <c r="E32" s="79">
        <v>30</v>
      </c>
      <c r="F32" s="47">
        <v>16</v>
      </c>
      <c r="G32" s="72">
        <v>132.203147966425</v>
      </c>
      <c r="H32" s="71">
        <v>0</v>
      </c>
      <c r="I32" s="71">
        <v>352.08</v>
      </c>
      <c r="J32" s="9">
        <f t="shared" si="0"/>
        <v>1036158.2809885917</v>
      </c>
      <c r="K32" s="9"/>
      <c r="L32" s="13"/>
    </row>
    <row r="33" spans="1:12" ht="12.75">
      <c r="A33" s="3">
        <v>38534</v>
      </c>
      <c r="B33" s="46">
        <v>1293539.666477666</v>
      </c>
      <c r="C33" s="69">
        <v>14.4</v>
      </c>
      <c r="D33" s="69">
        <v>94.3</v>
      </c>
      <c r="E33" s="79">
        <v>31</v>
      </c>
      <c r="F33" s="47">
        <v>16</v>
      </c>
      <c r="G33" s="72">
        <v>132.49698629149512</v>
      </c>
      <c r="H33" s="71">
        <v>0</v>
      </c>
      <c r="I33" s="71">
        <v>319.92</v>
      </c>
      <c r="J33" s="9">
        <f t="shared" si="0"/>
        <v>1312374.4118462114</v>
      </c>
      <c r="K33" s="9"/>
      <c r="L33" s="13"/>
    </row>
    <row r="34" spans="1:12" ht="12.75">
      <c r="A34" s="3">
        <v>38565</v>
      </c>
      <c r="B34" s="46">
        <v>1228026.624644283</v>
      </c>
      <c r="C34" s="69">
        <v>18.5</v>
      </c>
      <c r="D34" s="69">
        <v>58.9</v>
      </c>
      <c r="E34" s="79">
        <v>31</v>
      </c>
      <c r="F34" s="47">
        <v>16</v>
      </c>
      <c r="G34" s="72">
        <v>132.79147770964664</v>
      </c>
      <c r="H34" s="71">
        <v>0</v>
      </c>
      <c r="I34" s="71">
        <v>351.912</v>
      </c>
      <c r="J34" s="9">
        <f t="shared" si="0"/>
        <v>1221535.3642642489</v>
      </c>
      <c r="K34" s="9"/>
      <c r="L34" s="13"/>
    </row>
    <row r="35" spans="1:12" ht="12.75">
      <c r="A35" s="3">
        <v>38596</v>
      </c>
      <c r="B35" s="46">
        <v>1141022.8843820316</v>
      </c>
      <c r="C35" s="69">
        <v>85.2</v>
      </c>
      <c r="D35" s="69">
        <v>18.1</v>
      </c>
      <c r="E35" s="79">
        <v>30</v>
      </c>
      <c r="F35" s="47">
        <v>16</v>
      </c>
      <c r="G35" s="72">
        <v>133.0866236724621</v>
      </c>
      <c r="H35" s="71">
        <v>1</v>
      </c>
      <c r="I35" s="71">
        <v>336.24</v>
      </c>
      <c r="J35" s="9">
        <f t="shared" si="0"/>
        <v>1105743.1971091195</v>
      </c>
      <c r="K35" s="9"/>
      <c r="L35" s="13"/>
    </row>
    <row r="36" spans="1:12" ht="12.75">
      <c r="A36" s="3">
        <v>38626</v>
      </c>
      <c r="B36" s="46">
        <v>1192881.7103941152</v>
      </c>
      <c r="C36" s="69">
        <v>300</v>
      </c>
      <c r="D36" s="69">
        <v>7</v>
      </c>
      <c r="E36" s="79">
        <v>31</v>
      </c>
      <c r="F36" s="47">
        <v>16</v>
      </c>
      <c r="G36" s="72">
        <v>133.38242563475035</v>
      </c>
      <c r="H36" s="71">
        <v>1</v>
      </c>
      <c r="I36" s="71">
        <v>319.92</v>
      </c>
      <c r="J36" s="9">
        <f t="shared" si="0"/>
        <v>1192862.8532305988</v>
      </c>
      <c r="K36" s="9"/>
      <c r="L36" s="13"/>
    </row>
    <row r="37" spans="1:12" ht="12.75">
      <c r="A37" s="3">
        <v>38657</v>
      </c>
      <c r="B37" s="46">
        <v>1264735.0875756987</v>
      </c>
      <c r="C37" s="69">
        <v>563.8</v>
      </c>
      <c r="D37" s="69">
        <v>0</v>
      </c>
      <c r="E37" s="79">
        <v>30</v>
      </c>
      <c r="F37" s="47">
        <v>16</v>
      </c>
      <c r="G37" s="72">
        <v>133.6788850545537</v>
      </c>
      <c r="H37" s="71">
        <v>1</v>
      </c>
      <c r="I37" s="71">
        <v>352.08</v>
      </c>
      <c r="J37" s="9">
        <f t="shared" si="0"/>
        <v>1240058.9545126637</v>
      </c>
      <c r="K37" s="9"/>
      <c r="L37" s="13"/>
    </row>
    <row r="38" spans="1:12" ht="12.75">
      <c r="A38" s="3">
        <v>38687</v>
      </c>
      <c r="B38" s="46">
        <v>1359356.6666060262</v>
      </c>
      <c r="C38" s="69">
        <v>838.9</v>
      </c>
      <c r="D38" s="69">
        <v>0</v>
      </c>
      <c r="E38" s="79">
        <v>31</v>
      </c>
      <c r="F38" s="47">
        <v>16</v>
      </c>
      <c r="G38" s="72">
        <v>133.97600339315525</v>
      </c>
      <c r="H38" s="71">
        <v>0</v>
      </c>
      <c r="I38" s="71">
        <v>319.92</v>
      </c>
      <c r="J38" s="9">
        <f t="shared" si="0"/>
        <v>1379024.5411560677</v>
      </c>
      <c r="K38" s="9"/>
      <c r="L38" s="13"/>
    </row>
    <row r="39" spans="1:12" ht="12.75">
      <c r="A39" s="3">
        <v>38718</v>
      </c>
      <c r="B39" s="39">
        <v>1335615.5360075585</v>
      </c>
      <c r="C39" s="69">
        <v>783.8</v>
      </c>
      <c r="D39" s="69">
        <v>0</v>
      </c>
      <c r="E39" s="79">
        <v>31</v>
      </c>
      <c r="F39" s="47">
        <v>16</v>
      </c>
      <c r="G39" s="72">
        <v>134.25197202423305</v>
      </c>
      <c r="H39" s="71">
        <v>0</v>
      </c>
      <c r="I39" s="71">
        <v>336.288</v>
      </c>
      <c r="J39" s="9">
        <f t="shared" si="0"/>
        <v>1358122.351181786</v>
      </c>
      <c r="K39" s="9"/>
      <c r="L39" s="13"/>
    </row>
    <row r="40" spans="1:12" ht="12.75">
      <c r="A40" s="3">
        <v>38749</v>
      </c>
      <c r="B40" s="39">
        <v>1239612.9980112952</v>
      </c>
      <c r="C40" s="69">
        <v>821.6</v>
      </c>
      <c r="D40" s="69">
        <v>0</v>
      </c>
      <c r="E40" s="79">
        <v>28</v>
      </c>
      <c r="F40" s="47">
        <v>16</v>
      </c>
      <c r="G40" s="72">
        <v>134.5285091055065</v>
      </c>
      <c r="H40" s="71">
        <v>0</v>
      </c>
      <c r="I40" s="71">
        <v>319.872</v>
      </c>
      <c r="J40" s="9">
        <f t="shared" si="0"/>
        <v>1268642.654169949</v>
      </c>
      <c r="K40" s="9"/>
      <c r="L40" s="13"/>
    </row>
    <row r="41" spans="1:12" ht="12.75">
      <c r="A41" s="3">
        <v>38777</v>
      </c>
      <c r="B41" s="39">
        <v>1277927.2225164461</v>
      </c>
      <c r="C41" s="69">
        <v>644.4</v>
      </c>
      <c r="D41" s="69">
        <v>0</v>
      </c>
      <c r="E41" s="79">
        <v>31</v>
      </c>
      <c r="F41" s="47">
        <v>16</v>
      </c>
      <c r="G41" s="72">
        <v>134.80561580788986</v>
      </c>
      <c r="H41" s="71">
        <v>1</v>
      </c>
      <c r="I41" s="71">
        <v>368.28</v>
      </c>
      <c r="J41" s="9">
        <f t="shared" si="0"/>
        <v>1305240.9485971243</v>
      </c>
      <c r="K41" s="9"/>
      <c r="L41" s="13"/>
    </row>
    <row r="42" spans="1:12" ht="12.75">
      <c r="A42" s="3">
        <v>38808</v>
      </c>
      <c r="B42" s="39">
        <v>1118290.9729489186</v>
      </c>
      <c r="C42" s="69">
        <v>365.5</v>
      </c>
      <c r="D42" s="69">
        <v>0</v>
      </c>
      <c r="E42" s="79">
        <v>30</v>
      </c>
      <c r="F42" s="47">
        <v>16</v>
      </c>
      <c r="G42" s="72">
        <v>135.08329330470943</v>
      </c>
      <c r="H42" s="71">
        <v>1</v>
      </c>
      <c r="I42" s="71">
        <v>303.84</v>
      </c>
      <c r="J42" s="9">
        <f t="shared" si="0"/>
        <v>1164833.8316106666</v>
      </c>
      <c r="K42" s="9"/>
      <c r="L42" s="13"/>
    </row>
    <row r="43" spans="1:12" ht="12.75">
      <c r="A43" s="3">
        <v>38838</v>
      </c>
      <c r="B43" s="39">
        <v>992028.4891320043</v>
      </c>
      <c r="C43" s="69">
        <v>165.6</v>
      </c>
      <c r="D43" s="69">
        <v>13.6</v>
      </c>
      <c r="E43" s="79">
        <v>31</v>
      </c>
      <c r="F43" s="47">
        <v>16</v>
      </c>
      <c r="G43" s="72">
        <v>135.3615427717083</v>
      </c>
      <c r="H43" s="71">
        <v>1</v>
      </c>
      <c r="I43" s="71">
        <v>351.912</v>
      </c>
      <c r="J43" s="9">
        <f t="shared" si="0"/>
        <v>1159104.2724951732</v>
      </c>
      <c r="K43" s="9"/>
      <c r="L43" s="13"/>
    </row>
    <row r="44" spans="1:12" ht="12.75">
      <c r="A44" s="3">
        <v>38869</v>
      </c>
      <c r="B44" s="39">
        <v>1027094.773665332</v>
      </c>
      <c r="C44" s="69">
        <v>50.6</v>
      </c>
      <c r="D44" s="69">
        <v>29.9</v>
      </c>
      <c r="E44" s="79">
        <v>30</v>
      </c>
      <c r="F44" s="47">
        <v>16</v>
      </c>
      <c r="G44" s="72">
        <v>135.64036538705133</v>
      </c>
      <c r="H44" s="71">
        <v>0</v>
      </c>
      <c r="I44" s="71">
        <v>352.08</v>
      </c>
      <c r="J44" s="9">
        <f t="shared" si="0"/>
        <v>1123415.8116362232</v>
      </c>
      <c r="K44" s="9"/>
      <c r="L44" s="13"/>
    </row>
    <row r="45" spans="1:12" ht="12.75">
      <c r="A45" s="3">
        <v>38899</v>
      </c>
      <c r="B45" s="39">
        <v>1281771.613072257</v>
      </c>
      <c r="C45" s="69">
        <v>10.8</v>
      </c>
      <c r="D45" s="69">
        <v>84.2</v>
      </c>
      <c r="E45" s="79">
        <v>31</v>
      </c>
      <c r="F45" s="47">
        <v>16</v>
      </c>
      <c r="G45" s="72">
        <v>135.9197623313303</v>
      </c>
      <c r="H45" s="71">
        <v>0</v>
      </c>
      <c r="I45" s="71">
        <v>319.92</v>
      </c>
      <c r="J45" s="9">
        <f t="shared" si="0"/>
        <v>1284647.642260868</v>
      </c>
      <c r="K45" s="9"/>
      <c r="L45" s="13"/>
    </row>
    <row r="46" spans="1:12" ht="12.75">
      <c r="A46" s="3">
        <v>38930</v>
      </c>
      <c r="B46" s="39">
        <v>1220716.8464325082</v>
      </c>
      <c r="C46" s="69">
        <v>44.8</v>
      </c>
      <c r="D46" s="69">
        <v>30.6</v>
      </c>
      <c r="E46" s="79">
        <v>31</v>
      </c>
      <c r="F46" s="47">
        <v>16</v>
      </c>
      <c r="G46" s="72">
        <v>136.1997347875688</v>
      </c>
      <c r="H46" s="71">
        <v>0</v>
      </c>
      <c r="I46" s="71">
        <v>351.912</v>
      </c>
      <c r="J46" s="9">
        <f t="shared" si="0"/>
        <v>1157648.9654932206</v>
      </c>
      <c r="K46" s="9"/>
      <c r="L46" s="13"/>
    </row>
    <row r="47" spans="1:12" ht="12.75">
      <c r="A47" s="3">
        <v>38961</v>
      </c>
      <c r="B47" s="39">
        <v>1065256.0240702194</v>
      </c>
      <c r="C47" s="69">
        <v>179.6</v>
      </c>
      <c r="D47" s="69">
        <v>1.2</v>
      </c>
      <c r="E47" s="79">
        <v>30</v>
      </c>
      <c r="F47" s="47">
        <v>16</v>
      </c>
      <c r="G47" s="72">
        <v>136.48028394122719</v>
      </c>
      <c r="H47" s="71">
        <v>1</v>
      </c>
      <c r="I47" s="71">
        <v>319.68</v>
      </c>
      <c r="J47" s="9">
        <f t="shared" si="0"/>
        <v>1097444.6628095356</v>
      </c>
      <c r="K47" s="9"/>
      <c r="L47" s="13"/>
    </row>
    <row r="48" spans="1:12" ht="12.75">
      <c r="A48" s="3">
        <v>38991</v>
      </c>
      <c r="B48" s="39">
        <v>1214557.2647202737</v>
      </c>
      <c r="C48" s="69">
        <v>399.5</v>
      </c>
      <c r="D48" s="69">
        <v>0</v>
      </c>
      <c r="E48" s="79">
        <v>31</v>
      </c>
      <c r="F48" s="47">
        <v>16</v>
      </c>
      <c r="G48" s="72">
        <v>136.76141098020776</v>
      </c>
      <c r="H48" s="71">
        <v>1</v>
      </c>
      <c r="I48" s="71">
        <v>336.288</v>
      </c>
      <c r="J48" s="9">
        <f t="shared" si="0"/>
        <v>1212338.111488203</v>
      </c>
      <c r="K48" s="9"/>
      <c r="L48" s="13"/>
    </row>
    <row r="49" spans="1:12" ht="12.75">
      <c r="A49" s="3">
        <v>39022</v>
      </c>
      <c r="B49" s="39">
        <v>1219272.0864145542</v>
      </c>
      <c r="C49" s="69">
        <v>513</v>
      </c>
      <c r="D49" s="69">
        <v>0</v>
      </c>
      <c r="E49" s="79">
        <v>30</v>
      </c>
      <c r="F49" s="47">
        <v>16</v>
      </c>
      <c r="G49" s="72">
        <v>137.04311709485967</v>
      </c>
      <c r="H49" s="71">
        <v>1</v>
      </c>
      <c r="I49" s="71">
        <v>352.08</v>
      </c>
      <c r="J49" s="9">
        <f t="shared" si="0"/>
        <v>1220787.9699265747</v>
      </c>
      <c r="K49" s="9"/>
      <c r="L49" s="13"/>
    </row>
    <row r="50" spans="1:12" ht="12.75">
      <c r="A50" s="3">
        <v>39052</v>
      </c>
      <c r="B50" s="39">
        <v>1311060.816575373</v>
      </c>
      <c r="C50" s="69">
        <v>675.3</v>
      </c>
      <c r="D50" s="69">
        <v>0</v>
      </c>
      <c r="E50" s="79">
        <v>31</v>
      </c>
      <c r="F50" s="47">
        <v>18</v>
      </c>
      <c r="G50" s="72">
        <v>137.3254034779841</v>
      </c>
      <c r="H50" s="71">
        <v>0</v>
      </c>
      <c r="I50" s="71">
        <v>304.296</v>
      </c>
      <c r="J50" s="9">
        <f t="shared" si="0"/>
        <v>1359008.457257297</v>
      </c>
      <c r="K50" s="9"/>
      <c r="L50" s="13"/>
    </row>
    <row r="51" spans="1:12" ht="12.75">
      <c r="A51" s="3">
        <v>39083</v>
      </c>
      <c r="B51" s="39">
        <v>1338739.1591659046</v>
      </c>
      <c r="C51" s="69">
        <v>882.1</v>
      </c>
      <c r="D51" s="69">
        <v>0</v>
      </c>
      <c r="E51" s="79">
        <v>31</v>
      </c>
      <c r="F51" s="47">
        <v>17</v>
      </c>
      <c r="G51" s="72">
        <v>137.55</v>
      </c>
      <c r="H51" s="71">
        <v>0</v>
      </c>
      <c r="I51" s="71">
        <v>351.912</v>
      </c>
      <c r="J51" s="9">
        <f t="shared" si="0"/>
        <v>1416435.2604913502</v>
      </c>
      <c r="K51" s="9"/>
      <c r="L51" s="13"/>
    </row>
    <row r="52" spans="1:12" ht="12.75">
      <c r="A52" s="3">
        <v>39114</v>
      </c>
      <c r="B52" s="39">
        <v>1264906.0367984641</v>
      </c>
      <c r="C52" s="69">
        <v>906.6</v>
      </c>
      <c r="D52" s="69">
        <v>0</v>
      </c>
      <c r="E52" s="79">
        <v>28</v>
      </c>
      <c r="F52" s="47">
        <v>16</v>
      </c>
      <c r="G52" s="72">
        <v>137.78</v>
      </c>
      <c r="H52" s="71">
        <v>0</v>
      </c>
      <c r="I52" s="71">
        <v>319.872</v>
      </c>
      <c r="J52" s="9">
        <f t="shared" si="0"/>
        <v>1300887.4118435232</v>
      </c>
      <c r="K52" s="9"/>
      <c r="L52" s="13"/>
    </row>
    <row r="53" spans="1:12" ht="12.75">
      <c r="A53" s="3">
        <v>39142</v>
      </c>
      <c r="B53" s="39">
        <v>1290575.1545660966</v>
      </c>
      <c r="C53" s="69">
        <v>689.1</v>
      </c>
      <c r="D53" s="69">
        <v>0</v>
      </c>
      <c r="E53" s="79">
        <v>31</v>
      </c>
      <c r="F53" s="47">
        <v>16</v>
      </c>
      <c r="G53" s="72">
        <v>138.01</v>
      </c>
      <c r="H53" s="71">
        <v>1</v>
      </c>
      <c r="I53" s="71">
        <v>351.912</v>
      </c>
      <c r="J53" s="9">
        <f t="shared" si="0"/>
        <v>1322197.8976325216</v>
      </c>
      <c r="K53" s="9"/>
      <c r="L53" s="13"/>
    </row>
    <row r="54" spans="1:12" ht="12.75">
      <c r="A54" s="3">
        <v>39173</v>
      </c>
      <c r="B54" s="39">
        <v>1147639.4325588944</v>
      </c>
      <c r="C54" s="69">
        <v>428.3</v>
      </c>
      <c r="D54" s="69">
        <v>0</v>
      </c>
      <c r="E54" s="79">
        <v>30</v>
      </c>
      <c r="F54" s="47">
        <v>16</v>
      </c>
      <c r="G54" s="72">
        <v>138.23</v>
      </c>
      <c r="H54" s="71">
        <v>1</v>
      </c>
      <c r="I54" s="71">
        <v>319.68</v>
      </c>
      <c r="J54" s="9">
        <f t="shared" si="0"/>
        <v>1188657.0172800836</v>
      </c>
      <c r="K54" s="9"/>
      <c r="L54" s="13"/>
    </row>
    <row r="55" spans="1:12" ht="12.75">
      <c r="A55" s="3">
        <v>39203</v>
      </c>
      <c r="B55" s="39">
        <v>1174787.9015745732</v>
      </c>
      <c r="C55" s="69">
        <v>186.7</v>
      </c>
      <c r="D55" s="69">
        <v>14.2</v>
      </c>
      <c r="E55" s="79">
        <v>31</v>
      </c>
      <c r="F55" s="47">
        <v>16</v>
      </c>
      <c r="G55" s="72">
        <v>138.46</v>
      </c>
      <c r="H55" s="71">
        <v>1</v>
      </c>
      <c r="I55" s="71">
        <v>351.912</v>
      </c>
      <c r="J55" s="9">
        <f t="shared" si="0"/>
        <v>1168674.5658907385</v>
      </c>
      <c r="K55" s="9"/>
      <c r="L55" s="13"/>
    </row>
    <row r="56" spans="1:12" ht="12.75">
      <c r="A56" s="3">
        <v>39234</v>
      </c>
      <c r="B56" s="39">
        <v>1183227.9672853425</v>
      </c>
      <c r="C56" s="69">
        <v>62.5</v>
      </c>
      <c r="D56" s="69">
        <v>52.4</v>
      </c>
      <c r="E56" s="79">
        <v>30</v>
      </c>
      <c r="F56" s="47">
        <v>16</v>
      </c>
      <c r="G56" s="72">
        <v>138.69</v>
      </c>
      <c r="H56" s="71">
        <v>0</v>
      </c>
      <c r="I56" s="71">
        <v>336.24</v>
      </c>
      <c r="J56" s="9">
        <f t="shared" si="0"/>
        <v>1186655.3211122816</v>
      </c>
      <c r="K56" s="9"/>
      <c r="L56" s="13"/>
    </row>
    <row r="57" spans="1:12" ht="12.75">
      <c r="A57" s="3">
        <v>39264</v>
      </c>
      <c r="B57" s="39">
        <v>1289117.1879479236</v>
      </c>
      <c r="C57" s="69">
        <v>34.1</v>
      </c>
      <c r="D57" s="69">
        <v>46.5</v>
      </c>
      <c r="E57" s="79">
        <v>31</v>
      </c>
      <c r="F57" s="47">
        <v>16</v>
      </c>
      <c r="G57" s="72">
        <v>138.92</v>
      </c>
      <c r="H57" s="71">
        <v>0</v>
      </c>
      <c r="I57" s="71">
        <v>336.288</v>
      </c>
      <c r="J57" s="9">
        <f t="shared" si="0"/>
        <v>1195089.0915311622</v>
      </c>
      <c r="K57" s="9"/>
      <c r="L57" s="13"/>
    </row>
    <row r="58" spans="1:12" ht="12.75">
      <c r="A58" s="3">
        <v>39295</v>
      </c>
      <c r="B58" s="39">
        <v>1230660.7159532951</v>
      </c>
      <c r="C58" s="69">
        <v>36</v>
      </c>
      <c r="D58" s="69">
        <v>49.6</v>
      </c>
      <c r="E58" s="79">
        <v>31</v>
      </c>
      <c r="F58" s="47">
        <v>16</v>
      </c>
      <c r="G58" s="72">
        <v>139.15</v>
      </c>
      <c r="H58" s="71">
        <v>0</v>
      </c>
      <c r="I58" s="71">
        <v>351.912</v>
      </c>
      <c r="J58" s="9">
        <f t="shared" si="0"/>
        <v>1203900.8902380425</v>
      </c>
      <c r="K58" s="9"/>
      <c r="L58" s="13"/>
    </row>
    <row r="59" spans="1:12" ht="12.75">
      <c r="A59" s="3">
        <v>39326</v>
      </c>
      <c r="B59" s="39">
        <v>1180950.8475721986</v>
      </c>
      <c r="C59" s="69">
        <v>118.8</v>
      </c>
      <c r="D59" s="69">
        <v>11.9</v>
      </c>
      <c r="E59" s="79">
        <v>30</v>
      </c>
      <c r="F59" s="47">
        <v>16</v>
      </c>
      <c r="G59" s="72">
        <v>139.38</v>
      </c>
      <c r="H59" s="71">
        <v>1</v>
      </c>
      <c r="I59" s="71">
        <v>303.84</v>
      </c>
      <c r="J59" s="9">
        <f t="shared" si="0"/>
        <v>1102307.2930717315</v>
      </c>
      <c r="K59" s="9"/>
      <c r="L59" s="13"/>
    </row>
    <row r="60" spans="1:12" ht="12.75">
      <c r="A60" s="3">
        <v>39356</v>
      </c>
      <c r="B60" s="39">
        <v>1230815.9317427785</v>
      </c>
      <c r="C60" s="69">
        <v>273.1</v>
      </c>
      <c r="D60" s="69">
        <v>0</v>
      </c>
      <c r="E60" s="79">
        <v>31</v>
      </c>
      <c r="F60" s="47">
        <v>16</v>
      </c>
      <c r="G60" s="72">
        <v>139.61</v>
      </c>
      <c r="H60" s="71">
        <v>1</v>
      </c>
      <c r="I60" s="71">
        <v>351.912</v>
      </c>
      <c r="J60" s="9">
        <f t="shared" si="0"/>
        <v>1164388.260077147</v>
      </c>
      <c r="K60" s="9"/>
      <c r="L60" s="13"/>
    </row>
    <row r="61" spans="1:12" ht="12.75">
      <c r="A61" s="3">
        <v>39387</v>
      </c>
      <c r="B61" s="39">
        <v>1247807.889459578</v>
      </c>
      <c r="C61" s="69">
        <v>589.6</v>
      </c>
      <c r="D61" s="69">
        <v>0</v>
      </c>
      <c r="E61" s="79">
        <v>30</v>
      </c>
      <c r="F61" s="47">
        <v>16</v>
      </c>
      <c r="G61" s="72">
        <v>139.84</v>
      </c>
      <c r="H61" s="71">
        <v>1</v>
      </c>
      <c r="I61" s="71">
        <v>352.08</v>
      </c>
      <c r="J61" s="9">
        <f t="shared" si="0"/>
        <v>1249846.1868418192</v>
      </c>
      <c r="K61" s="9"/>
      <c r="L61" s="13"/>
    </row>
    <row r="62" spans="1:12" ht="12.75">
      <c r="A62" s="3">
        <v>39417</v>
      </c>
      <c r="B62" s="39">
        <v>1322705.261402923</v>
      </c>
      <c r="C62" s="69">
        <v>824.5</v>
      </c>
      <c r="D62" s="69">
        <v>0</v>
      </c>
      <c r="E62" s="79">
        <v>31</v>
      </c>
      <c r="F62" s="47">
        <v>16</v>
      </c>
      <c r="G62" s="72">
        <v>140.07</v>
      </c>
      <c r="H62" s="71">
        <v>0</v>
      </c>
      <c r="I62" s="71">
        <v>304.296</v>
      </c>
      <c r="J62" s="9">
        <f t="shared" si="0"/>
        <v>1373561.899856074</v>
      </c>
      <c r="K62" s="9"/>
      <c r="L62" s="13"/>
    </row>
    <row r="63" spans="1:10" ht="12.75">
      <c r="A63" s="3">
        <v>39448</v>
      </c>
      <c r="B63" s="47">
        <v>1337485.7077763474</v>
      </c>
      <c r="C63" s="69">
        <v>829.7</v>
      </c>
      <c r="D63" s="69">
        <v>0</v>
      </c>
      <c r="E63" s="79">
        <v>31</v>
      </c>
      <c r="F63" s="47">
        <v>16</v>
      </c>
      <c r="G63" s="72">
        <v>139.97</v>
      </c>
      <c r="H63" s="71">
        <v>0</v>
      </c>
      <c r="I63" s="71">
        <v>352</v>
      </c>
      <c r="J63" s="9">
        <f t="shared" si="0"/>
        <v>1375534.5203255161</v>
      </c>
    </row>
    <row r="64" spans="1:10" ht="12.75">
      <c r="A64" s="3">
        <v>39479</v>
      </c>
      <c r="B64" s="47">
        <v>1307783.199785718</v>
      </c>
      <c r="C64" s="69">
        <v>861.5</v>
      </c>
      <c r="D64" s="69">
        <v>0</v>
      </c>
      <c r="E64" s="79">
        <v>29</v>
      </c>
      <c r="F64" s="47">
        <v>16</v>
      </c>
      <c r="G64" s="72">
        <v>139.86</v>
      </c>
      <c r="H64" s="71">
        <v>0</v>
      </c>
      <c r="I64" s="71">
        <v>320</v>
      </c>
      <c r="J64" s="9">
        <f t="shared" si="0"/>
        <v>1318385.0995801217</v>
      </c>
    </row>
    <row r="65" spans="1:10" ht="12.75">
      <c r="A65" s="3">
        <v>39508</v>
      </c>
      <c r="B65" s="47">
        <v>1303590.5738984714</v>
      </c>
      <c r="C65" s="69">
        <v>777.8</v>
      </c>
      <c r="D65" s="69">
        <v>0</v>
      </c>
      <c r="E65" s="79">
        <v>31</v>
      </c>
      <c r="F65" s="47">
        <v>16</v>
      </c>
      <c r="G65" s="72">
        <v>139.76</v>
      </c>
      <c r="H65" s="71">
        <v>1</v>
      </c>
      <c r="I65" s="71">
        <v>304</v>
      </c>
      <c r="J65" s="9">
        <f t="shared" si="0"/>
        <v>1355846.250640122</v>
      </c>
    </row>
    <row r="66" spans="1:10" ht="12.75">
      <c r="A66" s="3">
        <v>39539</v>
      </c>
      <c r="B66" s="47">
        <v>1145534.6237441492</v>
      </c>
      <c r="C66" s="69">
        <v>367.9</v>
      </c>
      <c r="D66" s="69">
        <v>0</v>
      </c>
      <c r="E66" s="79">
        <v>30</v>
      </c>
      <c r="F66" s="47">
        <v>16</v>
      </c>
      <c r="G66" s="72">
        <v>139.65</v>
      </c>
      <c r="H66" s="71">
        <v>1</v>
      </c>
      <c r="I66" s="71">
        <v>352</v>
      </c>
      <c r="J66" s="9">
        <f t="shared" si="0"/>
        <v>1165744.2718273322</v>
      </c>
    </row>
    <row r="67" spans="1:10" ht="12.75">
      <c r="A67" s="3">
        <v>39569</v>
      </c>
      <c r="B67" s="47">
        <v>1093326.645081739</v>
      </c>
      <c r="C67" s="69">
        <v>268.8</v>
      </c>
      <c r="D67" s="69">
        <v>0</v>
      </c>
      <c r="E67" s="79">
        <v>31</v>
      </c>
      <c r="F67" s="47">
        <v>16</v>
      </c>
      <c r="G67" s="72">
        <v>139.55</v>
      </c>
      <c r="H67" s="71">
        <v>1</v>
      </c>
      <c r="I67" s="71">
        <v>336</v>
      </c>
      <c r="J67" s="9">
        <f t="shared" si="0"/>
        <v>1162757.0546889543</v>
      </c>
    </row>
    <row r="68" spans="1:10" ht="12.75">
      <c r="A68" s="3">
        <v>39600</v>
      </c>
      <c r="B68" s="47">
        <v>1123956.2459992308</v>
      </c>
      <c r="C68" s="69">
        <v>49.4</v>
      </c>
      <c r="D68" s="69">
        <v>23.7</v>
      </c>
      <c r="E68" s="79">
        <v>30</v>
      </c>
      <c r="F68" s="47">
        <v>16</v>
      </c>
      <c r="G68" s="72">
        <v>139.44</v>
      </c>
      <c r="H68" s="71">
        <v>0</v>
      </c>
      <c r="I68" s="71">
        <v>336</v>
      </c>
      <c r="J68" s="9">
        <f aca="true" t="shared" si="1" ref="J68:J122">$N$18+C68*$N$19+D68*$N$20+E68*$N$21+F68*$N$22</f>
        <v>1106778.5244571837</v>
      </c>
    </row>
    <row r="69" spans="1:10" ht="12.75">
      <c r="A69" s="3">
        <v>39630</v>
      </c>
      <c r="B69" s="47">
        <v>1260579.7550135185</v>
      </c>
      <c r="C69" s="69">
        <v>16.5</v>
      </c>
      <c r="D69" s="69">
        <v>36.7</v>
      </c>
      <c r="E69" s="79">
        <v>31</v>
      </c>
      <c r="F69" s="47">
        <v>16</v>
      </c>
      <c r="G69" s="72">
        <v>139.34</v>
      </c>
      <c r="H69" s="71">
        <v>0</v>
      </c>
      <c r="I69" s="71">
        <v>352</v>
      </c>
      <c r="J69" s="9">
        <f t="shared" si="1"/>
        <v>1162834.423927293</v>
      </c>
    </row>
    <row r="70" spans="1:10" ht="12.75">
      <c r="A70" s="3">
        <v>39661</v>
      </c>
      <c r="B70" s="47">
        <v>1176979.4867164576</v>
      </c>
      <c r="C70" s="69">
        <v>28.1</v>
      </c>
      <c r="D70" s="69">
        <v>19.9</v>
      </c>
      <c r="E70" s="79">
        <v>31</v>
      </c>
      <c r="F70" s="47">
        <v>16</v>
      </c>
      <c r="G70" s="72">
        <v>139.23</v>
      </c>
      <c r="H70" s="71">
        <v>0</v>
      </c>
      <c r="I70" s="71">
        <v>320</v>
      </c>
      <c r="J70" s="9">
        <f t="shared" si="1"/>
        <v>1123386.7032345308</v>
      </c>
    </row>
    <row r="71" spans="1:10" ht="12.75">
      <c r="A71" s="3">
        <v>39692</v>
      </c>
      <c r="B71" s="47">
        <v>1159038.8460103231</v>
      </c>
      <c r="C71" s="69">
        <v>153.4</v>
      </c>
      <c r="D71" s="69">
        <v>7.6</v>
      </c>
      <c r="E71" s="79">
        <v>30</v>
      </c>
      <c r="F71" s="47">
        <v>16</v>
      </c>
      <c r="G71" s="72">
        <v>139.13</v>
      </c>
      <c r="H71" s="71">
        <v>1</v>
      </c>
      <c r="I71" s="71">
        <v>336</v>
      </c>
      <c r="J71" s="9">
        <f t="shared" si="1"/>
        <v>1104209.759678547</v>
      </c>
    </row>
    <row r="72" spans="1:10" ht="12.75">
      <c r="A72" s="3">
        <v>39722</v>
      </c>
      <c r="B72" s="47">
        <v>1196448.578203544</v>
      </c>
      <c r="C72" s="69">
        <v>380.2</v>
      </c>
      <c r="D72" s="69">
        <v>0.3</v>
      </c>
      <c r="E72" s="79">
        <v>31</v>
      </c>
      <c r="F72" s="47">
        <v>16</v>
      </c>
      <c r="G72" s="72">
        <v>139.02</v>
      </c>
      <c r="H72" s="71">
        <v>1</v>
      </c>
      <c r="I72" s="71">
        <v>352</v>
      </c>
      <c r="J72" s="9">
        <f t="shared" si="1"/>
        <v>1205799.6579912072</v>
      </c>
    </row>
    <row r="73" spans="1:10" ht="12.75">
      <c r="A73" s="3">
        <v>39753</v>
      </c>
      <c r="B73" s="47">
        <v>1243760.7442086837</v>
      </c>
      <c r="C73" s="69">
        <v>573.2</v>
      </c>
      <c r="D73" s="69">
        <v>0</v>
      </c>
      <c r="E73" s="79">
        <v>30</v>
      </c>
      <c r="F73" s="47">
        <v>16</v>
      </c>
      <c r="G73" s="72">
        <v>138.92</v>
      </c>
      <c r="H73" s="71">
        <v>1</v>
      </c>
      <c r="I73" s="71">
        <v>304</v>
      </c>
      <c r="J73" s="9">
        <f t="shared" si="1"/>
        <v>1243624.8453612707</v>
      </c>
    </row>
    <row r="74" spans="1:10" ht="12.75">
      <c r="A74" s="3">
        <v>39783</v>
      </c>
      <c r="B74" s="47">
        <v>1360845.2981735393</v>
      </c>
      <c r="C74" s="69">
        <v>891.8</v>
      </c>
      <c r="D74" s="69">
        <v>0</v>
      </c>
      <c r="E74" s="79">
        <v>31</v>
      </c>
      <c r="F74" s="47">
        <v>16</v>
      </c>
      <c r="G74" s="72">
        <v>138.81</v>
      </c>
      <c r="H74" s="71">
        <v>0</v>
      </c>
      <c r="I74" s="71">
        <v>336</v>
      </c>
      <c r="J74" s="9">
        <f t="shared" si="1"/>
        <v>1399092.160931739</v>
      </c>
    </row>
    <row r="75" spans="1:33" s="14" customFormat="1" ht="12.75">
      <c r="A75" s="3">
        <v>39814</v>
      </c>
      <c r="B75" s="47">
        <v>1470639.3719177684</v>
      </c>
      <c r="C75" s="69">
        <v>1046.7</v>
      </c>
      <c r="D75" s="69">
        <v>0</v>
      </c>
      <c r="E75" s="79">
        <v>31</v>
      </c>
      <c r="F75" s="47">
        <v>16</v>
      </c>
      <c r="G75" s="72">
        <v>138.39</v>
      </c>
      <c r="H75" s="71">
        <v>0</v>
      </c>
      <c r="I75" s="71">
        <v>336</v>
      </c>
      <c r="J75" s="9">
        <f t="shared" si="1"/>
        <v>1457853.4899156995</v>
      </c>
      <c r="K75" s="51"/>
      <c r="L75" s="1"/>
      <c r="M75"/>
      <c r="N75"/>
      <c r="O75"/>
      <c r="P75"/>
      <c r="Q75"/>
      <c r="R75"/>
      <c r="S75"/>
      <c r="T75"/>
      <c r="U75"/>
      <c r="V75"/>
      <c r="W75"/>
      <c r="X75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11" ht="12.75">
      <c r="A76" s="3">
        <v>39845</v>
      </c>
      <c r="B76" s="47">
        <v>1264364.9992040496</v>
      </c>
      <c r="C76" s="69">
        <v>790.3</v>
      </c>
      <c r="D76" s="69">
        <v>0</v>
      </c>
      <c r="E76" s="79">
        <v>28</v>
      </c>
      <c r="F76" s="47">
        <v>16</v>
      </c>
      <c r="G76" s="72">
        <v>137.97</v>
      </c>
      <c r="H76" s="71">
        <v>0</v>
      </c>
      <c r="I76" s="71">
        <v>304</v>
      </c>
      <c r="J76" s="9">
        <f t="shared" si="1"/>
        <v>1256768.996344268</v>
      </c>
      <c r="K76" s="51"/>
    </row>
    <row r="77" spans="1:11" ht="12.75">
      <c r="A77" s="3">
        <v>39873</v>
      </c>
      <c r="B77" s="47">
        <v>1301041.5498918698</v>
      </c>
      <c r="C77" s="69">
        <v>696.1</v>
      </c>
      <c r="D77" s="69">
        <v>0</v>
      </c>
      <c r="E77" s="79">
        <v>31</v>
      </c>
      <c r="F77" s="47">
        <v>16</v>
      </c>
      <c r="G77" s="72">
        <v>137.54</v>
      </c>
      <c r="H77" s="71">
        <v>1</v>
      </c>
      <c r="I77" s="71">
        <v>352</v>
      </c>
      <c r="J77" s="9">
        <f t="shared" si="1"/>
        <v>1324853.348264463</v>
      </c>
      <c r="K77" s="51"/>
    </row>
    <row r="78" spans="1:11" ht="12.75">
      <c r="A78" s="3">
        <v>39904</v>
      </c>
      <c r="B78" s="47">
        <v>1120979.3143195456</v>
      </c>
      <c r="C78" s="69">
        <v>434.2</v>
      </c>
      <c r="D78" s="69">
        <v>0</v>
      </c>
      <c r="E78" s="79">
        <v>30</v>
      </c>
      <c r="F78" s="47">
        <v>16</v>
      </c>
      <c r="G78" s="72">
        <v>137.13</v>
      </c>
      <c r="H78" s="71">
        <v>1</v>
      </c>
      <c r="I78" s="71">
        <v>320</v>
      </c>
      <c r="J78" s="9">
        <f t="shared" si="1"/>
        <v>1190895.18281272</v>
      </c>
      <c r="K78" s="51"/>
    </row>
    <row r="79" spans="1:11" ht="12.75">
      <c r="A79" s="3">
        <v>39934</v>
      </c>
      <c r="B79" s="47">
        <v>1149464.9321529139</v>
      </c>
      <c r="C79" s="69">
        <v>264.3</v>
      </c>
      <c r="D79" s="69">
        <v>0.6</v>
      </c>
      <c r="E79" s="79">
        <v>31</v>
      </c>
      <c r="F79" s="47">
        <v>18</v>
      </c>
      <c r="G79" s="72">
        <v>136.71</v>
      </c>
      <c r="H79" s="71">
        <v>1</v>
      </c>
      <c r="I79" s="71">
        <v>320</v>
      </c>
      <c r="J79" s="9">
        <f t="shared" si="1"/>
        <v>1204661.5766440225</v>
      </c>
      <c r="K79" s="51"/>
    </row>
    <row r="80" spans="1:11" ht="12.75">
      <c r="A80" s="3">
        <v>39965</v>
      </c>
      <c r="B80" s="47">
        <v>1101815.1249629017</v>
      </c>
      <c r="C80" s="69">
        <v>93.2</v>
      </c>
      <c r="D80" s="69">
        <v>35.8</v>
      </c>
      <c r="E80" s="79">
        <v>30</v>
      </c>
      <c r="F80" s="47">
        <v>18</v>
      </c>
      <c r="G80" s="72">
        <v>136.29</v>
      </c>
      <c r="H80" s="71">
        <v>0</v>
      </c>
      <c r="I80" s="71">
        <v>352</v>
      </c>
      <c r="J80" s="9">
        <f t="shared" si="1"/>
        <v>1197020.7801779904</v>
      </c>
      <c r="K80" s="51"/>
    </row>
    <row r="81" spans="1:11" ht="12.75">
      <c r="A81" s="3">
        <v>39995</v>
      </c>
      <c r="B81" s="47">
        <v>1307275.9598568967</v>
      </c>
      <c r="C81" s="69">
        <v>47.8</v>
      </c>
      <c r="D81" s="69">
        <v>8.8</v>
      </c>
      <c r="E81" s="79">
        <v>31</v>
      </c>
      <c r="F81" s="47">
        <v>20</v>
      </c>
      <c r="G81" s="72">
        <v>135.87</v>
      </c>
      <c r="H81" s="71">
        <v>0</v>
      </c>
      <c r="I81" s="71">
        <v>352</v>
      </c>
      <c r="J81" s="9">
        <f t="shared" si="1"/>
        <v>1185979.9616759988</v>
      </c>
      <c r="K81" s="51"/>
    </row>
    <row r="82" spans="1:11" ht="12.75">
      <c r="A82" s="3">
        <v>40026</v>
      </c>
      <c r="B82" s="47">
        <v>1288391.5975907468</v>
      </c>
      <c r="C82" s="69">
        <v>60.8</v>
      </c>
      <c r="D82" s="69">
        <v>34</v>
      </c>
      <c r="E82" s="79">
        <v>31</v>
      </c>
      <c r="F82" s="47">
        <v>18</v>
      </c>
      <c r="G82" s="72">
        <v>135.46</v>
      </c>
      <c r="H82" s="71">
        <v>0</v>
      </c>
      <c r="I82" s="71">
        <v>320</v>
      </c>
      <c r="J82" s="9">
        <f t="shared" si="1"/>
        <v>1214638.1945889709</v>
      </c>
      <c r="K82" s="51"/>
    </row>
    <row r="83" spans="1:11" ht="12.75">
      <c r="A83" s="3">
        <v>40057</v>
      </c>
      <c r="B83" s="47">
        <v>1318885.5042515525</v>
      </c>
      <c r="C83" s="69">
        <v>113.6</v>
      </c>
      <c r="D83" s="69">
        <v>6.8</v>
      </c>
      <c r="E83" s="79">
        <v>30</v>
      </c>
      <c r="F83" s="47">
        <v>31</v>
      </c>
      <c r="G83" s="72">
        <v>135.05</v>
      </c>
      <c r="H83" s="71">
        <v>1</v>
      </c>
      <c r="I83" s="71">
        <v>336</v>
      </c>
      <c r="J83" s="9">
        <f t="shared" si="1"/>
        <v>1402365.5489607435</v>
      </c>
      <c r="K83" s="51"/>
    </row>
    <row r="84" spans="1:11" ht="12.75">
      <c r="A84" s="3">
        <v>40087</v>
      </c>
      <c r="B84" s="47">
        <v>1381755.538960009</v>
      </c>
      <c r="C84" s="69">
        <v>418.2</v>
      </c>
      <c r="D84" s="69">
        <v>0</v>
      </c>
      <c r="E84" s="79">
        <v>31</v>
      </c>
      <c r="F84" s="47">
        <v>21</v>
      </c>
      <c r="G84" s="72">
        <v>134.63</v>
      </c>
      <c r="H84" s="71">
        <v>1</v>
      </c>
      <c r="I84" s="71">
        <v>336</v>
      </c>
      <c r="J84" s="9">
        <f t="shared" si="1"/>
        <v>1324545.9353528959</v>
      </c>
      <c r="K84" s="51"/>
    </row>
    <row r="85" spans="1:11" ht="12.75">
      <c r="A85" s="3">
        <v>40118</v>
      </c>
      <c r="B85" s="47">
        <v>1420202.3030662416</v>
      </c>
      <c r="C85" s="69">
        <v>453.3</v>
      </c>
      <c r="D85" s="69">
        <v>0</v>
      </c>
      <c r="E85" s="79">
        <v>30</v>
      </c>
      <c r="F85" s="47">
        <v>22</v>
      </c>
      <c r="G85" s="72">
        <v>134.22</v>
      </c>
      <c r="H85" s="71">
        <v>1</v>
      </c>
      <c r="I85" s="71">
        <v>320</v>
      </c>
      <c r="J85" s="9">
        <f t="shared" si="1"/>
        <v>1324277.542148825</v>
      </c>
      <c r="K85" s="51"/>
    </row>
    <row r="86" spans="1:33" s="32" customFormat="1" ht="12.75">
      <c r="A86" s="3">
        <v>40148</v>
      </c>
      <c r="B86" s="47">
        <v>1508215.1712288249</v>
      </c>
      <c r="C86" s="69">
        <v>826.5</v>
      </c>
      <c r="D86" s="69">
        <v>0</v>
      </c>
      <c r="E86" s="79">
        <v>31</v>
      </c>
      <c r="F86" s="47">
        <v>22</v>
      </c>
      <c r="G86" s="72">
        <v>133.81</v>
      </c>
      <c r="H86" s="71">
        <v>0</v>
      </c>
      <c r="I86" s="71">
        <v>352</v>
      </c>
      <c r="J86" s="9">
        <f t="shared" si="1"/>
        <v>1500457.3726484363</v>
      </c>
      <c r="K86" s="51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27" ht="12.75">
      <c r="A87" s="3">
        <v>40179</v>
      </c>
      <c r="B87" s="46">
        <v>1562974.9426222015</v>
      </c>
      <c r="C87" s="69">
        <v>878.8</v>
      </c>
      <c r="D87" s="69">
        <v>0</v>
      </c>
      <c r="E87" s="79">
        <v>31</v>
      </c>
      <c r="F87" s="47">
        <v>22</v>
      </c>
      <c r="G87" s="72">
        <v>134.17</v>
      </c>
      <c r="H87" s="71">
        <v>0</v>
      </c>
      <c r="I87" s="71">
        <v>320</v>
      </c>
      <c r="J87" s="9">
        <f t="shared" si="1"/>
        <v>1520297.3823699413</v>
      </c>
      <c r="K87" s="51"/>
      <c r="Y87" s="10"/>
      <c r="Z87" s="10"/>
      <c r="AA87" s="10"/>
    </row>
    <row r="88" spans="1:11" ht="12.75">
      <c r="A88" s="3">
        <v>40210</v>
      </c>
      <c r="B88" s="46">
        <v>1443512.0207716392</v>
      </c>
      <c r="C88" s="69">
        <v>750.7</v>
      </c>
      <c r="D88" s="69">
        <v>0</v>
      </c>
      <c r="E88" s="79">
        <v>28</v>
      </c>
      <c r="F88" s="47">
        <v>24</v>
      </c>
      <c r="G88" s="72">
        <v>134.52</v>
      </c>
      <c r="H88" s="71">
        <v>0</v>
      </c>
      <c r="I88" s="71">
        <v>304</v>
      </c>
      <c r="J88" s="9">
        <f t="shared" si="1"/>
        <v>1409929.0962516956</v>
      </c>
      <c r="K88" s="51"/>
    </row>
    <row r="89" spans="1:11" ht="12.75">
      <c r="A89" s="3">
        <v>40238</v>
      </c>
      <c r="B89" s="46">
        <v>1508842.818107631</v>
      </c>
      <c r="C89" s="69">
        <v>502.9</v>
      </c>
      <c r="D89" s="69">
        <v>0</v>
      </c>
      <c r="E89" s="79">
        <v>31</v>
      </c>
      <c r="F89" s="47">
        <v>27</v>
      </c>
      <c r="G89" s="72">
        <v>134.87</v>
      </c>
      <c r="H89" s="71">
        <v>1</v>
      </c>
      <c r="I89" s="71">
        <v>368</v>
      </c>
      <c r="J89" s="9">
        <f t="shared" si="1"/>
        <v>1482813.6606111946</v>
      </c>
      <c r="K89" s="51"/>
    </row>
    <row r="90" spans="1:11" ht="12.75">
      <c r="A90" s="3">
        <v>40269</v>
      </c>
      <c r="B90" s="46">
        <v>1310397.6080620682</v>
      </c>
      <c r="C90" s="69">
        <v>324.1</v>
      </c>
      <c r="D90" s="69">
        <v>0</v>
      </c>
      <c r="E90" s="79">
        <v>30</v>
      </c>
      <c r="F90" s="47">
        <v>25</v>
      </c>
      <c r="G90" s="72">
        <v>135.23</v>
      </c>
      <c r="H90" s="71">
        <v>1</v>
      </c>
      <c r="I90" s="71">
        <v>320</v>
      </c>
      <c r="J90" s="9">
        <f t="shared" si="1"/>
        <v>1338333.896790896</v>
      </c>
      <c r="K90" s="51"/>
    </row>
    <row r="91" spans="1:11" ht="12.75">
      <c r="A91" s="3">
        <v>40299</v>
      </c>
      <c r="B91" s="46">
        <v>1431218.9315337625</v>
      </c>
      <c r="C91" s="69">
        <v>138.9</v>
      </c>
      <c r="D91" s="69">
        <v>33.1</v>
      </c>
      <c r="E91" s="79">
        <v>31</v>
      </c>
      <c r="F91" s="47">
        <v>25</v>
      </c>
      <c r="G91" s="72">
        <v>135.58</v>
      </c>
      <c r="H91" s="71">
        <v>1</v>
      </c>
      <c r="I91" s="71">
        <v>320</v>
      </c>
      <c r="J91" s="9">
        <f t="shared" si="1"/>
        <v>1389075.9949506698</v>
      </c>
      <c r="K91" s="51"/>
    </row>
    <row r="92" spans="1:11" ht="12.75">
      <c r="A92" s="3">
        <v>40330</v>
      </c>
      <c r="B92" s="46">
        <v>1251994.853524407</v>
      </c>
      <c r="C92" s="69">
        <v>70.5</v>
      </c>
      <c r="D92" s="69">
        <v>9.1</v>
      </c>
      <c r="E92" s="79">
        <v>30</v>
      </c>
      <c r="F92" s="47">
        <v>25</v>
      </c>
      <c r="G92" s="72">
        <v>135.94</v>
      </c>
      <c r="H92" s="71">
        <v>0</v>
      </c>
      <c r="I92" s="71">
        <v>352</v>
      </c>
      <c r="J92" s="9">
        <f t="shared" si="1"/>
        <v>1265881.8123390507</v>
      </c>
      <c r="K92" s="51"/>
    </row>
    <row r="93" spans="1:11" ht="12.75">
      <c r="A93" s="3">
        <v>40360</v>
      </c>
      <c r="B93" s="46">
        <v>1438165.1047276694</v>
      </c>
      <c r="C93" s="69">
        <v>8.3</v>
      </c>
      <c r="D93" s="69">
        <v>100</v>
      </c>
      <c r="E93" s="79">
        <v>31</v>
      </c>
      <c r="F93" s="47">
        <v>25</v>
      </c>
      <c r="G93" s="72">
        <v>135.3</v>
      </c>
      <c r="H93" s="71">
        <v>0</v>
      </c>
      <c r="I93" s="71">
        <v>336</v>
      </c>
      <c r="J93" s="9">
        <f t="shared" si="1"/>
        <v>1514142.5968750098</v>
      </c>
      <c r="K93" s="51"/>
    </row>
    <row r="94" spans="1:11" ht="12.75">
      <c r="A94" s="3">
        <v>40391</v>
      </c>
      <c r="B94" s="46">
        <v>1467384.5535057476</v>
      </c>
      <c r="C94" s="69">
        <v>26.6</v>
      </c>
      <c r="D94" s="69">
        <v>70.7</v>
      </c>
      <c r="E94" s="79">
        <v>31</v>
      </c>
      <c r="F94" s="47">
        <v>25</v>
      </c>
      <c r="G94" s="72">
        <v>136.65</v>
      </c>
      <c r="H94" s="71">
        <v>0</v>
      </c>
      <c r="I94" s="71">
        <v>336</v>
      </c>
      <c r="J94" s="9">
        <f t="shared" si="1"/>
        <v>1444611.386563907</v>
      </c>
      <c r="K94" s="51"/>
    </row>
    <row r="95" spans="1:11" ht="12.75">
      <c r="A95" s="3">
        <v>40422</v>
      </c>
      <c r="B95" s="46">
        <v>1317314.4457105952</v>
      </c>
      <c r="C95" s="69">
        <v>180.9</v>
      </c>
      <c r="D95" s="69">
        <v>8.5</v>
      </c>
      <c r="E95" s="79">
        <v>30</v>
      </c>
      <c r="F95" s="47">
        <v>25</v>
      </c>
      <c r="G95" s="72">
        <v>137.01</v>
      </c>
      <c r="H95" s="71">
        <v>1</v>
      </c>
      <c r="I95" s="71">
        <v>336</v>
      </c>
      <c r="J95" s="9">
        <f t="shared" si="1"/>
        <v>1306196.0558149558</v>
      </c>
      <c r="K95" s="51"/>
    </row>
    <row r="96" spans="1:11" ht="12.75">
      <c r="A96" s="3">
        <v>40452</v>
      </c>
      <c r="B96" s="46">
        <v>1393247.0219867642</v>
      </c>
      <c r="C96" s="69">
        <v>364.7</v>
      </c>
      <c r="D96" s="69">
        <v>0</v>
      </c>
      <c r="E96" s="79">
        <v>31</v>
      </c>
      <c r="F96" s="47">
        <v>25</v>
      </c>
      <c r="G96" s="72">
        <v>137.37</v>
      </c>
      <c r="H96" s="71">
        <v>1</v>
      </c>
      <c r="I96" s="71">
        <v>320</v>
      </c>
      <c r="J96" s="9">
        <f t="shared" si="1"/>
        <v>1388341.8872642631</v>
      </c>
      <c r="K96" s="51"/>
    </row>
    <row r="97" spans="1:11" ht="12.75">
      <c r="A97" s="3">
        <v>40483</v>
      </c>
      <c r="B97" s="46">
        <v>1458153.3135281117</v>
      </c>
      <c r="C97" s="69">
        <v>525.3</v>
      </c>
      <c r="D97" s="69">
        <v>0</v>
      </c>
      <c r="E97" s="79">
        <v>30</v>
      </c>
      <c r="F97" s="47">
        <v>27</v>
      </c>
      <c r="G97" s="72">
        <v>137.73</v>
      </c>
      <c r="H97" s="71">
        <v>1</v>
      </c>
      <c r="I97" s="71">
        <v>336</v>
      </c>
      <c r="J97" s="9">
        <f t="shared" si="1"/>
        <v>1456704.7258253</v>
      </c>
      <c r="K97" s="51"/>
    </row>
    <row r="98" spans="1:11" ht="12.75">
      <c r="A98" s="3">
        <v>40513</v>
      </c>
      <c r="B98" s="46">
        <v>1577169.2451145784</v>
      </c>
      <c r="C98" s="69">
        <v>804.9</v>
      </c>
      <c r="D98" s="69">
        <v>0</v>
      </c>
      <c r="E98" s="79">
        <v>31</v>
      </c>
      <c r="F98" s="47">
        <v>25.770622735897877</v>
      </c>
      <c r="G98" s="72">
        <v>138.1</v>
      </c>
      <c r="H98" s="71">
        <v>0</v>
      </c>
      <c r="I98" s="71">
        <v>368</v>
      </c>
      <c r="J98" s="9">
        <f t="shared" si="1"/>
        <v>1571532.4411389227</v>
      </c>
      <c r="K98" s="51"/>
    </row>
    <row r="99" spans="1:11" ht="12.75">
      <c r="A99" s="3">
        <v>40544</v>
      </c>
      <c r="C99" s="18">
        <f aca="true" t="shared" si="2" ref="C99:D110">(C3+C15+C27+C39+C51+C63+C75+C87)/8</f>
        <v>947.425</v>
      </c>
      <c r="D99" s="18">
        <f t="shared" si="2"/>
        <v>0</v>
      </c>
      <c r="E99" s="79">
        <v>31</v>
      </c>
      <c r="F99" s="47">
        <v>26</v>
      </c>
      <c r="G99" s="72">
        <v>138.35</v>
      </c>
      <c r="H99" s="71">
        <v>0</v>
      </c>
      <c r="I99" s="71">
        <v>336</v>
      </c>
      <c r="J99" s="9">
        <f t="shared" si="1"/>
        <v>1630421.464056429</v>
      </c>
      <c r="K99" s="51"/>
    </row>
    <row r="100" spans="1:11" ht="12.75">
      <c r="A100" s="3">
        <v>40575</v>
      </c>
      <c r="C100" s="18">
        <f t="shared" si="2"/>
        <v>822.6125</v>
      </c>
      <c r="D100" s="18">
        <f t="shared" si="2"/>
        <v>0</v>
      </c>
      <c r="E100" s="79">
        <v>28</v>
      </c>
      <c r="F100" s="47">
        <v>26</v>
      </c>
      <c r="G100" s="72">
        <v>138.6</v>
      </c>
      <c r="H100" s="71">
        <v>0</v>
      </c>
      <c r="I100" s="71">
        <v>304</v>
      </c>
      <c r="J100" s="9">
        <f t="shared" si="1"/>
        <v>1479254.7004893676</v>
      </c>
      <c r="K100" s="51"/>
    </row>
    <row r="101" spans="1:11" ht="12.75">
      <c r="A101" s="3">
        <v>40603</v>
      </c>
      <c r="C101" s="18">
        <f t="shared" si="2"/>
        <v>682.4625</v>
      </c>
      <c r="D101" s="18">
        <f t="shared" si="2"/>
        <v>0</v>
      </c>
      <c r="E101" s="79">
        <v>31</v>
      </c>
      <c r="F101" s="47">
        <v>26</v>
      </c>
      <c r="G101" s="72">
        <v>138.85</v>
      </c>
      <c r="H101" s="71">
        <v>1</v>
      </c>
      <c r="I101" s="71">
        <v>368</v>
      </c>
      <c r="J101" s="9">
        <f t="shared" si="1"/>
        <v>1529907.9157613185</v>
      </c>
      <c r="K101" s="51"/>
    </row>
    <row r="102" spans="1:11" ht="12.75">
      <c r="A102" s="3">
        <v>40634</v>
      </c>
      <c r="C102" s="18">
        <f t="shared" si="2"/>
        <v>409.65</v>
      </c>
      <c r="D102" s="18">
        <f t="shared" si="2"/>
        <v>0</v>
      </c>
      <c r="E102" s="79">
        <v>30</v>
      </c>
      <c r="F102" s="47">
        <v>26</v>
      </c>
      <c r="G102" s="72">
        <v>139.1</v>
      </c>
      <c r="H102" s="71">
        <v>1</v>
      </c>
      <c r="I102" s="71">
        <v>320</v>
      </c>
      <c r="J102" s="9">
        <f t="shared" si="1"/>
        <v>1391810.092449424</v>
      </c>
      <c r="K102" s="51"/>
    </row>
    <row r="103" spans="1:11" ht="12.75">
      <c r="A103" s="3">
        <v>40664</v>
      </c>
      <c r="C103" s="18">
        <f t="shared" si="2"/>
        <v>215.1625</v>
      </c>
      <c r="D103" s="18">
        <f t="shared" si="2"/>
        <v>7.8125</v>
      </c>
      <c r="E103" s="79">
        <v>31</v>
      </c>
      <c r="F103" s="47">
        <v>26</v>
      </c>
      <c r="G103" s="72">
        <v>139.35</v>
      </c>
      <c r="H103" s="71">
        <v>1</v>
      </c>
      <c r="I103" s="71">
        <v>336</v>
      </c>
      <c r="J103" s="9">
        <f t="shared" si="1"/>
        <v>1373028.3280892156</v>
      </c>
      <c r="K103" s="51"/>
    </row>
    <row r="104" spans="1:11" ht="12.75">
      <c r="A104" s="3">
        <v>40695</v>
      </c>
      <c r="C104" s="18">
        <f t="shared" si="2"/>
        <v>65.9625</v>
      </c>
      <c r="D104" s="18">
        <f t="shared" si="2"/>
        <v>23.649999999999995</v>
      </c>
      <c r="E104" s="79">
        <v>30</v>
      </c>
      <c r="F104" s="47">
        <v>26</v>
      </c>
      <c r="G104" s="72">
        <v>139.61</v>
      </c>
      <c r="H104" s="71">
        <v>0</v>
      </c>
      <c r="I104" s="71">
        <v>352</v>
      </c>
      <c r="J104" s="9">
        <f t="shared" si="1"/>
        <v>1323158.964139522</v>
      </c>
      <c r="K104" s="51"/>
    </row>
    <row r="105" spans="1:11" ht="12.75">
      <c r="A105" s="3">
        <v>40725</v>
      </c>
      <c r="C105" s="18">
        <f t="shared" si="2"/>
        <v>21.6875</v>
      </c>
      <c r="D105" s="18">
        <f t="shared" si="2"/>
        <v>55.9625</v>
      </c>
      <c r="E105" s="79">
        <v>31</v>
      </c>
      <c r="F105" s="47">
        <v>27</v>
      </c>
      <c r="G105" s="72">
        <v>139.86</v>
      </c>
      <c r="H105" s="71">
        <v>0</v>
      </c>
      <c r="I105" s="71">
        <v>320</v>
      </c>
      <c r="J105" s="9">
        <f t="shared" si="1"/>
        <v>1446328.3856878704</v>
      </c>
      <c r="K105" s="51"/>
    </row>
    <row r="106" spans="1:11" ht="12.75">
      <c r="A106" s="3">
        <v>40756</v>
      </c>
      <c r="C106" s="18">
        <f t="shared" si="2"/>
        <v>41.125</v>
      </c>
      <c r="D106" s="18">
        <f t="shared" si="2"/>
        <v>42.06249999999999</v>
      </c>
      <c r="E106" s="79">
        <v>31</v>
      </c>
      <c r="F106" s="47">
        <v>27</v>
      </c>
      <c r="G106" s="72">
        <v>140.11</v>
      </c>
      <c r="H106" s="71">
        <v>0</v>
      </c>
      <c r="I106" s="71">
        <v>352</v>
      </c>
      <c r="J106" s="9">
        <f t="shared" si="1"/>
        <v>1417422.8526994388</v>
      </c>
      <c r="K106" s="51"/>
    </row>
    <row r="107" spans="1:11" ht="12.75">
      <c r="A107" s="3">
        <v>40787</v>
      </c>
      <c r="C107" s="18">
        <f t="shared" si="2"/>
        <v>131.45</v>
      </c>
      <c r="D107" s="18">
        <f t="shared" si="2"/>
        <v>9.8</v>
      </c>
      <c r="E107" s="79">
        <v>30</v>
      </c>
      <c r="F107" s="47">
        <v>27</v>
      </c>
      <c r="G107" s="72">
        <v>140.37</v>
      </c>
      <c r="H107" s="71">
        <v>1</v>
      </c>
      <c r="I107" s="71">
        <v>336</v>
      </c>
      <c r="J107" s="9">
        <f t="shared" si="1"/>
        <v>1332875.7987845563</v>
      </c>
      <c r="K107" s="51"/>
    </row>
    <row r="108" spans="1:11" ht="12.75">
      <c r="A108" s="3">
        <v>40817</v>
      </c>
      <c r="C108" s="18">
        <f t="shared" si="2"/>
        <v>355.0874999999999</v>
      </c>
      <c r="D108" s="18">
        <f t="shared" si="2"/>
        <v>0.9125</v>
      </c>
      <c r="E108" s="79">
        <v>31</v>
      </c>
      <c r="F108" s="47">
        <v>27</v>
      </c>
      <c r="G108" s="72">
        <v>140.62</v>
      </c>
      <c r="H108" s="71">
        <v>1</v>
      </c>
      <c r="I108" s="71">
        <v>320</v>
      </c>
      <c r="J108" s="9">
        <f t="shared" si="1"/>
        <v>1429122.610263368</v>
      </c>
      <c r="K108" s="51"/>
    </row>
    <row r="109" spans="1:11" ht="12.75">
      <c r="A109" s="3">
        <v>40848</v>
      </c>
      <c r="C109" s="18">
        <f t="shared" si="2"/>
        <v>535.4375</v>
      </c>
      <c r="D109" s="18">
        <f t="shared" si="2"/>
        <v>0</v>
      </c>
      <c r="E109" s="79">
        <v>30</v>
      </c>
      <c r="F109" s="47">
        <v>27</v>
      </c>
      <c r="G109" s="72">
        <v>140.88</v>
      </c>
      <c r="H109" s="71">
        <v>1</v>
      </c>
      <c r="I109" s="71">
        <v>352</v>
      </c>
      <c r="J109" s="9">
        <f t="shared" si="1"/>
        <v>1460550.3873654865</v>
      </c>
      <c r="K109" s="51"/>
    </row>
    <row r="110" spans="1:11" ht="12.75">
      <c r="A110" s="3">
        <v>40878</v>
      </c>
      <c r="C110" s="18">
        <f t="shared" si="2"/>
        <v>814.0124999999999</v>
      </c>
      <c r="D110" s="18">
        <f t="shared" si="2"/>
        <v>0</v>
      </c>
      <c r="E110" s="79">
        <v>31</v>
      </c>
      <c r="F110" s="47">
        <v>27</v>
      </c>
      <c r="G110" s="72">
        <v>141.13</v>
      </c>
      <c r="H110" s="71">
        <v>0</v>
      </c>
      <c r="I110" s="71">
        <v>336</v>
      </c>
      <c r="J110" s="9">
        <f t="shared" si="1"/>
        <v>1600834.2155726044</v>
      </c>
      <c r="K110" s="51"/>
    </row>
    <row r="111" spans="1:11" ht="12.75">
      <c r="A111" s="3">
        <v>40909</v>
      </c>
      <c r="C111" s="18">
        <f>C99</f>
        <v>947.425</v>
      </c>
      <c r="D111" s="18">
        <f>D99</f>
        <v>0</v>
      </c>
      <c r="E111" s="79">
        <v>31</v>
      </c>
      <c r="F111" s="47">
        <v>27</v>
      </c>
      <c r="G111" s="72">
        <v>141.42</v>
      </c>
      <c r="H111" s="71">
        <v>0</v>
      </c>
      <c r="I111" s="71">
        <v>336</v>
      </c>
      <c r="J111" s="9">
        <f t="shared" si="1"/>
        <v>1651444.2594917302</v>
      </c>
      <c r="K111" s="51"/>
    </row>
    <row r="112" spans="1:11" ht="12.75">
      <c r="A112" s="3">
        <v>40940</v>
      </c>
      <c r="C112" s="18">
        <f aca="true" t="shared" si="3" ref="C112:D122">C100</f>
        <v>822.6125</v>
      </c>
      <c r="D112" s="18">
        <f t="shared" si="3"/>
        <v>0</v>
      </c>
      <c r="E112" s="79">
        <v>29</v>
      </c>
      <c r="F112" s="47">
        <v>27</v>
      </c>
      <c r="G112" s="72">
        <v>141.72</v>
      </c>
      <c r="H112" s="71">
        <v>0</v>
      </c>
      <c r="I112" s="71">
        <v>320</v>
      </c>
      <c r="J112" s="9">
        <f t="shared" si="1"/>
        <v>1534883.8727327758</v>
      </c>
      <c r="K112" s="51"/>
    </row>
    <row r="113" spans="1:11" ht="12.75">
      <c r="A113" s="3">
        <v>40969</v>
      </c>
      <c r="C113" s="18">
        <f t="shared" si="3"/>
        <v>682.4625</v>
      </c>
      <c r="D113" s="18">
        <f t="shared" si="3"/>
        <v>0</v>
      </c>
      <c r="E113" s="79">
        <v>31</v>
      </c>
      <c r="F113" s="47">
        <v>27</v>
      </c>
      <c r="G113" s="72">
        <v>142.01</v>
      </c>
      <c r="H113" s="71">
        <v>1</v>
      </c>
      <c r="I113" s="71">
        <v>352</v>
      </c>
      <c r="J113" s="9">
        <f t="shared" si="1"/>
        <v>1550930.71119662</v>
      </c>
      <c r="K113" s="51"/>
    </row>
    <row r="114" spans="1:11" ht="12.75">
      <c r="A114" s="3">
        <v>41000</v>
      </c>
      <c r="C114" s="18">
        <f t="shared" si="3"/>
        <v>409.65</v>
      </c>
      <c r="D114" s="18">
        <f t="shared" si="3"/>
        <v>0</v>
      </c>
      <c r="E114" s="79">
        <v>30</v>
      </c>
      <c r="F114" s="47">
        <v>27</v>
      </c>
      <c r="G114" s="72">
        <v>142.3</v>
      </c>
      <c r="H114" s="71">
        <v>1</v>
      </c>
      <c r="I114" s="71">
        <v>320</v>
      </c>
      <c r="J114" s="9">
        <f t="shared" si="1"/>
        <v>1412832.8878847254</v>
      </c>
      <c r="K114" s="51"/>
    </row>
    <row r="115" spans="1:11" ht="12.75">
      <c r="A115" s="3">
        <v>41030</v>
      </c>
      <c r="C115" s="18">
        <f t="shared" si="3"/>
        <v>215.1625</v>
      </c>
      <c r="D115" s="18">
        <f t="shared" si="3"/>
        <v>7.8125</v>
      </c>
      <c r="E115" s="79">
        <v>31</v>
      </c>
      <c r="F115" s="47">
        <v>27</v>
      </c>
      <c r="G115" s="72">
        <v>142.589</v>
      </c>
      <c r="H115" s="71">
        <v>1</v>
      </c>
      <c r="I115" s="71">
        <v>352</v>
      </c>
      <c r="J115" s="9">
        <f t="shared" si="1"/>
        <v>1394051.1235245168</v>
      </c>
      <c r="K115" s="51"/>
    </row>
    <row r="116" spans="1:11" ht="12.75">
      <c r="A116" s="3">
        <v>41061</v>
      </c>
      <c r="C116" s="18">
        <f t="shared" si="3"/>
        <v>65.9625</v>
      </c>
      <c r="D116" s="18">
        <f t="shared" si="3"/>
        <v>23.649999999999995</v>
      </c>
      <c r="E116" s="79">
        <v>30</v>
      </c>
      <c r="F116" s="47">
        <v>27</v>
      </c>
      <c r="G116" s="72">
        <v>142.89</v>
      </c>
      <c r="H116" s="71">
        <v>0</v>
      </c>
      <c r="I116" s="71">
        <v>336</v>
      </c>
      <c r="J116" s="9">
        <f t="shared" si="1"/>
        <v>1344181.7595748233</v>
      </c>
      <c r="K116" s="51"/>
    </row>
    <row r="117" spans="1:11" ht="12.75">
      <c r="A117" s="3">
        <v>41091</v>
      </c>
      <c r="C117" s="18">
        <f t="shared" si="3"/>
        <v>21.6875</v>
      </c>
      <c r="D117" s="18">
        <f t="shared" si="3"/>
        <v>55.9625</v>
      </c>
      <c r="E117" s="79">
        <v>31</v>
      </c>
      <c r="F117" s="47">
        <v>28</v>
      </c>
      <c r="G117" s="72">
        <v>143.18</v>
      </c>
      <c r="H117" s="71">
        <v>0</v>
      </c>
      <c r="I117" s="71">
        <v>336</v>
      </c>
      <c r="J117" s="9">
        <f t="shared" si="1"/>
        <v>1467351.1811231715</v>
      </c>
      <c r="K117" s="51"/>
    </row>
    <row r="118" spans="1:11" ht="12.75">
      <c r="A118" s="3">
        <v>41122</v>
      </c>
      <c r="C118" s="18">
        <f t="shared" si="3"/>
        <v>41.125</v>
      </c>
      <c r="D118" s="18">
        <f t="shared" si="3"/>
        <v>42.06249999999999</v>
      </c>
      <c r="E118" s="79">
        <v>31</v>
      </c>
      <c r="F118" s="47">
        <v>28</v>
      </c>
      <c r="G118" s="72">
        <v>143.48</v>
      </c>
      <c r="H118" s="71">
        <v>0</v>
      </c>
      <c r="I118" s="71">
        <v>352</v>
      </c>
      <c r="J118" s="9">
        <f t="shared" si="1"/>
        <v>1438445.64813474</v>
      </c>
      <c r="K118" s="51"/>
    </row>
    <row r="119" spans="1:11" ht="12.75">
      <c r="A119" s="3">
        <v>41153</v>
      </c>
      <c r="C119" s="18">
        <f t="shared" si="3"/>
        <v>131.45</v>
      </c>
      <c r="D119" s="18">
        <f t="shared" si="3"/>
        <v>9.8</v>
      </c>
      <c r="E119" s="79">
        <v>30</v>
      </c>
      <c r="F119" s="47">
        <v>28</v>
      </c>
      <c r="G119" s="72">
        <v>143.77</v>
      </c>
      <c r="H119" s="71">
        <v>1</v>
      </c>
      <c r="I119" s="71">
        <v>304</v>
      </c>
      <c r="J119" s="9">
        <f t="shared" si="1"/>
        <v>1353898.5942198578</v>
      </c>
      <c r="K119" s="51"/>
    </row>
    <row r="120" spans="1:11" ht="12.75">
      <c r="A120" s="3">
        <v>41183</v>
      </c>
      <c r="C120" s="18">
        <f t="shared" si="3"/>
        <v>355.0874999999999</v>
      </c>
      <c r="D120" s="18">
        <f t="shared" si="3"/>
        <v>0.9125</v>
      </c>
      <c r="E120" s="79">
        <v>31</v>
      </c>
      <c r="F120" s="47">
        <v>28</v>
      </c>
      <c r="G120" s="72">
        <v>144.07</v>
      </c>
      <c r="H120" s="71">
        <v>1</v>
      </c>
      <c r="I120" s="71">
        <v>352</v>
      </c>
      <c r="J120" s="9">
        <f t="shared" si="1"/>
        <v>1450145.4056986694</v>
      </c>
      <c r="K120" s="51"/>
    </row>
    <row r="121" spans="1:11" ht="12.75">
      <c r="A121" s="3">
        <v>41214</v>
      </c>
      <c r="C121" s="18">
        <f t="shared" si="3"/>
        <v>535.4375</v>
      </c>
      <c r="D121" s="18">
        <f t="shared" si="3"/>
        <v>0</v>
      </c>
      <c r="E121" s="79">
        <v>30</v>
      </c>
      <c r="F121" s="47">
        <v>28</v>
      </c>
      <c r="G121" s="72">
        <v>144.37</v>
      </c>
      <c r="H121" s="71">
        <v>1</v>
      </c>
      <c r="I121" s="71">
        <v>352</v>
      </c>
      <c r="J121" s="9">
        <f t="shared" si="1"/>
        <v>1481573.182800788</v>
      </c>
      <c r="K121" s="51"/>
    </row>
    <row r="122" spans="1:11" ht="12.75">
      <c r="A122" s="3">
        <v>41244</v>
      </c>
      <c r="C122" s="18">
        <f t="shared" si="3"/>
        <v>814.0124999999999</v>
      </c>
      <c r="D122" s="18">
        <f t="shared" si="3"/>
        <v>0</v>
      </c>
      <c r="E122" s="79">
        <v>31</v>
      </c>
      <c r="F122" s="47">
        <v>28</v>
      </c>
      <c r="G122" s="72">
        <v>144.66</v>
      </c>
      <c r="H122" s="71">
        <v>0</v>
      </c>
      <c r="I122" s="71">
        <v>304</v>
      </c>
      <c r="J122" s="9">
        <f t="shared" si="1"/>
        <v>1621857.0110079055</v>
      </c>
      <c r="K122" s="51"/>
    </row>
    <row r="123" spans="1:27" ht="12.75">
      <c r="A123" s="3"/>
      <c r="Y123" s="10"/>
      <c r="Z123" s="10"/>
      <c r="AA123" s="10"/>
    </row>
    <row r="124" spans="1:10" ht="12.75">
      <c r="A124" s="3"/>
      <c r="C124" s="19"/>
      <c r="D124" s="1" t="s">
        <v>15</v>
      </c>
      <c r="J124" s="51">
        <f>SUM(J3:J110)</f>
        <v>138969501.51140743</v>
      </c>
    </row>
    <row r="125" ht="12.75">
      <c r="A125" s="3"/>
    </row>
    <row r="126" spans="1:12" ht="12.75">
      <c r="A126" s="16">
        <v>2003</v>
      </c>
      <c r="B126" s="6">
        <f>SUM(B3:B14)</f>
        <v>15332335.29770765</v>
      </c>
      <c r="J126" s="6">
        <f>SUM(J3:J14)</f>
        <v>14986069.330453767</v>
      </c>
      <c r="K126" s="37">
        <f aca="true" t="shared" si="4" ref="K126:K133">J126-B126</f>
        <v>-346265.9672538843</v>
      </c>
      <c r="L126" s="5">
        <f aca="true" t="shared" si="5" ref="L126:L133">K126/B126</f>
        <v>-0.022584033060225</v>
      </c>
    </row>
    <row r="127" spans="1:12" ht="12.75">
      <c r="A127">
        <v>2004</v>
      </c>
      <c r="B127" s="6">
        <f>SUM(B15:B26)</f>
        <v>14691326.028769534</v>
      </c>
      <c r="J127" s="6">
        <f>SUM(J15:J26)</f>
        <v>14767569.515912369</v>
      </c>
      <c r="K127" s="37">
        <f t="shared" si="4"/>
        <v>76243.48714283481</v>
      </c>
      <c r="L127" s="5">
        <f t="shared" si="5"/>
        <v>0.0051896940407918065</v>
      </c>
    </row>
    <row r="128" spans="1:27" ht="12.75">
      <c r="A128" s="16">
        <v>2005</v>
      </c>
      <c r="B128" s="6">
        <f>SUM(B27:B38)</f>
        <v>14823250.40876668</v>
      </c>
      <c r="J128" s="6">
        <f>SUM(J27:J38)</f>
        <v>14821138.035914926</v>
      </c>
      <c r="K128" s="37">
        <f t="shared" si="4"/>
        <v>-2112.3728517536074</v>
      </c>
      <c r="L128" s="5">
        <f t="shared" si="5"/>
        <v>-0.00014250402533200952</v>
      </c>
      <c r="Y128" s="10"/>
      <c r="Z128" s="10"/>
      <c r="AA128" s="10"/>
    </row>
    <row r="129" spans="1:12" ht="12.75">
      <c r="A129">
        <v>2006</v>
      </c>
      <c r="B129" s="6">
        <f>SUM(B39:B50)</f>
        <v>14303204.64356674</v>
      </c>
      <c r="J129" s="6">
        <f>SUM(J39:J50)</f>
        <v>14711235.67892662</v>
      </c>
      <c r="K129" s="37">
        <f t="shared" si="4"/>
        <v>408031.03535987996</v>
      </c>
      <c r="L129" s="5">
        <f t="shared" si="5"/>
        <v>0.028527245853495014</v>
      </c>
    </row>
    <row r="130" spans="1:12" ht="12.75">
      <c r="A130" s="16">
        <v>2007</v>
      </c>
      <c r="B130" s="6">
        <f>SUM(B51:B62)</f>
        <v>14901933.486027973</v>
      </c>
      <c r="J130" s="6">
        <f>SUM(J51:J62)</f>
        <v>14872601.095866475</v>
      </c>
      <c r="K130" s="37">
        <f t="shared" si="4"/>
        <v>-29332.39016149752</v>
      </c>
      <c r="L130" s="5">
        <f t="shared" si="5"/>
        <v>-0.0019683613665971277</v>
      </c>
    </row>
    <row r="131" spans="1:12" ht="12.75">
      <c r="A131">
        <v>2008</v>
      </c>
      <c r="B131" s="6">
        <f>SUM(B63:B74)</f>
        <v>14709329.704611724</v>
      </c>
      <c r="J131" s="6">
        <f>SUM(J63:J74)</f>
        <v>14723993.27264382</v>
      </c>
      <c r="K131" s="37">
        <f t="shared" si="4"/>
        <v>14663.568032095209</v>
      </c>
      <c r="L131" s="5">
        <f t="shared" si="5"/>
        <v>0.000996888935564333</v>
      </c>
    </row>
    <row r="132" spans="1:12" ht="12.75">
      <c r="A132" s="16">
        <v>2009</v>
      </c>
      <c r="B132" s="6">
        <f>SUM(B75:B86)</f>
        <v>15633031.36740332</v>
      </c>
      <c r="J132" s="6">
        <f>SUM(J75:J86)</f>
        <v>15584317.929535033</v>
      </c>
      <c r="K132" s="37">
        <f t="shared" si="4"/>
        <v>-48713.437868285924</v>
      </c>
      <c r="L132" s="5">
        <f t="shared" si="5"/>
        <v>-0.0031160583461668913</v>
      </c>
    </row>
    <row r="133" spans="1:12" ht="12.75">
      <c r="A133">
        <v>2010</v>
      </c>
      <c r="B133" s="6">
        <f>SUM(B87:B98)</f>
        <v>17160374.859195173</v>
      </c>
      <c r="J133" s="6">
        <f>SUM(J87:J98)</f>
        <v>17087860.936795805</v>
      </c>
      <c r="K133" s="37">
        <f t="shared" si="4"/>
        <v>-72513.92239936814</v>
      </c>
      <c r="L133" s="5">
        <f t="shared" si="5"/>
        <v>-0.004225660744264712</v>
      </c>
    </row>
    <row r="134" spans="1:12" ht="12.75">
      <c r="A134" s="16">
        <v>2011</v>
      </c>
      <c r="J134" s="6">
        <f>SUM(J99:J110)</f>
        <v>17414715.7153586</v>
      </c>
      <c r="K134" s="37"/>
      <c r="L134" s="5"/>
    </row>
    <row r="135" spans="1:10" ht="12.75">
      <c r="A135" s="16">
        <v>2012</v>
      </c>
      <c r="J135" s="94">
        <f>SUM(J111:J122)</f>
        <v>17701595.637390323</v>
      </c>
    </row>
    <row r="136" ht="12.75">
      <c r="J136" s="6"/>
    </row>
    <row r="137" spans="1:11" ht="12.75">
      <c r="A137" t="s">
        <v>81</v>
      </c>
      <c r="B137" s="6">
        <f>SUM(B126:B133)</f>
        <v>121554785.79604879</v>
      </c>
      <c r="J137" s="6">
        <f>SUM(J126:J133)</f>
        <v>121554785.7960488</v>
      </c>
      <c r="K137" s="6">
        <f>J137-B137</f>
        <v>0</v>
      </c>
    </row>
    <row r="138" spans="10:11" ht="12.75">
      <c r="J138" s="6"/>
      <c r="K138" s="6"/>
    </row>
    <row r="139" spans="10:11" ht="12.75">
      <c r="J139" s="6">
        <f>SUM(J126:J134)</f>
        <v>138969501.5114074</v>
      </c>
      <c r="K139" s="51">
        <f>J124-J139</f>
        <v>0</v>
      </c>
    </row>
    <row r="140" spans="10:12" ht="12.75">
      <c r="J140" s="19"/>
      <c r="K140" s="19" t="s">
        <v>68</v>
      </c>
      <c r="L140" s="19"/>
    </row>
    <row r="142" spans="9:11" ht="12.75">
      <c r="I142" s="35"/>
      <c r="J142" s="75" t="s">
        <v>88</v>
      </c>
      <c r="K142" s="76">
        <f>'Rate Class Energy Model'!J69</f>
        <v>155110.27545039073</v>
      </c>
    </row>
    <row r="143" ht="12.75">
      <c r="I143" s="35"/>
    </row>
    <row r="144" spans="9:11" ht="12.75">
      <c r="I144" s="35"/>
      <c r="K144" s="94">
        <f>J135</f>
        <v>17701595.637390323</v>
      </c>
    </row>
    <row r="145" spans="9:11" ht="12.75">
      <c r="I145" s="35"/>
      <c r="K145" s="93">
        <f>-K142</f>
        <v>-155110.27545039073</v>
      </c>
    </row>
    <row r="146" spans="9:11" ht="12.75">
      <c r="I146" s="35"/>
      <c r="K146" s="6">
        <f>SUM(K144:K145)</f>
        <v>17546485.361939933</v>
      </c>
    </row>
    <row r="152" spans="25:27" ht="12.75">
      <c r="Y152" s="10"/>
      <c r="Z152" s="10"/>
      <c r="AA152" s="10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T69"/>
  <sheetViews>
    <sheetView zoomScalePageLayoutView="0" workbookViewId="0" topLeftCell="A1">
      <pane xSplit="1" ySplit="2" topLeftCell="E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6" sqref="H66:J67"/>
    </sheetView>
  </sheetViews>
  <sheetFormatPr defaultColWidth="9.140625" defaultRowHeight="12.75"/>
  <cols>
    <col min="1" max="1" width="24.7109375" style="0" customWidth="1"/>
    <col min="2" max="5" width="18.00390625" style="1" customWidth="1"/>
    <col min="6" max="6" width="15.7109375" style="1" customWidth="1"/>
    <col min="7" max="7" width="15.7109375" style="6" customWidth="1"/>
    <col min="8" max="8" width="15.00390625" style="6" customWidth="1"/>
    <col min="9" max="10" width="14.140625" style="6" bestFit="1" customWidth="1"/>
    <col min="11" max="12" width="14.140625" style="6" customWidth="1"/>
    <col min="13" max="13" width="14.7109375" style="6" customWidth="1"/>
    <col min="14" max="14" width="12.57421875" style="6" customWidth="1"/>
    <col min="15" max="15" width="12.7109375" style="6" bestFit="1" customWidth="1"/>
    <col min="16" max="16" width="11.140625" style="6" bestFit="1" customWidth="1"/>
    <col min="17" max="17" width="11.7109375" style="6" bestFit="1" customWidth="1"/>
    <col min="18" max="18" width="10.7109375" style="6" bestFit="1" customWidth="1"/>
    <col min="19" max="19" width="9.140625" style="6" customWidth="1"/>
    <col min="20" max="20" width="11.140625" style="6" bestFit="1" customWidth="1"/>
  </cols>
  <sheetData>
    <row r="2" spans="2:14" ht="42" customHeight="1">
      <c r="B2" s="2" t="s">
        <v>8</v>
      </c>
      <c r="C2" s="2" t="s">
        <v>9</v>
      </c>
      <c r="D2" s="2" t="s">
        <v>45</v>
      </c>
      <c r="E2" s="2" t="s">
        <v>10</v>
      </c>
      <c r="F2" s="2" t="s">
        <v>1</v>
      </c>
      <c r="G2" s="7" t="s">
        <v>2</v>
      </c>
      <c r="H2" s="48" t="s">
        <v>82</v>
      </c>
      <c r="I2" s="49" t="s">
        <v>84</v>
      </c>
      <c r="J2" s="49" t="s">
        <v>83</v>
      </c>
      <c r="K2" s="49" t="s">
        <v>85</v>
      </c>
      <c r="L2" s="49" t="s">
        <v>86</v>
      </c>
      <c r="M2" s="49" t="s">
        <v>87</v>
      </c>
      <c r="N2" s="50"/>
    </row>
    <row r="4" spans="1:2" ht="12.75">
      <c r="A4" s="19"/>
      <c r="B4" s="40" t="s">
        <v>47</v>
      </c>
    </row>
    <row r="5" spans="2:20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7" spans="2:14" ht="12.75">
      <c r="B7" s="6"/>
      <c r="C7" s="6"/>
      <c r="D7" s="37"/>
      <c r="E7" s="5"/>
      <c r="F7" s="25"/>
      <c r="G7" s="28"/>
      <c r="H7" s="28"/>
      <c r="I7" s="28"/>
      <c r="J7" s="28"/>
      <c r="K7" s="28"/>
      <c r="L7" s="28"/>
      <c r="M7" s="28"/>
      <c r="N7" s="28"/>
    </row>
    <row r="8" spans="1:14" ht="12.75">
      <c r="A8">
        <f>'Purchased Power Model '!A126</f>
        <v>2003</v>
      </c>
      <c r="B8" s="6">
        <f>'Purchased Power Model '!B126</f>
        <v>67436643</v>
      </c>
      <c r="C8" s="6">
        <f>'Purchased Power Model '!J126</f>
        <v>68160460.49423367</v>
      </c>
      <c r="D8" s="37">
        <f aca="true" t="shared" si="0" ref="D8:D14">C8-B8</f>
        <v>723817.4942336679</v>
      </c>
      <c r="E8" s="5">
        <f aca="true" t="shared" si="1" ref="E8:E14">D8/B8</f>
        <v>0.01073329664754617</v>
      </c>
      <c r="F8" s="56">
        <f aca="true" t="shared" si="2" ref="F8:F15">1+(B8-G8)/G8</f>
        <v>1.052888319944223</v>
      </c>
      <c r="G8" s="60">
        <f aca="true" t="shared" si="3" ref="G8:G15">SUM(H8:M8)</f>
        <v>64049189</v>
      </c>
      <c r="H8" s="39">
        <v>33607610</v>
      </c>
      <c r="I8" s="39">
        <v>14387032</v>
      </c>
      <c r="J8" s="39">
        <v>15332335</v>
      </c>
      <c r="K8" s="39">
        <v>100217</v>
      </c>
      <c r="L8" s="39">
        <v>27732</v>
      </c>
      <c r="M8" s="39">
        <v>594263</v>
      </c>
      <c r="N8" s="39">
        <f>SUM(H8:M8)</f>
        <v>64049189</v>
      </c>
    </row>
    <row r="9" spans="1:14" ht="12.75">
      <c r="A9">
        <f>'Purchased Power Model '!A127</f>
        <v>2004</v>
      </c>
      <c r="B9" s="6">
        <f>'Purchased Power Model '!B127</f>
        <v>67783060</v>
      </c>
      <c r="C9" s="6">
        <f>'Purchased Power Model '!J127</f>
        <v>67739263.45369074</v>
      </c>
      <c r="D9" s="37">
        <f t="shared" si="0"/>
        <v>-43796.546309262514</v>
      </c>
      <c r="E9" s="5">
        <f t="shared" si="1"/>
        <v>-0.0006461281964736103</v>
      </c>
      <c r="F9" s="56">
        <f t="shared" si="2"/>
        <v>1.0637605250138398</v>
      </c>
      <c r="G9" s="60">
        <f t="shared" si="3"/>
        <v>63720225</v>
      </c>
      <c r="H9" s="39">
        <v>33524674</v>
      </c>
      <c r="I9" s="39">
        <v>14762408</v>
      </c>
      <c r="J9" s="39">
        <v>14691326</v>
      </c>
      <c r="K9" s="39">
        <v>101860</v>
      </c>
      <c r="L9" s="39">
        <v>27408</v>
      </c>
      <c r="M9" s="39">
        <v>612549</v>
      </c>
      <c r="N9" s="39">
        <f aca="true" t="shared" si="4" ref="N9:N15">SUM(H9:M9)</f>
        <v>63720225</v>
      </c>
    </row>
    <row r="10" spans="1:14" ht="12.75">
      <c r="A10">
        <f>'Purchased Power Model '!A128</f>
        <v>2005</v>
      </c>
      <c r="B10" s="6">
        <f>'Purchased Power Model '!B128</f>
        <v>67841271</v>
      </c>
      <c r="C10" s="6">
        <f>'Purchased Power Model '!J128</f>
        <v>66921111.36276141</v>
      </c>
      <c r="D10" s="37">
        <f t="shared" si="0"/>
        <v>-920159.6372385919</v>
      </c>
      <c r="E10" s="5">
        <f t="shared" si="1"/>
        <v>-0.013563419783786066</v>
      </c>
      <c r="F10" s="56">
        <f t="shared" si="2"/>
        <v>1.0664751836707347</v>
      </c>
      <c r="G10" s="60">
        <f t="shared" si="3"/>
        <v>63612611</v>
      </c>
      <c r="H10" s="39">
        <v>33109767</v>
      </c>
      <c r="I10" s="39">
        <v>14951432</v>
      </c>
      <c r="J10" s="39">
        <v>14823250</v>
      </c>
      <c r="K10" s="39">
        <v>87440</v>
      </c>
      <c r="L10" s="39">
        <v>27408</v>
      </c>
      <c r="M10" s="39">
        <v>613314</v>
      </c>
      <c r="N10" s="39">
        <f t="shared" si="4"/>
        <v>63612611</v>
      </c>
    </row>
    <row r="11" spans="1:14" ht="12.75">
      <c r="A11">
        <f>'Purchased Power Model '!A129</f>
        <v>2006</v>
      </c>
      <c r="B11" s="6">
        <f>'Purchased Power Model '!B129</f>
        <v>66220789</v>
      </c>
      <c r="C11" s="6">
        <f>'Purchased Power Model '!J129</f>
        <v>65717231.05071306</v>
      </c>
      <c r="D11" s="37">
        <f t="shared" si="0"/>
        <v>-503557.9492869377</v>
      </c>
      <c r="E11" s="5">
        <f t="shared" si="1"/>
        <v>-0.00760422756797624</v>
      </c>
      <c r="F11" s="56">
        <f t="shared" si="2"/>
        <v>1.0801354912863204</v>
      </c>
      <c r="G11" s="60">
        <f t="shared" si="3"/>
        <v>61307854</v>
      </c>
      <c r="H11" s="39">
        <v>31914206</v>
      </c>
      <c r="I11" s="39">
        <v>14354281</v>
      </c>
      <c r="J11" s="39">
        <v>14303205</v>
      </c>
      <c r="K11" s="39">
        <v>125709</v>
      </c>
      <c r="L11" s="39">
        <v>27308</v>
      </c>
      <c r="M11" s="39">
        <v>583145</v>
      </c>
      <c r="N11" s="39">
        <f t="shared" si="4"/>
        <v>61307854</v>
      </c>
    </row>
    <row r="12" spans="1:14" ht="12.75">
      <c r="A12">
        <f>'Purchased Power Model '!A130</f>
        <v>2007</v>
      </c>
      <c r="B12" s="6">
        <f>'Purchased Power Model '!B130</f>
        <v>67715291</v>
      </c>
      <c r="C12" s="6">
        <f>'Purchased Power Model '!J130</f>
        <v>67295848.09562448</v>
      </c>
      <c r="D12" s="37">
        <f t="shared" si="0"/>
        <v>-419442.9043755233</v>
      </c>
      <c r="E12" s="5">
        <f t="shared" si="1"/>
        <v>-0.006194212535770145</v>
      </c>
      <c r="F12" s="56">
        <f t="shared" si="2"/>
        <v>1.0867963184573814</v>
      </c>
      <c r="G12" s="60">
        <f t="shared" si="3"/>
        <v>62307251</v>
      </c>
      <c r="H12" s="39">
        <v>32143845</v>
      </c>
      <c r="I12" s="39">
        <v>14488102</v>
      </c>
      <c r="J12" s="39">
        <v>14901933</v>
      </c>
      <c r="K12" s="39">
        <v>131742</v>
      </c>
      <c r="L12" s="39">
        <v>27125</v>
      </c>
      <c r="M12" s="39">
        <v>614504</v>
      </c>
      <c r="N12" s="39">
        <f t="shared" si="4"/>
        <v>62307251</v>
      </c>
    </row>
    <row r="13" spans="1:14" ht="12.75">
      <c r="A13">
        <f>'Purchased Power Model '!A131</f>
        <v>2008</v>
      </c>
      <c r="B13" s="6">
        <f>'Purchased Power Model '!B131</f>
        <v>66659322</v>
      </c>
      <c r="C13" s="6">
        <f>'Purchased Power Model '!J131</f>
        <v>67197389.42079535</v>
      </c>
      <c r="D13" s="37">
        <f t="shared" si="0"/>
        <v>538067.4207953513</v>
      </c>
      <c r="E13" s="5">
        <f t="shared" si="1"/>
        <v>0.008071900593218623</v>
      </c>
      <c r="F13" s="56">
        <f t="shared" si="2"/>
        <v>1.0583029233526235</v>
      </c>
      <c r="G13" s="60">
        <f t="shared" si="3"/>
        <v>62986996</v>
      </c>
      <c r="H13" s="39">
        <v>32829199</v>
      </c>
      <c r="I13" s="39">
        <v>14680694</v>
      </c>
      <c r="J13" s="39">
        <v>14709330</v>
      </c>
      <c r="K13" s="39">
        <v>131812</v>
      </c>
      <c r="L13" s="39">
        <v>25145</v>
      </c>
      <c r="M13" s="39">
        <v>610816</v>
      </c>
      <c r="N13" s="39">
        <f t="shared" si="4"/>
        <v>62986996</v>
      </c>
    </row>
    <row r="14" spans="1:14" ht="12.75">
      <c r="A14">
        <f>'Purchased Power Model '!A132</f>
        <v>2009</v>
      </c>
      <c r="B14" s="6">
        <f>'Purchased Power Model '!B132</f>
        <v>67883961</v>
      </c>
      <c r="C14" s="6">
        <f>'Purchased Power Model '!J132</f>
        <v>67358111.3286516</v>
      </c>
      <c r="D14" s="37">
        <f t="shared" si="0"/>
        <v>-525849.671348393</v>
      </c>
      <c r="E14" s="5">
        <f t="shared" si="1"/>
        <v>-0.0077463021250099556</v>
      </c>
      <c r="F14" s="56">
        <f t="shared" si="2"/>
        <v>1.065517447269617</v>
      </c>
      <c r="G14" s="60">
        <f t="shared" si="3"/>
        <v>63709854</v>
      </c>
      <c r="H14" s="39">
        <v>33417700</v>
      </c>
      <c r="I14" s="39">
        <v>13847590</v>
      </c>
      <c r="J14" s="39">
        <v>15633031</v>
      </c>
      <c r="K14" s="39">
        <v>170432</v>
      </c>
      <c r="L14" s="39">
        <v>25275</v>
      </c>
      <c r="M14" s="39">
        <v>615826</v>
      </c>
      <c r="N14" s="39">
        <f t="shared" si="4"/>
        <v>63709854</v>
      </c>
    </row>
    <row r="15" spans="1:14" ht="12.75">
      <c r="A15">
        <f>'Purchased Power Model '!A133</f>
        <v>2010</v>
      </c>
      <c r="B15" s="6">
        <f>'Purchased Power Model '!B133</f>
        <v>64797089</v>
      </c>
      <c r="C15" s="6">
        <f>'Purchased Power Model '!J133</f>
        <v>65948010.79352967</v>
      </c>
      <c r="D15" s="37">
        <f>C15-B15</f>
        <v>1150921.793529667</v>
      </c>
      <c r="E15" s="5">
        <f>D15/B15</f>
        <v>0.017761936705670018</v>
      </c>
      <c r="F15" s="56">
        <f t="shared" si="2"/>
        <v>1.066257081589741</v>
      </c>
      <c r="G15" s="60">
        <f t="shared" si="3"/>
        <v>60770606</v>
      </c>
      <c r="H15" s="39">
        <v>31226253</v>
      </c>
      <c r="I15" s="39">
        <v>11572990</v>
      </c>
      <c r="J15" s="39">
        <v>17160375</v>
      </c>
      <c r="K15" s="39">
        <v>170043</v>
      </c>
      <c r="L15" s="39">
        <v>25100</v>
      </c>
      <c r="M15" s="39">
        <v>615845</v>
      </c>
      <c r="N15" s="39">
        <f t="shared" si="4"/>
        <v>60770606</v>
      </c>
    </row>
    <row r="16" spans="1:7" ht="12.75">
      <c r="A16">
        <f>'Purchased Power Model '!A134</f>
        <v>2011</v>
      </c>
      <c r="B16" s="6"/>
      <c r="C16" s="6">
        <f>'Purchased Power Model '!J134</f>
        <v>67042178.25</v>
      </c>
      <c r="G16" s="22">
        <f>C16/$F$19</f>
        <v>62801997.08256467</v>
      </c>
    </row>
    <row r="17" spans="1:7" ht="12.75">
      <c r="A17">
        <f>'Purchased Power Model '!A135</f>
        <v>2012</v>
      </c>
      <c r="B17" s="6"/>
      <c r="C17" s="6">
        <f>'Purchased Power Model '!J135</f>
        <v>67042178.25</v>
      </c>
      <c r="G17" s="22">
        <f>C17/$F$19</f>
        <v>62801997.08256467</v>
      </c>
    </row>
    <row r="19" spans="1:6" ht="12.75">
      <c r="A19" s="20" t="s">
        <v>16</v>
      </c>
      <c r="F19" s="55">
        <f>(F8+F9+F10+F11+F12+F13+F14+F15)/8</f>
        <v>1.0675166613230602</v>
      </c>
    </row>
    <row r="20" spans="5:8" ht="12.75">
      <c r="E20" s="85"/>
      <c r="F20" s="85"/>
      <c r="G20" s="86"/>
      <c r="H20" s="86"/>
    </row>
    <row r="22" spans="1:2" ht="12.75">
      <c r="A22" s="23" t="s">
        <v>18</v>
      </c>
      <c r="B22" s="12"/>
    </row>
    <row r="24" spans="4:14" ht="12.75">
      <c r="D24" s="6"/>
      <c r="H24" s="28"/>
      <c r="I24" s="28"/>
      <c r="J24" s="28"/>
      <c r="K24" s="28"/>
      <c r="L24" s="28"/>
      <c r="M24" s="28"/>
      <c r="N24" s="28"/>
    </row>
    <row r="25" spans="1:14" ht="12.75">
      <c r="A25">
        <f aca="true" t="shared" si="5" ref="A25:A34">A8</f>
        <v>2003</v>
      </c>
      <c r="H25" s="28">
        <f>H8/'Rate Class Customer Model'!B3</f>
        <v>11742.700908455625</v>
      </c>
      <c r="I25" s="28">
        <f>I8/'Rate Class Customer Model'!C3</f>
        <v>33931.67924528302</v>
      </c>
      <c r="J25" s="28">
        <f>J8/'Rate Class Customer Model'!D3</f>
        <v>901902.0588235294</v>
      </c>
      <c r="K25" s="28">
        <f>K8/'Rate Class Customer Model'!E3</f>
        <v>14316.714285714286</v>
      </c>
      <c r="L25" s="28">
        <f>L8/'Rate Class Customer Model'!F3</f>
        <v>1027.111111111111</v>
      </c>
      <c r="M25" s="28">
        <f>M8/'Rate Class Customer Model'!G3</f>
        <v>584.9045275590552</v>
      </c>
      <c r="N25" s="28"/>
    </row>
    <row r="26" spans="1:14" ht="12.75">
      <c r="A26">
        <f t="shared" si="5"/>
        <v>2004</v>
      </c>
      <c r="H26" s="28">
        <f>H9/'Rate Class Customer Model'!B4</f>
        <v>11771.304073033707</v>
      </c>
      <c r="I26" s="28">
        <f>I9/'Rate Class Customer Model'!C4</f>
        <v>34572.38407494145</v>
      </c>
      <c r="J26" s="28">
        <f>J9/'Rate Class Customer Model'!D4</f>
        <v>918207.875</v>
      </c>
      <c r="K26" s="28">
        <f>K9/'Rate Class Customer Model'!E4</f>
        <v>14551.42857142857</v>
      </c>
      <c r="L26" s="28">
        <f>L9/'Rate Class Customer Model'!F4</f>
        <v>1015.1111111111111</v>
      </c>
      <c r="M26" s="28">
        <f>M9/'Rate Class Customer Model'!G4</f>
        <v>602.9025590551181</v>
      </c>
      <c r="N26" s="28"/>
    </row>
    <row r="27" spans="1:14" ht="12.75">
      <c r="A27">
        <f t="shared" si="5"/>
        <v>2005</v>
      </c>
      <c r="H27" s="28">
        <f>H10/'Rate Class Customer Model'!B5</f>
        <v>11625.620435393259</v>
      </c>
      <c r="I27" s="28">
        <f>I10/'Rate Class Customer Model'!C5</f>
        <v>33903.47392290249</v>
      </c>
      <c r="J27" s="28">
        <f>J10/'Rate Class Customer Model'!D5</f>
        <v>926453.125</v>
      </c>
      <c r="K27" s="28">
        <f>K10/'Rate Class Customer Model'!E5</f>
        <v>12491.42857142857</v>
      </c>
      <c r="L27" s="28">
        <f>L10/'Rate Class Customer Model'!F5</f>
        <v>1015.1111111111111</v>
      </c>
      <c r="M27" s="28">
        <f>M10/'Rate Class Customer Model'!G5</f>
        <v>603.6555118110236</v>
      </c>
      <c r="N27" s="28"/>
    </row>
    <row r="28" spans="1:14" ht="12.75">
      <c r="A28">
        <f t="shared" si="5"/>
        <v>2006</v>
      </c>
      <c r="H28" s="28">
        <f>H11/'Rate Class Customer Model'!B6</f>
        <v>11237.39647887324</v>
      </c>
      <c r="I28" s="28">
        <f>I11/'Rate Class Customer Model'!C6</f>
        <v>32402.44018058691</v>
      </c>
      <c r="J28" s="28">
        <f>J11/'Rate Class Customer Model'!D6</f>
        <v>893950.3125</v>
      </c>
      <c r="K28" s="28">
        <f>K11/'Rate Class Customer Model'!E6</f>
        <v>11428.09090909091</v>
      </c>
      <c r="L28" s="28">
        <f>L11/'Rate Class Customer Model'!F6</f>
        <v>1011.4074074074074</v>
      </c>
      <c r="M28" s="28">
        <f>M11/'Rate Class Customer Model'!G6</f>
        <v>573.9616141732283</v>
      </c>
      <c r="N28" s="28"/>
    </row>
    <row r="29" spans="1:14" ht="12.75">
      <c r="A29">
        <f t="shared" si="5"/>
        <v>2007</v>
      </c>
      <c r="H29" s="28">
        <f>H12/'Rate Class Customer Model'!B7</f>
        <v>11322.241986615005</v>
      </c>
      <c r="I29" s="28">
        <f>I12/'Rate Class Customer Model'!C7</f>
        <v>32630.86036036036</v>
      </c>
      <c r="J29" s="28">
        <f>J12/'Rate Class Customer Model'!D7</f>
        <v>931370.8125</v>
      </c>
      <c r="K29" s="28">
        <f>K12/'Rate Class Customer Model'!E7</f>
        <v>10978.5</v>
      </c>
      <c r="L29" s="28">
        <f>L12/'Rate Class Customer Model'!F7</f>
        <v>1004.6296296296297</v>
      </c>
      <c r="M29" s="28">
        <f>M12/'Rate Class Customer Model'!G7</f>
        <v>592.5785920925747</v>
      </c>
      <c r="N29" s="28"/>
    </row>
    <row r="30" spans="1:14" ht="12.75">
      <c r="A30">
        <f t="shared" si="5"/>
        <v>2008</v>
      </c>
      <c r="H30" s="28">
        <f>H13/'Rate Class Customer Model'!B8</f>
        <v>11559.577112676056</v>
      </c>
      <c r="I30" s="28">
        <f>I13/'Rate Class Customer Model'!C8</f>
        <v>32990.323595505615</v>
      </c>
      <c r="J30" s="28">
        <f>J13/'Rate Class Customer Model'!D8</f>
        <v>919333.125</v>
      </c>
      <c r="K30" s="28">
        <f>K13/'Rate Class Customer Model'!E8</f>
        <v>10984.333333333334</v>
      </c>
      <c r="L30" s="28">
        <f>L13/'Rate Class Customer Model'!F8</f>
        <v>1005.8</v>
      </c>
      <c r="M30" s="28">
        <f>M13/'Rate Class Customer Model'!G8</f>
        <v>587.888354186718</v>
      </c>
      <c r="N30" s="28"/>
    </row>
    <row r="31" spans="1:14" ht="12.75">
      <c r="A31">
        <f t="shared" si="5"/>
        <v>2009</v>
      </c>
      <c r="H31" s="28">
        <f>H14/'Rate Class Customer Model'!B9</f>
        <v>11692.687193841848</v>
      </c>
      <c r="I31" s="28">
        <f>I14/'Rate Class Customer Model'!C9</f>
        <v>31543.48519362187</v>
      </c>
      <c r="J31" s="28">
        <f>J14/'Rate Class Customer Model'!D9</f>
        <v>781651.55</v>
      </c>
      <c r="K31" s="28">
        <f>K14/'Rate Class Customer Model'!E9</f>
        <v>8115.809523809524</v>
      </c>
      <c r="L31" s="28">
        <f>L14/'Rate Class Customer Model'!F9</f>
        <v>972.1153846153846</v>
      </c>
      <c r="M31" s="28">
        <f>M14/'Rate Class Customer Model'!G9</f>
        <v>589.3071770334928</v>
      </c>
      <c r="N31" s="28"/>
    </row>
    <row r="32" spans="1:14" ht="12.75">
      <c r="A32">
        <f t="shared" si="5"/>
        <v>2010</v>
      </c>
      <c r="H32" s="28">
        <f>H15/'Rate Class Customer Model'!B10</f>
        <v>10956.58</v>
      </c>
      <c r="I32" s="28">
        <f>I15/'Rate Class Customer Model'!C10</f>
        <v>27230.564705882352</v>
      </c>
      <c r="J32" s="28">
        <f>J15/'Rate Class Customer Model'!D10</f>
        <v>686415</v>
      </c>
      <c r="K32" s="28">
        <f>K15/'Rate Class Customer Model'!E10</f>
        <v>8097.285714285715</v>
      </c>
      <c r="L32" s="28">
        <f>L15/'Rate Class Customer Model'!F10</f>
        <v>965.3846153846154</v>
      </c>
      <c r="M32" s="28">
        <f>M15/'Rate Class Customer Model'!G10</f>
        <v>589.3253588516747</v>
      </c>
      <c r="N32" s="28"/>
    </row>
    <row r="33" spans="1:14" ht="12.75">
      <c r="A33">
        <f>A16</f>
        <v>2011</v>
      </c>
      <c r="H33" s="22">
        <f aca="true" t="shared" si="6" ref="H33:M33">H32*H49</f>
        <v>10887.479283246852</v>
      </c>
      <c r="I33" s="22">
        <f t="shared" si="6"/>
        <v>26072.12204264307</v>
      </c>
      <c r="J33" s="22">
        <f t="shared" si="6"/>
        <v>642547.3128015456</v>
      </c>
      <c r="K33" s="22">
        <f t="shared" si="6"/>
        <v>7429.009402587872</v>
      </c>
      <c r="L33" s="22">
        <f t="shared" si="6"/>
        <v>954.2099358095388</v>
      </c>
      <c r="M33" s="22">
        <f t="shared" si="6"/>
        <v>593.2301285792802</v>
      </c>
      <c r="N33" s="22"/>
    </row>
    <row r="34" spans="1:14" ht="12.75">
      <c r="A34">
        <f t="shared" si="5"/>
        <v>2012</v>
      </c>
      <c r="H34" s="22">
        <f aca="true" t="shared" si="7" ref="H34:M34">H33*H49</f>
        <v>10818.814369367941</v>
      </c>
      <c r="I34" s="22">
        <f t="shared" si="7"/>
        <v>24962.961846312122</v>
      </c>
      <c r="J34" s="22">
        <f t="shared" si="7"/>
        <v>601483.1394833843</v>
      </c>
      <c r="K34" s="22">
        <f t="shared" si="7"/>
        <v>6815.886539160795</v>
      </c>
      <c r="L34" s="22">
        <f t="shared" si="7"/>
        <v>943.1646072326195</v>
      </c>
      <c r="M34" s="22">
        <f t="shared" si="7"/>
        <v>597.1607706478542</v>
      </c>
      <c r="N34" s="22"/>
    </row>
    <row r="36" spans="1:14" ht="12.75">
      <c r="A36" s="38">
        <v>1999</v>
      </c>
      <c r="D36" s="6"/>
      <c r="H36" s="26"/>
      <c r="I36" s="26"/>
      <c r="J36" s="26"/>
      <c r="K36" s="26"/>
      <c r="L36" s="26"/>
      <c r="M36" s="26"/>
      <c r="N36" s="26"/>
    </row>
    <row r="37" spans="1:14" ht="12.75">
      <c r="A37" s="38">
        <v>2000</v>
      </c>
      <c r="D37" s="6"/>
      <c r="H37" s="26"/>
      <c r="I37" s="26"/>
      <c r="J37" s="26"/>
      <c r="K37" s="26"/>
      <c r="L37" s="26"/>
      <c r="M37" s="26"/>
      <c r="N37" s="26"/>
    </row>
    <row r="38" spans="1:14" ht="12.75">
      <c r="A38" s="38">
        <v>2001</v>
      </c>
      <c r="D38" s="6"/>
      <c r="H38" s="26"/>
      <c r="I38" s="26"/>
      <c r="J38" s="26"/>
      <c r="K38" s="26"/>
      <c r="L38" s="26"/>
      <c r="M38" s="26"/>
      <c r="N38" s="26"/>
    </row>
    <row r="39" spans="1:14" ht="12.75">
      <c r="A39" s="38">
        <v>2002</v>
      </c>
      <c r="D39" s="6"/>
      <c r="H39" s="26"/>
      <c r="I39" s="26"/>
      <c r="J39" s="26"/>
      <c r="K39" s="26"/>
      <c r="L39" s="26"/>
      <c r="M39" s="26"/>
      <c r="N39" s="26"/>
    </row>
    <row r="40" spans="1:14" ht="12.75">
      <c r="A40" s="38">
        <v>2003</v>
      </c>
      <c r="D40" s="6"/>
      <c r="H40" s="26"/>
      <c r="I40" s="26"/>
      <c r="J40" s="26"/>
      <c r="K40" s="26"/>
      <c r="L40" s="26"/>
      <c r="M40" s="26"/>
      <c r="N40" s="26"/>
    </row>
    <row r="41" spans="1:14" ht="12.75">
      <c r="A41" s="38">
        <v>2004</v>
      </c>
      <c r="D41" s="6"/>
      <c r="H41" s="26">
        <f aca="true" t="shared" si="8" ref="H41:M43">H26/H25</f>
        <v>1.0024358250117302</v>
      </c>
      <c r="I41" s="26">
        <f t="shared" si="8"/>
        <v>1.0188822022342883</v>
      </c>
      <c r="J41" s="26">
        <f t="shared" si="8"/>
        <v>1.0180793646238488</v>
      </c>
      <c r="K41" s="26">
        <f aca="true" t="shared" si="9" ref="K41:L47">K26/K25</f>
        <v>1.0163944240997036</v>
      </c>
      <c r="L41" s="26">
        <f t="shared" si="9"/>
        <v>0.9883167459974037</v>
      </c>
      <c r="M41" s="26">
        <f t="shared" si="8"/>
        <v>1.0307708876372919</v>
      </c>
      <c r="N41" s="26"/>
    </row>
    <row r="42" spans="1:14" ht="12.75">
      <c r="A42" s="38">
        <v>2005</v>
      </c>
      <c r="D42" s="6"/>
      <c r="H42" s="26">
        <f t="shared" si="8"/>
        <v>0.9876238319274933</v>
      </c>
      <c r="I42" s="26">
        <f t="shared" si="8"/>
        <v>0.9806518939917772</v>
      </c>
      <c r="J42" s="26">
        <f t="shared" si="8"/>
        <v>1.0089797204146174</v>
      </c>
      <c r="K42" s="26">
        <f t="shared" si="9"/>
        <v>0.8584331435303357</v>
      </c>
      <c r="L42" s="26">
        <f t="shared" si="9"/>
        <v>1</v>
      </c>
      <c r="M42" s="26">
        <f t="shared" si="8"/>
        <v>1.0012488796814623</v>
      </c>
      <c r="N42" s="26"/>
    </row>
    <row r="43" spans="1:14" ht="12.75">
      <c r="A43" s="38">
        <v>2006</v>
      </c>
      <c r="D43" s="6"/>
      <c r="H43" s="26">
        <f t="shared" si="8"/>
        <v>0.9666061730917944</v>
      </c>
      <c r="I43" s="26">
        <f t="shared" si="8"/>
        <v>0.9557262554943786</v>
      </c>
      <c r="J43" s="26">
        <f t="shared" si="8"/>
        <v>0.9649169379184727</v>
      </c>
      <c r="K43" s="26">
        <f t="shared" si="9"/>
        <v>0.9148746153206355</v>
      </c>
      <c r="L43" s="26">
        <f t="shared" si="9"/>
        <v>0.9963514302393461</v>
      </c>
      <c r="M43" s="26">
        <f t="shared" si="8"/>
        <v>0.9508098624847956</v>
      </c>
      <c r="N43" s="26"/>
    </row>
    <row r="44" spans="1:14" ht="12.75">
      <c r="A44" s="38">
        <v>2007</v>
      </c>
      <c r="D44" s="6"/>
      <c r="H44" s="26">
        <f aca="true" t="shared" si="10" ref="H44:M45">H29/H28</f>
        <v>1.0075502815889141</v>
      </c>
      <c r="I44" s="26">
        <f t="shared" si="10"/>
        <v>1.0070494746229113</v>
      </c>
      <c r="J44" s="26">
        <f t="shared" si="10"/>
        <v>1.041859709065206</v>
      </c>
      <c r="K44" s="26">
        <f t="shared" si="9"/>
        <v>0.9606591413502612</v>
      </c>
      <c r="L44" s="26">
        <f t="shared" si="9"/>
        <v>0.9932986670572727</v>
      </c>
      <c r="M44" s="26">
        <f t="shared" si="10"/>
        <v>1.0324359285701772</v>
      </c>
      <c r="N44" s="26"/>
    </row>
    <row r="45" spans="1:14" ht="12.75">
      <c r="A45" s="38">
        <v>2008</v>
      </c>
      <c r="D45" s="6"/>
      <c r="H45" s="26">
        <f t="shared" si="10"/>
        <v>1.020961848929004</v>
      </c>
      <c r="I45" s="26">
        <f t="shared" si="10"/>
        <v>1.0110160514058013</v>
      </c>
      <c r="J45" s="26">
        <f t="shared" si="10"/>
        <v>0.9870753009022386</v>
      </c>
      <c r="K45" s="26">
        <f t="shared" si="9"/>
        <v>1.000531341561537</v>
      </c>
      <c r="L45" s="26">
        <f t="shared" si="9"/>
        <v>1.0011649769585254</v>
      </c>
      <c r="M45" s="26">
        <f t="shared" si="10"/>
        <v>0.9920850365361764</v>
      </c>
      <c r="N45" s="26"/>
    </row>
    <row r="46" spans="1:14" ht="12.75">
      <c r="A46" s="38">
        <v>2009</v>
      </c>
      <c r="D46" s="6"/>
      <c r="H46" s="26">
        <f aca="true" t="shared" si="11" ref="H46:M46">H31/H30</f>
        <v>1.0115151341496589</v>
      </c>
      <c r="I46" s="26">
        <f t="shared" si="11"/>
        <v>0.9561435522844991</v>
      </c>
      <c r="J46" s="26">
        <f t="shared" si="11"/>
        <v>0.8502375567072056</v>
      </c>
      <c r="K46" s="26">
        <f t="shared" si="11"/>
        <v>0.7388531718334771</v>
      </c>
      <c r="L46" s="26">
        <f t="shared" si="11"/>
        <v>0.9665096287685272</v>
      </c>
      <c r="M46" s="26">
        <f t="shared" si="11"/>
        <v>1.0024134222708625</v>
      </c>
      <c r="N46" s="26"/>
    </row>
    <row r="47" spans="1:14" ht="12.75">
      <c r="A47" s="38">
        <v>2010</v>
      </c>
      <c r="D47" s="6"/>
      <c r="H47" s="26">
        <f aca="true" t="shared" si="12" ref="H47:M47">H32/H31</f>
        <v>0.937045507021728</v>
      </c>
      <c r="I47" s="26">
        <f t="shared" si="12"/>
        <v>0.8632706417421625</v>
      </c>
      <c r="J47" s="26">
        <f t="shared" si="12"/>
        <v>0.8781598398928525</v>
      </c>
      <c r="K47" s="26">
        <f t="shared" si="9"/>
        <v>0.9977175647765678</v>
      </c>
      <c r="L47" s="26">
        <f t="shared" si="9"/>
        <v>0.993076162215628</v>
      </c>
      <c r="M47" s="26">
        <f t="shared" si="12"/>
        <v>1.0000308528707784</v>
      </c>
      <c r="N47" s="26"/>
    </row>
    <row r="48" spans="1:6" ht="12.75">
      <c r="A48" s="3"/>
      <c r="D48" s="6"/>
      <c r="E48" s="6"/>
      <c r="F48" s="6"/>
    </row>
    <row r="49" spans="1:14" ht="12.75">
      <c r="A49" t="s">
        <v>20</v>
      </c>
      <c r="D49" s="6"/>
      <c r="H49" s="26">
        <f aca="true" t="shared" si="13" ref="H49:M49">H51</f>
        <v>0.9936932220863492</v>
      </c>
      <c r="I49" s="26">
        <f t="shared" si="13"/>
        <v>0.957458000752036</v>
      </c>
      <c r="J49" s="26">
        <f t="shared" si="13"/>
        <v>0.9360915959026909</v>
      </c>
      <c r="K49" s="26">
        <f t="shared" si="13"/>
        <v>0.9174690957836859</v>
      </c>
      <c r="L49" s="26">
        <f t="shared" si="13"/>
        <v>0.9884246347031079</v>
      </c>
      <c r="M49" s="26">
        <f t="shared" si="13"/>
        <v>1.0066258301445132</v>
      </c>
      <c r="N49" s="26"/>
    </row>
    <row r="50" spans="1:14" ht="12.75">
      <c r="A50" s="3"/>
      <c r="D50" s="6"/>
      <c r="H50" s="12"/>
      <c r="I50" s="12"/>
      <c r="M50" s="10"/>
      <c r="N50" s="10"/>
    </row>
    <row r="51" spans="1:14" ht="12.75">
      <c r="A51" t="s">
        <v>17</v>
      </c>
      <c r="D51" s="6"/>
      <c r="H51" s="26">
        <f aca="true" t="shared" si="14" ref="H51:M51">GEOMEAN(H44:H47)</f>
        <v>0.9936932220863492</v>
      </c>
      <c r="I51" s="26">
        <f t="shared" si="14"/>
        <v>0.957458000752036</v>
      </c>
      <c r="J51" s="26">
        <f t="shared" si="14"/>
        <v>0.9360915959026909</v>
      </c>
      <c r="K51" s="26">
        <f t="shared" si="14"/>
        <v>0.9174690957836859</v>
      </c>
      <c r="L51" s="26">
        <f t="shared" si="14"/>
        <v>0.9884246347031079</v>
      </c>
      <c r="M51" s="26">
        <f t="shared" si="14"/>
        <v>1.0066258301445132</v>
      </c>
      <c r="N51" s="26"/>
    </row>
    <row r="52" spans="4:14" ht="12.75">
      <c r="D52" s="6"/>
      <c r="H52" s="26"/>
      <c r="I52" s="26"/>
      <c r="J52" s="26"/>
      <c r="K52" s="26"/>
      <c r="L52" s="26"/>
      <c r="M52" s="26"/>
      <c r="N52" s="26"/>
    </row>
    <row r="53" ht="12.75">
      <c r="A53" s="20" t="s">
        <v>49</v>
      </c>
    </row>
    <row r="54" spans="1:15" ht="12.75">
      <c r="A54">
        <v>2011</v>
      </c>
      <c r="G54" s="37">
        <f>SUM(H54:N54)</f>
        <v>59898369.915156454</v>
      </c>
      <c r="H54" s="37">
        <f>H33*'Rate Class Customer Model'!B11</f>
        <v>31010696.47890853</v>
      </c>
      <c r="I54" s="37">
        <f>I33*'Rate Class Customer Model'!C11</f>
        <v>11084381.473269258</v>
      </c>
      <c r="J54" s="37">
        <f>J33*'Rate Class Customer Model'!D11</f>
        <v>16973539.62238307</v>
      </c>
      <c r="K54" s="37">
        <f>K33*'Rate Class Customer Model'!E11</f>
        <v>182519.96717559267</v>
      </c>
      <c r="L54" s="37">
        <f>L33*'Rate Class Customer Model'!F11</f>
        <v>24809.45833104801</v>
      </c>
      <c r="M54" s="37">
        <f>M33*'Rate Class Customer Model'!G11</f>
        <v>622422.9150889416</v>
      </c>
      <c r="N54" s="37"/>
      <c r="O54" s="37"/>
    </row>
    <row r="55" spans="1:15" ht="12.75">
      <c r="A55">
        <v>2012</v>
      </c>
      <c r="G55" s="37">
        <f>SUM(H55:N55)</f>
        <v>58806131.765636474</v>
      </c>
      <c r="H55" s="37">
        <f>H34*'Rate Class Customer Model'!B12</f>
        <v>30796627.95619411</v>
      </c>
      <c r="I55" s="37">
        <f>I34*'Rate Class Customer Model'!C12</f>
        <v>10616401.867188578</v>
      </c>
      <c r="J55" s="37">
        <f>J34*'Rate Class Customer Model'!D12</f>
        <v>16524339.304963488</v>
      </c>
      <c r="K55" s="37">
        <f>K34*'Rate Class Customer Model'!E12</f>
        <v>215301.12331764735</v>
      </c>
      <c r="L55" s="37">
        <f>L34*'Rate Class Customer Model'!F12</f>
        <v>24390.424286424684</v>
      </c>
      <c r="M55" s="37">
        <f>M34*'Rate Class Customer Model'!G12</f>
        <v>629071.0896862291</v>
      </c>
      <c r="N55" s="37"/>
      <c r="O55" s="37"/>
    </row>
    <row r="56" spans="7:15" ht="12.75"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20" t="s">
        <v>48</v>
      </c>
      <c r="G57" s="37"/>
      <c r="H57" s="37"/>
      <c r="I57" s="37"/>
      <c r="J57" s="37"/>
      <c r="K57" s="37"/>
      <c r="L57" s="37"/>
      <c r="M57" s="37"/>
      <c r="N57" s="37"/>
      <c r="O57" s="37" t="s">
        <v>19</v>
      </c>
    </row>
    <row r="58" spans="1:15" ht="12.75">
      <c r="A58">
        <v>2011</v>
      </c>
      <c r="G58" s="61">
        <f>G16</f>
        <v>62801997.08256467</v>
      </c>
      <c r="H58" s="37">
        <f aca="true" t="shared" si="15" ref="H58:M58">H54+H66</f>
        <v>32570645.128357504</v>
      </c>
      <c r="I58" s="37">
        <f>I54+I66-1</f>
        <v>11641964.399865806</v>
      </c>
      <c r="J58" s="37">
        <f>J54+J66+1</f>
        <v>17759635.21374576</v>
      </c>
      <c r="K58" s="37">
        <f t="shared" si="15"/>
        <v>182519.96717559267</v>
      </c>
      <c r="L58" s="37">
        <f t="shared" si="15"/>
        <v>24809.45833104801</v>
      </c>
      <c r="M58" s="37">
        <f t="shared" si="15"/>
        <v>622422.9150889416</v>
      </c>
      <c r="N58" s="37"/>
      <c r="O58" s="37">
        <f>SUM(H58:N58)</f>
        <v>62801997.08256465</v>
      </c>
    </row>
    <row r="59" spans="1:15" ht="12.75">
      <c r="A59">
        <v>2012</v>
      </c>
      <c r="G59" s="61">
        <f>G17</f>
        <v>62801997.08256467</v>
      </c>
      <c r="H59" s="37">
        <f aca="true" t="shared" si="16" ref="H59:M59">H55+H67-H69</f>
        <v>32680720.615815494</v>
      </c>
      <c r="I59" s="37">
        <f>I55+I67-I69+1</f>
        <v>11265898.807393868</v>
      </c>
      <c r="J59" s="37">
        <f>J55+J67-J69+1</f>
        <v>17442771.90254066</v>
      </c>
      <c r="K59" s="37">
        <f t="shared" si="16"/>
        <v>213280.13985039626</v>
      </c>
      <c r="L59" s="37">
        <f t="shared" si="16"/>
        <v>24161.476831425207</v>
      </c>
      <c r="M59" s="37">
        <f t="shared" si="16"/>
        <v>623166.1401328271</v>
      </c>
      <c r="N59" s="37"/>
      <c r="O59" s="37">
        <f>SUM(H59:N59)-2</f>
        <v>62249997.082564674</v>
      </c>
    </row>
    <row r="60" spans="7:15" ht="12.75"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54" t="s">
        <v>50</v>
      </c>
      <c r="G61" s="37"/>
      <c r="H61" s="62">
        <f>(100%+J61)/2</f>
        <v>0.9265</v>
      </c>
      <c r="I61" s="62">
        <f>H61</f>
        <v>0.9265</v>
      </c>
      <c r="J61" s="62">
        <v>0.853</v>
      </c>
      <c r="K61" s="62"/>
      <c r="L61" s="62"/>
      <c r="M61" s="62"/>
      <c r="N61" s="62"/>
      <c r="O61" s="37" t="s">
        <v>19</v>
      </c>
    </row>
    <row r="62" spans="1:15" ht="12.75">
      <c r="A62">
        <v>2011</v>
      </c>
      <c r="G62" s="37">
        <f>G58-G54</f>
        <v>2903627.167408213</v>
      </c>
      <c r="H62" s="37">
        <f aca="true" t="shared" si="17" ref="H62:N62">H54*H61</f>
        <v>28731410.287708756</v>
      </c>
      <c r="I62" s="37">
        <f t="shared" si="17"/>
        <v>10269679.434983967</v>
      </c>
      <c r="J62" s="37">
        <f t="shared" si="17"/>
        <v>14478429.297892759</v>
      </c>
      <c r="K62" s="37">
        <f t="shared" si="17"/>
        <v>0</v>
      </c>
      <c r="L62" s="37">
        <f t="shared" si="17"/>
        <v>0</v>
      </c>
      <c r="M62" s="37">
        <f t="shared" si="17"/>
        <v>0</v>
      </c>
      <c r="N62" s="37">
        <f t="shared" si="17"/>
        <v>0</v>
      </c>
      <c r="O62" s="37">
        <f>SUM(H62:N62)</f>
        <v>53479519.02058548</v>
      </c>
    </row>
    <row r="63" spans="1:15" ht="12.75">
      <c r="A63">
        <v>2012</v>
      </c>
      <c r="G63" s="37">
        <f>G59-G55</f>
        <v>3995865.316928193</v>
      </c>
      <c r="H63" s="37">
        <f aca="true" t="shared" si="18" ref="H63:N63">H55*H61</f>
        <v>28533075.80141384</v>
      </c>
      <c r="I63" s="37">
        <f t="shared" si="18"/>
        <v>9836096.329950217</v>
      </c>
      <c r="J63" s="37">
        <f t="shared" si="18"/>
        <v>14095261.427133854</v>
      </c>
      <c r="K63" s="37">
        <f t="shared" si="18"/>
        <v>0</v>
      </c>
      <c r="L63" s="37">
        <f t="shared" si="18"/>
        <v>0</v>
      </c>
      <c r="M63" s="37">
        <f t="shared" si="18"/>
        <v>0</v>
      </c>
      <c r="N63" s="37">
        <f t="shared" si="18"/>
        <v>0</v>
      </c>
      <c r="O63" s="37">
        <f>SUM(H63:N63)</f>
        <v>52464433.55849792</v>
      </c>
    </row>
    <row r="64" spans="7:15" ht="12" customHeight="1"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t="s">
        <v>51</v>
      </c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>
        <v>2011</v>
      </c>
      <c r="G66" s="37"/>
      <c r="H66" s="37">
        <f aca="true" t="shared" si="19" ref="H66:N66">H62/$O$62*$G$62</f>
        <v>1559948.649448973</v>
      </c>
      <c r="I66" s="37">
        <f t="shared" si="19"/>
        <v>557583.9265965489</v>
      </c>
      <c r="J66" s="37">
        <f t="shared" si="19"/>
        <v>786094.5913626916</v>
      </c>
      <c r="K66" s="37">
        <f t="shared" si="19"/>
        <v>0</v>
      </c>
      <c r="L66" s="37">
        <f t="shared" si="19"/>
        <v>0</v>
      </c>
      <c r="M66" s="37">
        <f t="shared" si="19"/>
        <v>0</v>
      </c>
      <c r="N66" s="37">
        <f t="shared" si="19"/>
        <v>0</v>
      </c>
      <c r="O66" s="37">
        <f>SUM(H66:N66)</f>
        <v>2903627.167408213</v>
      </c>
    </row>
    <row r="67" spans="1:15" ht="12.75">
      <c r="A67">
        <v>2012</v>
      </c>
      <c r="G67" s="37"/>
      <c r="H67" s="37">
        <f>H63/$O$63*$G$63</f>
        <v>2173173.7149706674</v>
      </c>
      <c r="I67" s="37">
        <f aca="true" t="shared" si="20" ref="I67:N67">I63/$O$63*$G$63</f>
        <v>749149.7289299628</v>
      </c>
      <c r="J67" s="37">
        <f t="shared" si="20"/>
        <v>1073541.8730275624</v>
      </c>
      <c r="K67" s="37">
        <f t="shared" si="20"/>
        <v>0</v>
      </c>
      <c r="L67" s="37">
        <f t="shared" si="20"/>
        <v>0</v>
      </c>
      <c r="M67" s="37">
        <f t="shared" si="20"/>
        <v>0</v>
      </c>
      <c r="N67" s="37">
        <f t="shared" si="20"/>
        <v>0</v>
      </c>
      <c r="O67" s="37">
        <f>SUM(H67:N67)</f>
        <v>3995865.316928193</v>
      </c>
    </row>
    <row r="69" spans="6:15" ht="12.75">
      <c r="F69" s="75" t="s">
        <v>88</v>
      </c>
      <c r="G69" s="76">
        <v>552000</v>
      </c>
      <c r="H69" s="76">
        <f aca="true" t="shared" si="21" ref="H69:M69">(H55/$G$55)*$G$69</f>
        <v>289081.05534928234</v>
      </c>
      <c r="I69" s="76">
        <f t="shared" si="21"/>
        <v>99653.7887246743</v>
      </c>
      <c r="J69" s="76">
        <f t="shared" si="21"/>
        <v>155110.27545039073</v>
      </c>
      <c r="K69" s="76">
        <f t="shared" si="21"/>
        <v>2020.9834672511047</v>
      </c>
      <c r="L69" s="76">
        <f t="shared" si="21"/>
        <v>228.9474549994779</v>
      </c>
      <c r="M69" s="76">
        <f t="shared" si="21"/>
        <v>5904.949553402072</v>
      </c>
      <c r="N69" s="76">
        <f>(N55/M55)*$G$69</f>
        <v>0</v>
      </c>
      <c r="O69" s="76">
        <f>SUM(H69:N69)</f>
        <v>551999.9999999999</v>
      </c>
    </row>
  </sheetData>
  <sheetProtection/>
  <printOptions/>
  <pageMargins left="0.38" right="0.75" top="0.73" bottom="0.74" header="0.5" footer="0.5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BB8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2" sqref="G42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6" width="14.140625" style="6" customWidth="1"/>
    <col min="7" max="7" width="16.140625" style="6" customWidth="1"/>
    <col min="8" max="8" width="2.7109375" style="6" customWidth="1"/>
    <col min="9" max="9" width="12.7109375" style="6" bestFit="1" customWidth="1"/>
    <col min="10" max="12" width="12.7109375" style="6" customWidth="1"/>
    <col min="13" max="13" width="18.421875" style="6" customWidth="1"/>
    <col min="14" max="15" width="14.00390625" style="6" bestFit="1" customWidth="1"/>
    <col min="16" max="16" width="14.421875" style="6" customWidth="1"/>
    <col min="17" max="17" width="11.28125" style="6" bestFit="1" customWidth="1"/>
    <col min="18" max="18" width="10.28125" style="0" bestFit="1" customWidth="1"/>
    <col min="19" max="19" width="9.421875" style="0" bestFit="1" customWidth="1"/>
    <col min="21" max="21" width="2.28125" style="0" hidden="1" customWidth="1"/>
    <col min="22" max="22" width="14.00390625" style="0" bestFit="1" customWidth="1"/>
  </cols>
  <sheetData>
    <row r="2" spans="1:54" ht="42" customHeight="1">
      <c r="A2" s="101" t="s">
        <v>97</v>
      </c>
      <c r="B2" s="98" t="str">
        <f>'Rate Class Energy Model'!H2</f>
        <v>Residential</v>
      </c>
      <c r="C2" s="98" t="str">
        <f>'Rate Class Energy Model'!I2</f>
        <v>General Service &lt; 50</v>
      </c>
      <c r="D2" s="98" t="str">
        <f>'Rate Class Energy Model'!J2</f>
        <v>General Service  &gt;50</v>
      </c>
      <c r="E2" s="98" t="str">
        <f>'Rate Class Energy Model'!K2</f>
        <v>USL</v>
      </c>
      <c r="F2" s="98" t="str">
        <f>'Rate Class Energy Model'!L2</f>
        <v>Sentinel Lights</v>
      </c>
      <c r="G2" s="98" t="str">
        <f>'Rate Class Energy Model'!M2</f>
        <v>Street Lights</v>
      </c>
      <c r="H2" s="98"/>
      <c r="I2" s="99" t="s">
        <v>11</v>
      </c>
      <c r="J2" s="28"/>
      <c r="K2" s="28"/>
      <c r="L2" s="28"/>
      <c r="M2" s="28"/>
      <c r="N2" s="100"/>
      <c r="O2" s="96"/>
      <c r="P2" s="96"/>
      <c r="Q2" s="96"/>
      <c r="R2" s="96"/>
      <c r="S2" s="96"/>
      <c r="T2" s="96"/>
      <c r="U2" s="96"/>
      <c r="V2" s="28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12.75">
      <c r="A3" s="97">
        <v>2003</v>
      </c>
      <c r="B3" s="67">
        <v>2862</v>
      </c>
      <c r="C3" s="67">
        <v>424</v>
      </c>
      <c r="D3" s="67">
        <v>17</v>
      </c>
      <c r="E3" s="28">
        <v>7</v>
      </c>
      <c r="F3" s="28">
        <v>27</v>
      </c>
      <c r="G3" s="67">
        <v>1016</v>
      </c>
      <c r="H3" s="67"/>
      <c r="I3" s="28">
        <f>SUM(B3:G3)</f>
        <v>4353</v>
      </c>
      <c r="J3" s="28"/>
      <c r="K3" s="28"/>
      <c r="L3" s="28"/>
      <c r="M3" s="28"/>
      <c r="N3" s="114"/>
      <c r="O3" s="115"/>
      <c r="P3" s="116"/>
      <c r="Q3" s="115"/>
      <c r="R3" s="115"/>
      <c r="S3" s="116"/>
      <c r="T3" s="116"/>
      <c r="U3" s="116"/>
      <c r="V3" s="116"/>
      <c r="W3" s="116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ht="12.75">
      <c r="A4" s="97">
        <v>2004</v>
      </c>
      <c r="B4" s="67">
        <v>2848</v>
      </c>
      <c r="C4" s="67">
        <v>427</v>
      </c>
      <c r="D4" s="67">
        <v>16</v>
      </c>
      <c r="E4" s="28">
        <v>7</v>
      </c>
      <c r="F4" s="28">
        <v>27</v>
      </c>
      <c r="G4" s="67">
        <v>1016</v>
      </c>
      <c r="H4" s="67"/>
      <c r="I4" s="28">
        <f aca="true" t="shared" si="0" ref="I4:I10">SUM(B4:G4)</f>
        <v>4341</v>
      </c>
      <c r="J4" s="28"/>
      <c r="K4" s="28"/>
      <c r="L4" s="117"/>
      <c r="M4" s="24"/>
      <c r="N4" s="114"/>
      <c r="O4" s="115"/>
      <c r="P4" s="116"/>
      <c r="Q4" s="115"/>
      <c r="R4" s="115"/>
      <c r="S4" s="116"/>
      <c r="T4" s="116"/>
      <c r="U4" s="116"/>
      <c r="V4" s="116"/>
      <c r="W4" s="116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1:54" ht="12.75">
      <c r="A5" s="97">
        <v>2005</v>
      </c>
      <c r="B5" s="67">
        <v>2848</v>
      </c>
      <c r="C5" s="67">
        <v>441</v>
      </c>
      <c r="D5" s="67">
        <v>16</v>
      </c>
      <c r="E5" s="28">
        <v>7</v>
      </c>
      <c r="F5" s="28">
        <v>27</v>
      </c>
      <c r="G5" s="67">
        <v>1016</v>
      </c>
      <c r="H5" s="67"/>
      <c r="I5" s="28">
        <f t="shared" si="0"/>
        <v>4355</v>
      </c>
      <c r="J5" s="28"/>
      <c r="K5" s="28"/>
      <c r="L5" s="32"/>
      <c r="M5" s="24"/>
      <c r="N5" s="115"/>
      <c r="O5" s="115"/>
      <c r="P5" s="116"/>
      <c r="Q5" s="115"/>
      <c r="R5" s="115"/>
      <c r="S5" s="116"/>
      <c r="T5" s="116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ht="12.75">
      <c r="A6" s="97">
        <v>2006</v>
      </c>
      <c r="B6" s="67">
        <v>2840</v>
      </c>
      <c r="C6" s="67">
        <v>443</v>
      </c>
      <c r="D6" s="67">
        <v>16</v>
      </c>
      <c r="E6" s="28">
        <v>11</v>
      </c>
      <c r="F6" s="28">
        <v>27</v>
      </c>
      <c r="G6" s="67">
        <v>1016</v>
      </c>
      <c r="H6" s="67"/>
      <c r="I6" s="28">
        <f t="shared" si="0"/>
        <v>4353</v>
      </c>
      <c r="J6" s="28"/>
      <c r="K6" s="28"/>
      <c r="L6" s="32"/>
      <c r="M6" s="24"/>
      <c r="N6" s="115"/>
      <c r="O6" s="115"/>
      <c r="P6" s="116"/>
      <c r="Q6" s="115"/>
      <c r="R6" s="115"/>
      <c r="S6" s="116"/>
      <c r="T6" s="116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ht="12.75">
      <c r="A7" s="97">
        <v>2007</v>
      </c>
      <c r="B7" s="67">
        <v>2839</v>
      </c>
      <c r="C7" s="67">
        <v>444</v>
      </c>
      <c r="D7" s="67">
        <v>16</v>
      </c>
      <c r="E7" s="28">
        <v>12</v>
      </c>
      <c r="F7" s="28">
        <v>27</v>
      </c>
      <c r="G7" s="67">
        <v>1037</v>
      </c>
      <c r="H7" s="67"/>
      <c r="I7" s="28">
        <f t="shared" si="0"/>
        <v>4375</v>
      </c>
      <c r="J7" s="28"/>
      <c r="K7" s="28"/>
      <c r="L7" s="32"/>
      <c r="M7" s="24"/>
      <c r="N7" s="115"/>
      <c r="O7" s="115"/>
      <c r="P7" s="116"/>
      <c r="Q7" s="115"/>
      <c r="R7" s="115"/>
      <c r="S7" s="116"/>
      <c r="T7" s="116"/>
      <c r="U7" s="32"/>
      <c r="V7" s="116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ht="12.75">
      <c r="A8" s="97">
        <v>2008</v>
      </c>
      <c r="B8" s="67">
        <v>2840</v>
      </c>
      <c r="C8" s="67">
        <v>445</v>
      </c>
      <c r="D8" s="67">
        <v>16</v>
      </c>
      <c r="E8" s="28">
        <v>12</v>
      </c>
      <c r="F8" s="28">
        <v>25</v>
      </c>
      <c r="G8" s="67">
        <v>1039</v>
      </c>
      <c r="H8" s="67"/>
      <c r="I8" s="28">
        <f t="shared" si="0"/>
        <v>4377</v>
      </c>
      <c r="J8" s="28"/>
      <c r="K8" s="28"/>
      <c r="L8" s="117"/>
      <c r="M8" s="24"/>
      <c r="N8" s="115"/>
      <c r="O8" s="115"/>
      <c r="P8" s="116"/>
      <c r="Q8" s="115"/>
      <c r="R8" s="115"/>
      <c r="S8" s="116"/>
      <c r="T8" s="116"/>
      <c r="U8" s="32"/>
      <c r="V8" s="116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ht="12.75">
      <c r="A9" s="97">
        <v>2009</v>
      </c>
      <c r="B9" s="28">
        <v>2858</v>
      </c>
      <c r="C9" s="28">
        <v>439</v>
      </c>
      <c r="D9" s="67">
        <v>20</v>
      </c>
      <c r="E9" s="28">
        <v>21</v>
      </c>
      <c r="F9" s="28">
        <v>26</v>
      </c>
      <c r="G9" s="67">
        <v>1045</v>
      </c>
      <c r="H9" s="67"/>
      <c r="I9" s="28">
        <f t="shared" si="0"/>
        <v>4409</v>
      </c>
      <c r="J9" s="28"/>
      <c r="K9" s="28"/>
      <c r="L9" s="32"/>
      <c r="M9" s="24"/>
      <c r="N9" s="115"/>
      <c r="O9" s="115"/>
      <c r="P9" s="116"/>
      <c r="Q9" s="115"/>
      <c r="R9" s="115"/>
      <c r="S9" s="116"/>
      <c r="T9" s="116"/>
      <c r="U9" s="32"/>
      <c r="V9" s="116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ht="12" customHeight="1">
      <c r="A10" s="97">
        <v>2010</v>
      </c>
      <c r="B10" s="67">
        <v>2850</v>
      </c>
      <c r="C10" s="67">
        <v>425</v>
      </c>
      <c r="D10" s="67">
        <v>25</v>
      </c>
      <c r="E10" s="28">
        <v>21</v>
      </c>
      <c r="F10" s="28">
        <v>26</v>
      </c>
      <c r="G10" s="67">
        <v>1045</v>
      </c>
      <c r="H10" s="67"/>
      <c r="I10" s="28">
        <f t="shared" si="0"/>
        <v>4392</v>
      </c>
      <c r="J10" s="28"/>
      <c r="K10" s="28"/>
      <c r="L10" s="32"/>
      <c r="M10" s="24"/>
      <c r="N10" s="115"/>
      <c r="O10" s="115"/>
      <c r="P10" s="115"/>
      <c r="Q10" s="115"/>
      <c r="R10" s="115"/>
      <c r="S10" s="116"/>
      <c r="T10" s="116"/>
      <c r="U10" s="32"/>
      <c r="V10" s="116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19.5" customHeight="1">
      <c r="A11" s="4">
        <v>2011</v>
      </c>
      <c r="B11" s="67">
        <f>B10*B28</f>
        <v>2848.289826519014</v>
      </c>
      <c r="C11" s="67">
        <f>C10*C28</f>
        <v>425.14304954310404</v>
      </c>
      <c r="D11" s="67">
        <f>25*D28</f>
        <v>26.41601526333897</v>
      </c>
      <c r="E11" s="67">
        <f>21*E28</f>
        <v>24.568547067932425</v>
      </c>
      <c r="F11" s="67">
        <v>26</v>
      </c>
      <c r="G11" s="67">
        <f>G10*G28</f>
        <v>1049.2098851748729</v>
      </c>
      <c r="H11" s="67"/>
      <c r="I11" s="28">
        <f>SUM(B11:H11)-0.5</f>
        <v>4399.127323568262</v>
      </c>
      <c r="J11" s="28"/>
      <c r="K11" s="28"/>
      <c r="L11" s="32"/>
      <c r="M11" s="24"/>
      <c r="N11" s="28"/>
      <c r="O11" s="118"/>
      <c r="P11" s="118"/>
      <c r="Q11" s="118"/>
      <c r="R11" s="32"/>
      <c r="S11" s="32"/>
      <c r="T11" s="32"/>
      <c r="U11" s="32"/>
      <c r="V11" s="116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ht="12.75">
      <c r="A12" s="4">
        <v>2012</v>
      </c>
      <c r="B12" s="28">
        <f aca="true" t="shared" si="1" ref="B12:G12">B11*B28</f>
        <v>2846.5806792462154</v>
      </c>
      <c r="C12" s="28">
        <f t="shared" si="1"/>
        <v>425.28614723484753</v>
      </c>
      <c r="D12" s="28">
        <f>26*D28</f>
        <v>27.47265587387253</v>
      </c>
      <c r="E12" s="28">
        <f>27*E28</f>
        <v>31.588131944484548</v>
      </c>
      <c r="F12" s="28">
        <f t="shared" si="1"/>
        <v>25.860198844812142</v>
      </c>
      <c r="G12" s="28">
        <f t="shared" si="1"/>
        <v>1053.4367302858086</v>
      </c>
      <c r="H12" s="28"/>
      <c r="I12" s="28">
        <f>SUM(B12:H12)-0.5</f>
        <v>4409.724543430041</v>
      </c>
      <c r="J12" s="28"/>
      <c r="K12" s="28"/>
      <c r="L12" s="54"/>
      <c r="M12" s="24"/>
      <c r="N12" s="28"/>
      <c r="O12" s="119"/>
      <c r="P12" s="119"/>
      <c r="Q12" s="119"/>
      <c r="R12" s="32"/>
      <c r="S12" s="32"/>
      <c r="T12" s="32"/>
      <c r="U12" s="32"/>
      <c r="V12" s="116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ht="12.75">
      <c r="A13" s="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2"/>
      <c r="M13" s="24"/>
      <c r="N13" s="28"/>
      <c r="O13" s="28"/>
      <c r="P13" s="28"/>
      <c r="Q13" s="28"/>
      <c r="R13" s="32"/>
      <c r="S13" s="32"/>
      <c r="T13" s="32"/>
      <c r="U13" s="32"/>
      <c r="V13" s="116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ht="12.75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2"/>
      <c r="M14" s="24"/>
      <c r="N14" s="28"/>
      <c r="O14" s="28"/>
      <c r="P14" s="28"/>
      <c r="Q14" s="28"/>
      <c r="R14" s="32"/>
      <c r="S14" s="32"/>
      <c r="T14" s="32"/>
      <c r="U14" s="32"/>
      <c r="V14" s="116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ht="12.75">
      <c r="A15" s="4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2"/>
      <c r="M15" s="24"/>
      <c r="N15" s="28"/>
      <c r="O15" s="28"/>
      <c r="P15" s="28"/>
      <c r="Q15" s="28"/>
      <c r="R15" s="32"/>
      <c r="S15" s="32"/>
      <c r="T15" s="32"/>
      <c r="U15" s="32"/>
      <c r="V15" s="116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ht="25.5">
      <c r="A16" s="101" t="s">
        <v>97</v>
      </c>
      <c r="B16" s="98" t="s">
        <v>82</v>
      </c>
      <c r="C16" s="98" t="s">
        <v>84</v>
      </c>
      <c r="D16" s="98" t="s">
        <v>83</v>
      </c>
      <c r="E16" s="98" t="s">
        <v>85</v>
      </c>
      <c r="F16" s="98" t="s">
        <v>86</v>
      </c>
      <c r="G16" s="98" t="s">
        <v>87</v>
      </c>
      <c r="H16" s="28"/>
      <c r="I16" s="28"/>
      <c r="J16" s="28"/>
      <c r="K16" s="28"/>
      <c r="L16" s="32"/>
      <c r="M16" s="24"/>
      <c r="N16" s="28"/>
      <c r="O16" s="28"/>
      <c r="P16" s="28"/>
      <c r="Q16" s="28"/>
      <c r="R16" s="32"/>
      <c r="S16" s="32"/>
      <c r="T16" s="32"/>
      <c r="U16" s="32"/>
      <c r="V16" s="116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ht="12.75">
      <c r="A17" s="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2"/>
      <c r="M17" s="24"/>
      <c r="N17" s="28"/>
      <c r="O17" s="28"/>
      <c r="P17" s="28"/>
      <c r="Q17" s="28"/>
      <c r="R17" s="32"/>
      <c r="S17" s="32"/>
      <c r="T17" s="32"/>
      <c r="U17" s="32"/>
      <c r="V17" s="116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ht="12.75">
      <c r="A18" s="21"/>
      <c r="J18" s="28"/>
      <c r="K18" s="28"/>
      <c r="L18" s="32"/>
      <c r="M18" s="24"/>
      <c r="N18" s="28"/>
      <c r="O18" s="28"/>
      <c r="P18" s="28"/>
      <c r="Q18" s="28"/>
      <c r="R18" s="32"/>
      <c r="S18" s="32"/>
      <c r="T18" s="32"/>
      <c r="U18" s="32"/>
      <c r="V18" s="116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1:54" ht="12.75">
      <c r="A19" s="20" t="s">
        <v>46</v>
      </c>
      <c r="B19" s="5"/>
      <c r="C19" s="5"/>
      <c r="D19" s="5"/>
      <c r="E19" s="5"/>
      <c r="F19" s="5"/>
      <c r="G19" s="5"/>
      <c r="H19" s="5"/>
      <c r="J19" s="28"/>
      <c r="K19" s="28"/>
      <c r="L19" s="28"/>
      <c r="M19" s="28"/>
      <c r="N19" s="28"/>
      <c r="O19" s="28"/>
      <c r="P19" s="28"/>
      <c r="Q19" s="28"/>
      <c r="R19" s="32"/>
      <c r="S19" s="32"/>
      <c r="T19" s="32"/>
      <c r="U19" s="32"/>
      <c r="V19" s="116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ht="12.75">
      <c r="A20" s="4">
        <v>2004</v>
      </c>
      <c r="B20" s="25">
        <f aca="true" t="shared" si="2" ref="B20:D26">B4/B3</f>
        <v>0.9951083158630328</v>
      </c>
      <c r="C20" s="25">
        <f t="shared" si="2"/>
        <v>1.0070754716981132</v>
      </c>
      <c r="D20" s="25">
        <f t="shared" si="2"/>
        <v>0.9411764705882353</v>
      </c>
      <c r="E20" s="25">
        <f aca="true" t="shared" si="3" ref="E20:F26">E4/E3</f>
        <v>1</v>
      </c>
      <c r="F20" s="25">
        <f t="shared" si="3"/>
        <v>1</v>
      </c>
      <c r="G20" s="25">
        <f aca="true" t="shared" si="4" ref="G20:G26">G4/G3</f>
        <v>1</v>
      </c>
      <c r="H20" s="25"/>
      <c r="J20" s="28"/>
      <c r="K20" s="28"/>
      <c r="L20" s="28"/>
      <c r="M20" s="28"/>
      <c r="N20" s="28"/>
      <c r="O20" s="28"/>
      <c r="P20" s="28"/>
      <c r="Q20" s="28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ht="12.75">
      <c r="A21" s="4">
        <v>2005</v>
      </c>
      <c r="B21" s="25">
        <f t="shared" si="2"/>
        <v>1</v>
      </c>
      <c r="C21" s="25">
        <f t="shared" si="2"/>
        <v>1.0327868852459017</v>
      </c>
      <c r="D21" s="25">
        <f t="shared" si="2"/>
        <v>1</v>
      </c>
      <c r="E21" s="25">
        <f t="shared" si="3"/>
        <v>1</v>
      </c>
      <c r="F21" s="25">
        <f t="shared" si="3"/>
        <v>1</v>
      </c>
      <c r="G21" s="25">
        <f t="shared" si="4"/>
        <v>1</v>
      </c>
      <c r="H21" s="25"/>
      <c r="J21" s="28"/>
      <c r="K21" s="28"/>
      <c r="L21" s="28"/>
      <c r="M21" s="28"/>
      <c r="N21" s="28"/>
      <c r="O21" s="28"/>
      <c r="P21" s="28"/>
      <c r="Q21" s="2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ht="12.75">
      <c r="A22" s="4">
        <v>2006</v>
      </c>
      <c r="B22" s="25">
        <f t="shared" si="2"/>
        <v>0.9971910112359551</v>
      </c>
      <c r="C22" s="25">
        <f t="shared" si="2"/>
        <v>1.0045351473922903</v>
      </c>
      <c r="D22" s="25">
        <f t="shared" si="2"/>
        <v>1</v>
      </c>
      <c r="E22" s="25">
        <f t="shared" si="3"/>
        <v>1.5714285714285714</v>
      </c>
      <c r="F22" s="25">
        <f t="shared" si="3"/>
        <v>1</v>
      </c>
      <c r="G22" s="25">
        <f t="shared" si="4"/>
        <v>1</v>
      </c>
      <c r="H22" s="25"/>
      <c r="J22" s="28"/>
      <c r="K22" s="28"/>
      <c r="L22" s="28"/>
      <c r="M22" s="28"/>
      <c r="N22" s="28"/>
      <c r="O22" s="28"/>
      <c r="P22" s="28"/>
      <c r="Q22" s="28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8" ht="12.75">
      <c r="A23" s="4">
        <v>2007</v>
      </c>
      <c r="B23" s="25">
        <f t="shared" si="2"/>
        <v>0.9996478873239436</v>
      </c>
      <c r="C23" s="25">
        <f t="shared" si="2"/>
        <v>1.002257336343115</v>
      </c>
      <c r="D23" s="25">
        <f t="shared" si="2"/>
        <v>1</v>
      </c>
      <c r="E23" s="25">
        <f t="shared" si="3"/>
        <v>1.0909090909090908</v>
      </c>
      <c r="F23" s="25">
        <f t="shared" si="3"/>
        <v>1</v>
      </c>
      <c r="G23" s="25">
        <f t="shared" si="4"/>
        <v>1.0206692913385826</v>
      </c>
      <c r="H23" s="25"/>
    </row>
    <row r="24" spans="1:8" ht="12.75">
      <c r="A24" s="4">
        <v>2008</v>
      </c>
      <c r="B24" s="25">
        <f t="shared" si="2"/>
        <v>1.0003522367030644</v>
      </c>
      <c r="C24" s="25">
        <f t="shared" si="2"/>
        <v>1.0022522522522523</v>
      </c>
      <c r="D24" s="25">
        <f t="shared" si="2"/>
        <v>1</v>
      </c>
      <c r="E24" s="25">
        <f t="shared" si="3"/>
        <v>1</v>
      </c>
      <c r="F24" s="25">
        <f t="shared" si="3"/>
        <v>0.9259259259259259</v>
      </c>
      <c r="G24" s="25">
        <f t="shared" si="4"/>
        <v>1.0019286403085825</v>
      </c>
      <c r="H24" s="25"/>
    </row>
    <row r="25" spans="1:8" ht="12.75">
      <c r="A25" s="4">
        <v>2009</v>
      </c>
      <c r="B25" s="25">
        <f t="shared" si="2"/>
        <v>1.0063380281690142</v>
      </c>
      <c r="C25" s="25">
        <f t="shared" si="2"/>
        <v>0.9865168539325843</v>
      </c>
      <c r="D25" s="25">
        <f t="shared" si="2"/>
        <v>1.25</v>
      </c>
      <c r="E25" s="25">
        <f t="shared" si="3"/>
        <v>1.75</v>
      </c>
      <c r="F25" s="25">
        <f t="shared" si="3"/>
        <v>1.04</v>
      </c>
      <c r="G25" s="25">
        <f t="shared" si="4"/>
        <v>1.0057747834456208</v>
      </c>
      <c r="H25" s="25"/>
    </row>
    <row r="26" spans="1:8" ht="12.75">
      <c r="A26" s="4">
        <v>2010</v>
      </c>
      <c r="B26" s="25">
        <f t="shared" si="2"/>
        <v>0.9972008397480756</v>
      </c>
      <c r="C26" s="25">
        <f t="shared" si="2"/>
        <v>0.9681093394077449</v>
      </c>
      <c r="D26" s="25">
        <f t="shared" si="2"/>
        <v>1.25</v>
      </c>
      <c r="E26" s="25">
        <f t="shared" si="3"/>
        <v>1</v>
      </c>
      <c r="F26" s="25">
        <f t="shared" si="3"/>
        <v>1</v>
      </c>
      <c r="G26" s="25">
        <f t="shared" si="4"/>
        <v>1</v>
      </c>
      <c r="H26" s="25"/>
    </row>
    <row r="28" spans="1:8" ht="12.75">
      <c r="A28" t="s">
        <v>66</v>
      </c>
      <c r="B28" s="26">
        <f aca="true" t="shared" si="5" ref="B28:G28">B30</f>
        <v>0.9993999391294786</v>
      </c>
      <c r="C28" s="26">
        <f t="shared" si="5"/>
        <v>1.0003365871602448</v>
      </c>
      <c r="D28" s="26">
        <f t="shared" si="5"/>
        <v>1.0566406105335588</v>
      </c>
      <c r="E28" s="26">
        <f t="shared" si="5"/>
        <v>1.169930812758687</v>
      </c>
      <c r="F28" s="26">
        <f t="shared" si="5"/>
        <v>0.9946230324927747</v>
      </c>
      <c r="G28" s="26">
        <f t="shared" si="5"/>
        <v>1.004028598253467</v>
      </c>
      <c r="H28" s="26"/>
    </row>
    <row r="29" spans="2:8" ht="12.75">
      <c r="B29" s="26"/>
      <c r="C29" s="26"/>
      <c r="D29" s="26"/>
      <c r="E29" s="26"/>
      <c r="F29" s="26"/>
      <c r="G29" s="26"/>
      <c r="H29" s="26"/>
    </row>
    <row r="30" spans="1:8" ht="12.75">
      <c r="A30" t="s">
        <v>17</v>
      </c>
      <c r="B30" s="26">
        <f aca="true" t="shared" si="6" ref="B30:G30">GEOMEAN(B20:B26)</f>
        <v>0.9993999391294786</v>
      </c>
      <c r="C30" s="26">
        <f t="shared" si="6"/>
        <v>1.0003365871602448</v>
      </c>
      <c r="D30" s="26">
        <f t="shared" si="6"/>
        <v>1.0566406105335588</v>
      </c>
      <c r="E30" s="26">
        <f t="shared" si="6"/>
        <v>1.169930812758687</v>
      </c>
      <c r="F30" s="26">
        <f t="shared" si="6"/>
        <v>0.9946230324927747</v>
      </c>
      <c r="G30" s="26">
        <f t="shared" si="6"/>
        <v>1.004028598253467</v>
      </c>
      <c r="H30" s="26"/>
    </row>
    <row r="31" spans="1:8" ht="12.75">
      <c r="A31" s="4"/>
      <c r="B31" s="26"/>
      <c r="C31" s="26"/>
      <c r="D31" s="26"/>
      <c r="E31" s="26"/>
      <c r="F31" s="26"/>
      <c r="G31" s="26"/>
      <c r="H31" s="26"/>
    </row>
    <row r="32" spans="1:8" ht="12.75">
      <c r="A32" s="4"/>
      <c r="B32" s="26"/>
      <c r="C32" s="26"/>
      <c r="D32" s="26"/>
      <c r="E32" s="26"/>
      <c r="F32" s="26"/>
      <c r="G32" s="26"/>
      <c r="H32" s="26"/>
    </row>
    <row r="33" spans="1:8" ht="12.75">
      <c r="A33" s="4"/>
      <c r="B33" s="26"/>
      <c r="C33" s="26"/>
      <c r="D33" s="26"/>
      <c r="E33" s="26"/>
      <c r="F33" s="26"/>
      <c r="G33" s="26"/>
      <c r="H33" s="26"/>
    </row>
    <row r="34" spans="1:8" ht="12.75">
      <c r="A34" s="4"/>
      <c r="B34" s="26"/>
      <c r="C34" s="26"/>
      <c r="D34" s="26"/>
      <c r="E34" s="26"/>
      <c r="F34" s="26"/>
      <c r="G34" s="26"/>
      <c r="H34" s="26"/>
    </row>
    <row r="35" spans="1:8" ht="12.75">
      <c r="A35" s="4"/>
      <c r="B35" s="26"/>
      <c r="C35" s="26"/>
      <c r="D35" s="26"/>
      <c r="E35" s="26"/>
      <c r="F35" s="26"/>
      <c r="G35" s="26"/>
      <c r="H35" s="26"/>
    </row>
    <row r="36" spans="1:8" ht="12.75">
      <c r="A36" s="4"/>
      <c r="B36" s="26"/>
      <c r="C36" s="26"/>
      <c r="D36" s="26"/>
      <c r="E36" s="26"/>
      <c r="F36" s="26"/>
      <c r="G36" s="26"/>
      <c r="H36" s="26"/>
    </row>
    <row r="37" spans="1:8" ht="12.75">
      <c r="A37" s="4"/>
      <c r="B37" s="26"/>
      <c r="C37" s="26"/>
      <c r="D37" s="26"/>
      <c r="E37" s="26"/>
      <c r="F37" s="26"/>
      <c r="G37" s="26"/>
      <c r="H37" s="26"/>
    </row>
    <row r="38" spans="1:8" ht="12.75">
      <c r="A38" s="4"/>
      <c r="B38" s="26"/>
      <c r="C38" s="26"/>
      <c r="D38" s="26"/>
      <c r="E38" s="26"/>
      <c r="F38" s="26"/>
      <c r="G38" s="26"/>
      <c r="H38" s="26"/>
    </row>
    <row r="39" spans="2:8" ht="12.75">
      <c r="B39" s="26"/>
      <c r="C39" s="26"/>
      <c r="D39" s="26"/>
      <c r="E39" s="26"/>
      <c r="F39" s="26"/>
      <c r="G39" s="26"/>
      <c r="H39" s="26"/>
    </row>
    <row r="40" spans="2:8" ht="12.75">
      <c r="B40" s="26"/>
      <c r="C40" s="26"/>
      <c r="D40" s="26"/>
      <c r="E40" s="26"/>
      <c r="F40" s="26"/>
      <c r="G40" s="26"/>
      <c r="H40" s="26"/>
    </row>
    <row r="41" spans="2:8" ht="12.75">
      <c r="B41" s="26"/>
      <c r="C41" s="26"/>
      <c r="D41" s="26"/>
      <c r="E41" s="26"/>
      <c r="F41" s="26"/>
      <c r="G41" s="26"/>
      <c r="H41" s="26"/>
    </row>
    <row r="42" spans="2:8" ht="12.75">
      <c r="B42" s="26"/>
      <c r="C42" s="26"/>
      <c r="D42" s="26"/>
      <c r="E42" s="26"/>
      <c r="F42" s="26"/>
      <c r="G42" s="26"/>
      <c r="H42" s="26"/>
    </row>
    <row r="43" spans="2:8" ht="12.75">
      <c r="B43" s="26"/>
      <c r="C43" s="26"/>
      <c r="D43" s="26"/>
      <c r="E43" s="26"/>
      <c r="F43" s="26"/>
      <c r="G43" s="26"/>
      <c r="H43" s="26"/>
    </row>
    <row r="44" spans="2:8" ht="12.75">
      <c r="B44" s="26"/>
      <c r="C44" s="26"/>
      <c r="D44" s="26"/>
      <c r="E44" s="26"/>
      <c r="F44" s="26"/>
      <c r="G44" s="26"/>
      <c r="H44" s="26"/>
    </row>
    <row r="45" spans="2:8" ht="12.75">
      <c r="B45" s="26"/>
      <c r="C45" s="26"/>
      <c r="D45" s="26"/>
      <c r="E45" s="26"/>
      <c r="F45" s="26"/>
      <c r="G45" s="26"/>
      <c r="H45" s="26"/>
    </row>
    <row r="46" spans="2:8" ht="12.75"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  <row r="50" spans="2:8" ht="12.75">
      <c r="B50" s="26"/>
      <c r="C50" s="26"/>
      <c r="D50" s="26"/>
      <c r="E50" s="26"/>
      <c r="F50" s="26"/>
      <c r="G50" s="26"/>
      <c r="H50" s="26"/>
    </row>
    <row r="51" spans="2:8" ht="12.75">
      <c r="B51" s="26"/>
      <c r="C51" s="26"/>
      <c r="D51" s="26"/>
      <c r="E51" s="26"/>
      <c r="F51" s="26"/>
      <c r="G51" s="26"/>
      <c r="H51" s="26"/>
    </row>
    <row r="52" spans="2:8" ht="12.75">
      <c r="B52" s="26"/>
      <c r="C52" s="26"/>
      <c r="D52" s="26"/>
      <c r="E52" s="26"/>
      <c r="F52" s="26"/>
      <c r="G52" s="26"/>
      <c r="H52" s="26"/>
    </row>
    <row r="53" spans="2:8" ht="12.75">
      <c r="B53" s="26"/>
      <c r="C53" s="26"/>
      <c r="D53" s="26"/>
      <c r="E53" s="26"/>
      <c r="F53" s="26"/>
      <c r="G53" s="26"/>
      <c r="H53" s="26"/>
    </row>
    <row r="54" spans="2:8" ht="12.75">
      <c r="B54" s="26"/>
      <c r="C54" s="26"/>
      <c r="D54" s="26"/>
      <c r="E54" s="26"/>
      <c r="F54" s="26"/>
      <c r="G54" s="26"/>
      <c r="H54" s="26"/>
    </row>
    <row r="55" spans="2:8" ht="12.75">
      <c r="B55" s="26"/>
      <c r="C55" s="26"/>
      <c r="D55" s="26"/>
      <c r="E55" s="26"/>
      <c r="F55" s="26"/>
      <c r="G55" s="26"/>
      <c r="H55" s="26"/>
    </row>
    <row r="56" spans="2:8" ht="12.75">
      <c r="B56" s="26"/>
      <c r="C56" s="26"/>
      <c r="D56" s="26"/>
      <c r="E56" s="26"/>
      <c r="F56" s="26"/>
      <c r="G56" s="26"/>
      <c r="H56" s="26"/>
    </row>
    <row r="57" spans="2:8" ht="12.75">
      <c r="B57" s="26"/>
      <c r="C57" s="26"/>
      <c r="G57" s="26"/>
      <c r="H57" s="26"/>
    </row>
    <row r="63" spans="4:6" ht="12.75">
      <c r="D63" s="27"/>
      <c r="E63" s="27"/>
      <c r="F63" s="27"/>
    </row>
    <row r="64" spans="2:8" ht="12.75">
      <c r="B64" s="27"/>
      <c r="C64" s="27"/>
      <c r="D64" s="27"/>
      <c r="E64" s="27"/>
      <c r="F64" s="27"/>
      <c r="G64" s="27"/>
      <c r="H64" s="27"/>
    </row>
    <row r="65" spans="2:8" ht="12.75">
      <c r="B65" s="27"/>
      <c r="C65" s="27"/>
      <c r="G65" s="27"/>
      <c r="H65" s="27"/>
    </row>
    <row r="83" spans="4:6" ht="12.75">
      <c r="D83" s="15"/>
      <c r="E83" s="15"/>
      <c r="F83" s="15"/>
    </row>
    <row r="84" spans="2:8" ht="12.75">
      <c r="B84" s="15"/>
      <c r="C84" s="15"/>
      <c r="D84" s="15"/>
      <c r="E84" s="15"/>
      <c r="F84" s="15"/>
      <c r="G84" s="15"/>
      <c r="H84" s="15"/>
    </row>
    <row r="85" spans="2:8" ht="12.75">
      <c r="B85" s="15"/>
      <c r="C85" s="15"/>
      <c r="G85" s="15"/>
      <c r="H85" s="15"/>
    </row>
  </sheetData>
  <sheetProtection/>
  <printOptions/>
  <pageMargins left="0.38" right="0.75" top="0.73" bottom="0.74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3" width="14.140625" style="6" customWidth="1"/>
    <col min="4" max="4" width="17.7109375" style="6" customWidth="1"/>
    <col min="5" max="6" width="12.7109375" style="6" bestFit="1" customWidth="1"/>
    <col min="7" max="7" width="4.28125" style="6" customWidth="1"/>
    <col min="8" max="8" width="13.28125" style="6" customWidth="1"/>
    <col min="9" max="9" width="18.57421875" style="6" bestFit="1" customWidth="1"/>
    <col min="10" max="10" width="13.421875" style="6" bestFit="1" customWidth="1"/>
    <col min="11" max="11" width="11.57421875" style="0" bestFit="1" customWidth="1"/>
  </cols>
  <sheetData>
    <row r="1" spans="1:16" ht="42" customHeight="1">
      <c r="A1" s="108" t="s">
        <v>97</v>
      </c>
      <c r="B1" s="105" t="str">
        <f>'Rate Class Customer Model'!D2</f>
        <v>General Service  &gt;50</v>
      </c>
      <c r="C1" s="105" t="str">
        <f>'Rate Class Customer Model'!F2</f>
        <v>Sentinel Lights</v>
      </c>
      <c r="D1" s="105" t="str">
        <f>'Rate Class Customer Model'!G2</f>
        <v>Street Lights</v>
      </c>
      <c r="E1" s="99" t="s">
        <v>11</v>
      </c>
      <c r="K1" s="32"/>
      <c r="L1" s="28"/>
      <c r="M1" s="28"/>
      <c r="N1" s="28"/>
      <c r="O1" s="32"/>
      <c r="P1" s="32"/>
    </row>
    <row r="2" spans="1:14" ht="12.75">
      <c r="A2" s="31">
        <v>2003</v>
      </c>
      <c r="B2" s="103">
        <v>38823</v>
      </c>
      <c r="C2" s="104">
        <v>73</v>
      </c>
      <c r="D2" s="103">
        <v>1718</v>
      </c>
      <c r="E2" s="106">
        <f aca="true" t="shared" si="0" ref="E2:E11">SUM(B2:D2)</f>
        <v>40614</v>
      </c>
      <c r="L2" s="6"/>
      <c r="M2" s="6"/>
      <c r="N2" s="6"/>
    </row>
    <row r="3" spans="1:16" ht="12.75">
      <c r="A3" s="31">
        <v>2004</v>
      </c>
      <c r="B3" s="103">
        <v>37349</v>
      </c>
      <c r="C3" s="104">
        <v>73</v>
      </c>
      <c r="D3" s="103">
        <v>1719</v>
      </c>
      <c r="E3" s="106">
        <f t="shared" si="0"/>
        <v>39141</v>
      </c>
      <c r="L3" s="102"/>
      <c r="M3" s="111"/>
      <c r="N3" s="111"/>
      <c r="O3" s="112"/>
      <c r="P3" s="113"/>
    </row>
    <row r="4" spans="1:16" ht="12.75">
      <c r="A4" s="31">
        <v>2005</v>
      </c>
      <c r="B4" s="103">
        <v>37365</v>
      </c>
      <c r="C4" s="104">
        <v>73</v>
      </c>
      <c r="D4" s="103">
        <v>1718</v>
      </c>
      <c r="E4" s="106">
        <f t="shared" si="0"/>
        <v>39156</v>
      </c>
      <c r="L4" s="102"/>
      <c r="M4" s="111"/>
      <c r="N4" s="111"/>
      <c r="O4" s="112"/>
      <c r="P4" s="113"/>
    </row>
    <row r="5" spans="1:15" ht="12.75">
      <c r="A5" s="31">
        <v>2006</v>
      </c>
      <c r="B5" s="103">
        <v>36813</v>
      </c>
      <c r="C5" s="104">
        <v>73</v>
      </c>
      <c r="D5" s="103">
        <v>1721</v>
      </c>
      <c r="E5" s="106">
        <f t="shared" si="0"/>
        <v>38607</v>
      </c>
      <c r="L5" s="102"/>
      <c r="M5" s="109"/>
      <c r="N5" s="109"/>
      <c r="O5" s="110"/>
    </row>
    <row r="6" spans="1:15" ht="12.75">
      <c r="A6" s="31">
        <v>2007</v>
      </c>
      <c r="B6" s="103">
        <v>37510</v>
      </c>
      <c r="C6" s="104">
        <v>72</v>
      </c>
      <c r="D6" s="103">
        <v>1721</v>
      </c>
      <c r="E6" s="106">
        <f t="shared" si="0"/>
        <v>39303</v>
      </c>
      <c r="L6" s="102"/>
      <c r="M6" s="109"/>
      <c r="N6" s="109"/>
      <c r="O6" s="110"/>
    </row>
    <row r="7" spans="1:15" ht="12.75">
      <c r="A7" s="31">
        <v>2008</v>
      </c>
      <c r="B7" s="103">
        <v>36482</v>
      </c>
      <c r="C7" s="104">
        <v>72</v>
      </c>
      <c r="D7" s="103">
        <v>1721</v>
      </c>
      <c r="E7" s="106">
        <f t="shared" si="0"/>
        <v>38275</v>
      </c>
      <c r="L7" s="102"/>
      <c r="M7" s="109"/>
      <c r="N7" s="109"/>
      <c r="O7" s="110"/>
    </row>
    <row r="8" spans="1:11" ht="12.75">
      <c r="A8" s="31">
        <v>2009</v>
      </c>
      <c r="B8" s="103">
        <v>39329</v>
      </c>
      <c r="C8" s="104">
        <v>72</v>
      </c>
      <c r="D8" s="103">
        <v>1724</v>
      </c>
      <c r="E8" s="106">
        <f t="shared" si="0"/>
        <v>41125</v>
      </c>
      <c r="H8" s="102"/>
      <c r="I8" s="109"/>
      <c r="J8" s="109"/>
      <c r="K8" s="110"/>
    </row>
    <row r="9" spans="1:11" ht="12.75">
      <c r="A9" s="31">
        <v>2010</v>
      </c>
      <c r="B9" s="103">
        <v>43226</v>
      </c>
      <c r="C9" s="104">
        <v>72</v>
      </c>
      <c r="D9" s="103">
        <v>1728</v>
      </c>
      <c r="E9" s="106">
        <f t="shared" si="0"/>
        <v>45026</v>
      </c>
      <c r="H9" s="102"/>
      <c r="I9" s="109"/>
      <c r="J9" s="109"/>
      <c r="K9" s="110"/>
    </row>
    <row r="10" spans="1:11" ht="12.75">
      <c r="A10" s="31">
        <v>2011</v>
      </c>
      <c r="B10" s="103">
        <f>'Rate Class Energy Model'!J58*'Rate Class Load Model'!B27</f>
        <v>44844.92670328697</v>
      </c>
      <c r="C10" s="103">
        <f>'Rate Class Energy Model'!L58*'Rate Class Load Model'!C27</f>
        <v>67.81485581485349</v>
      </c>
      <c r="D10" s="103">
        <f>'Rate Class Energy Model'!M58*'Rate Class Load Model'!D27</f>
        <v>1764.0448706578584</v>
      </c>
      <c r="E10" s="106">
        <f t="shared" si="0"/>
        <v>46676.78642975968</v>
      </c>
      <c r="H10" s="102"/>
      <c r="I10" s="109"/>
      <c r="J10" s="109"/>
      <c r="K10" s="110"/>
    </row>
    <row r="11" spans="1:11" ht="12.75">
      <c r="A11" s="31">
        <v>2012</v>
      </c>
      <c r="B11" s="103">
        <f>'Rate Class Energy Model'!J59*'Rate Class Load Model'!B27</f>
        <v>44044.813874676875</v>
      </c>
      <c r="C11" s="103">
        <f>'Rate Class Energy Model'!L59*'Rate Class Load Model'!C27</f>
        <v>66.04364536030599</v>
      </c>
      <c r="D11" s="107">
        <f>'Rate Class Energy Model'!M59*'Rate Class Load Model'!D27</f>
        <v>1766.1512878456372</v>
      </c>
      <c r="E11" s="106">
        <f t="shared" si="0"/>
        <v>45877.00880788281</v>
      </c>
      <c r="I11" s="109"/>
      <c r="J11" s="109"/>
      <c r="K11" s="110"/>
    </row>
    <row r="12" spans="1:11" ht="12.75">
      <c r="A12" s="21"/>
      <c r="I12" s="109"/>
      <c r="J12" s="109"/>
      <c r="K12" s="110"/>
    </row>
    <row r="13" spans="1:11" ht="12.75">
      <c r="A13" s="20" t="s">
        <v>67</v>
      </c>
      <c r="B13" s="5"/>
      <c r="C13" s="5"/>
      <c r="D13" s="5"/>
      <c r="I13" s="109"/>
      <c r="J13" s="109"/>
      <c r="K13" s="110"/>
    </row>
    <row r="14" spans="1:11" ht="12.75">
      <c r="A14" s="4">
        <v>1999</v>
      </c>
      <c r="B14" s="29"/>
      <c r="C14" s="29"/>
      <c r="D14" s="29"/>
      <c r="I14" s="109"/>
      <c r="J14" s="109"/>
      <c r="K14" s="110"/>
    </row>
    <row r="15" spans="1:11" ht="12.75">
      <c r="A15" s="4">
        <v>2000</v>
      </c>
      <c r="B15" s="29"/>
      <c r="C15" s="29"/>
      <c r="D15" s="29"/>
      <c r="I15" s="109"/>
      <c r="J15" s="109"/>
      <c r="K15" s="110"/>
    </row>
    <row r="16" spans="1:11" ht="12.75">
      <c r="A16" s="4">
        <v>2001</v>
      </c>
      <c r="B16" s="29"/>
      <c r="C16" s="29"/>
      <c r="D16" s="29"/>
      <c r="I16" s="109"/>
      <c r="J16" s="109"/>
      <c r="K16" s="110"/>
    </row>
    <row r="17" spans="1:11" ht="12.75">
      <c r="A17" s="4">
        <v>2002</v>
      </c>
      <c r="B17" s="29"/>
      <c r="C17" s="29"/>
      <c r="D17" s="29"/>
      <c r="I17" s="109"/>
      <c r="J17" s="109"/>
      <c r="K17" s="110"/>
    </row>
    <row r="18" spans="1:11" ht="12.75">
      <c r="A18" s="4">
        <v>2003</v>
      </c>
      <c r="B18" s="29">
        <f>B2/'Rate Class Energy Model'!J8</f>
        <v>0.0025320996443137984</v>
      </c>
      <c r="C18" s="29">
        <f>C2/'Rate Class Energy Model'!L8</f>
        <v>0.0026323380931775565</v>
      </c>
      <c r="D18" s="29">
        <f>D2/'Rate Class Energy Model'!M8</f>
        <v>0.0028909758810492995</v>
      </c>
      <c r="I18" s="109"/>
      <c r="J18" s="109"/>
      <c r="K18" s="110"/>
    </row>
    <row r="19" spans="1:11" ht="12.75">
      <c r="A19" s="4">
        <v>2004</v>
      </c>
      <c r="B19" s="29">
        <f>B3/'Rate Class Energy Model'!J9</f>
        <v>0.002542248398817098</v>
      </c>
      <c r="C19" s="29">
        <f>C3/'Rate Class Energy Model'!L9</f>
        <v>0.0026634559252772913</v>
      </c>
      <c r="D19" s="29">
        <f>D3/'Rate Class Energy Model'!M9</f>
        <v>0.0028063061077562776</v>
      </c>
      <c r="I19" s="109"/>
      <c r="J19" s="109"/>
      <c r="K19" s="110"/>
    </row>
    <row r="20" spans="1:11" ht="12.75">
      <c r="A20" s="4">
        <v>2005</v>
      </c>
      <c r="B20" s="29">
        <f>B4/'Rate Class Energy Model'!J10</f>
        <v>0.002520702275142091</v>
      </c>
      <c r="C20" s="29">
        <f>C4/'Rate Class Energy Model'!L10</f>
        <v>0.0026634559252772913</v>
      </c>
      <c r="D20" s="29">
        <f>D4/'Rate Class Energy Model'!M10</f>
        <v>0.0028011752544373682</v>
      </c>
      <c r="I20" s="109"/>
      <c r="J20" s="109"/>
      <c r="K20" s="110"/>
    </row>
    <row r="21" spans="1:11" ht="12.75">
      <c r="A21" s="4">
        <v>2006</v>
      </c>
      <c r="B21" s="29">
        <f>B5/'Rate Class Energy Model'!J11</f>
        <v>0.0025737588183907035</v>
      </c>
      <c r="C21" s="29">
        <f>C5/'Rate Class Energy Model'!L11</f>
        <v>0.0026732093159513694</v>
      </c>
      <c r="D21" s="29">
        <f>D5/'Rate Class Energy Model'!M11</f>
        <v>0.00295123854272951</v>
      </c>
      <c r="I21" s="109"/>
      <c r="J21" s="109"/>
      <c r="K21" s="110"/>
    </row>
    <row r="22" spans="1:4" ht="12.75">
      <c r="A22" s="4">
        <v>2007</v>
      </c>
      <c r="B22" s="29">
        <f>B6/'Rate Class Energy Model'!J12</f>
        <v>0.0025171231141624378</v>
      </c>
      <c r="C22" s="29">
        <f>C6/'Rate Class Energy Model'!L12</f>
        <v>0.002654377880184332</v>
      </c>
      <c r="D22" s="29">
        <f>D6/'Rate Class Energy Model'!M12</f>
        <v>0.0028006327054014295</v>
      </c>
    </row>
    <row r="23" spans="1:4" ht="12.75">
      <c r="A23" s="4">
        <v>2008</v>
      </c>
      <c r="B23" s="29">
        <f>B7/'Rate Class Energy Model'!J13</f>
        <v>0.0024801945431912943</v>
      </c>
      <c r="C23" s="29">
        <f>C7/'Rate Class Energy Model'!L13</f>
        <v>0.002863392324517797</v>
      </c>
      <c r="D23" s="29">
        <f>D7/'Rate Class Energy Model'!M13</f>
        <v>0.00281754243503772</v>
      </c>
    </row>
    <row r="24" spans="1:4" ht="12.75">
      <c r="A24" s="4">
        <v>2009</v>
      </c>
      <c r="B24" s="29">
        <f>B8/'Rate Class Energy Model'!J14</f>
        <v>0.0025157629381020227</v>
      </c>
      <c r="C24" s="29">
        <f>C8/'Rate Class Energy Model'!L14</f>
        <v>0.0028486646884273</v>
      </c>
      <c r="D24" s="29">
        <f>D8/'Rate Class Energy Model'!M14</f>
        <v>0.002799492064316869</v>
      </c>
    </row>
    <row r="25" spans="1:4" ht="12.75">
      <c r="A25" s="4">
        <v>2010</v>
      </c>
      <c r="B25" s="29">
        <f>B9/'Rate Class Energy Model'!J15</f>
        <v>0.002518942622174632</v>
      </c>
      <c r="C25" s="29">
        <f>C9/'Rate Class Energy Model'!L15</f>
        <v>0.0028685258964143427</v>
      </c>
      <c r="D25" s="29">
        <f>D9/'Rate Class Energy Model'!M15</f>
        <v>0.0028059008354374883</v>
      </c>
    </row>
    <row r="27" spans="1:4" ht="12.75">
      <c r="A27" t="s">
        <v>16</v>
      </c>
      <c r="B27" s="29">
        <f>AVERAGE(B15:B25)</f>
        <v>0.0025251040442867594</v>
      </c>
      <c r="C27" s="29">
        <f>AVERAGE(C15:C25)</f>
        <v>0.0027334275061534096</v>
      </c>
      <c r="D27" s="29">
        <f>AVERAGE(D15:D25)</f>
        <v>0.002834157978270745</v>
      </c>
    </row>
    <row r="34" spans="2:4" ht="12.75">
      <c r="B34" s="27"/>
      <c r="C34" s="27"/>
      <c r="D34" s="27"/>
    </row>
    <row r="35" spans="2:4" ht="12.75">
      <c r="B35" s="27"/>
      <c r="C35" s="27"/>
      <c r="D35" s="27"/>
    </row>
    <row r="54" spans="2:4" ht="12.75">
      <c r="B54" s="15"/>
      <c r="C54" s="15"/>
      <c r="D54" s="15"/>
    </row>
    <row r="55" spans="2:4" ht="12.75">
      <c r="B55" s="15"/>
      <c r="C55" s="15"/>
      <c r="D55" s="15"/>
    </row>
  </sheetData>
  <sheetProtection/>
  <printOptions/>
  <pageMargins left="0.38" right="0.75" top="0.73" bottom="0.74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Jennifer Uchmanowicz</cp:lastModifiedBy>
  <cp:lastPrinted>2011-12-29T19:28:05Z</cp:lastPrinted>
  <dcterms:created xsi:type="dcterms:W3CDTF">2008-02-06T18:24:44Z</dcterms:created>
  <dcterms:modified xsi:type="dcterms:W3CDTF">2012-02-15T18:48:26Z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307958618</vt:i4>
  </property>
  <property fmtid="{D5CDD505-2E9C-101B-9397-08002B2CF9AE}" pid="3" name="_EmailSubject">
    <vt:lpwstr>Follow-Up - London Hydro Rate Application</vt:lpwstr>
  </property>
  <property fmtid="{D5CDD505-2E9C-101B-9397-08002B2CF9AE}" pid="4" name="_AuthorEmail">
    <vt:lpwstr>cascians@LondonHydro.com</vt:lpwstr>
  </property>
  <property fmtid="{D5CDD505-2E9C-101B-9397-08002B2CF9AE}" pid="5" name="_AuthorEmailDisplayName">
    <vt:lpwstr>Casciano, Susan</vt:lpwstr>
  </property>
  <property fmtid="{D5CDD505-2E9C-101B-9397-08002B2CF9AE}" pid="6" name="DM_Links_Updated">
    <vt:bool>true</vt:bool>
  </property>
  <property fmtid="{D5CDD505-2E9C-101B-9397-08002B2CF9AE}" pid="7" name="_ReviewingToolsShownOnce">
    <vt:lpwstr/>
  </property>
</Properties>
</file>