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<sst xmlns="http://schemas.openxmlformats.org/spreadsheetml/2006/main" count="838" uniqueCount="485">
  <si>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</si>
  <si>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</si>
  <si>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</si>
  <si>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</si>
  <si>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</si>
  <si>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</si>
  <si>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</si>
  <si>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</si>
  <si>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</si>
  <si>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</si>
  <si>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</si>
  <si>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</si>
  <si>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</si>
  <si>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</si>
  <si>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</si>
  <si>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</si>
  <si>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</si>
  <si>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</si>
  <si>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</si>
  <si>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</si>
  <si>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</si>
  <si>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</si>
  <si>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</si>
  <si>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</si>
  <si>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</si>
  <si>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</si>
  <si>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</si>
  <si>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</si>
  <si>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</si>
  <si>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</si>
  <si>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</si>
  <si>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</si>
  <si>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</si>
  <si>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</si>
  <si>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</si>
  <si>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</si>
  <si>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</si>
  <si>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</si>
  <si>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</si>
  <si>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</si>
  <si>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</si>
  <si>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</si>
  <si>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</si>
  <si>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</si>
  <si>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</si>
  <si>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</si>
  <si>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</si>
  <si>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</si>
  <si>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</si>
  <si>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</si>
  <si>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</si>
  <si>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</si>
  <si>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</si>
  <si>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</si>
  <si>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</si>
  <si>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</si>
  <si>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</si>
  <si>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</si>
  <si>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</si>
  <si>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</si>
  <si>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</si>
  <si>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</si>
  <si>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</si>
  <si>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</si>
  <si>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</si>
  <si>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</si>
  <si>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</si>
  <si>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</si>
  <si>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</si>
  <si>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</si>
  <si>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</si>
  <si>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</si>
  <si>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</si>
  <si>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</si>
  <si>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</si>
  <si>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</si>
  <si>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</si>
  <si>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</si>
  <si>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</si>
  <si>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</si>
  <si>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</si>
  <si>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</si>
  <si>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</si>
  <si>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</si>
  <si>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</si>
  <si>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</si>
  <si>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</si>
  <si>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</si>
  <si>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</si>
  <si>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</si>
  <si>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</si>
  <si>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</si>
  <si>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</si>
  <si>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</si>
  <si>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</si>
  <si>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</si>
  <si>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</si>
  <si>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</si>
  <si>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</si>
  <si>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</si>
  <si>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</si>
  <si>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</si>
  <si>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</si>
  <si>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</si>
  <si>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</si>
  <si>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</si>
  <si>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</si>
  <si>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</si>
  <si>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</si>
  <si>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</si>
  <si>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</si>
  <si>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</si>
  <si>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</si>
  <si>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</si>
  <si>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</si>
  <si>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</si>
  <si>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</si>
  <si>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</si>
  <si>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</si>
  <si>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</si>
  <si>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</si>
  <si>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</si>
  <si>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</si>
  <si>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</si>
  <si>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</si>
  <si>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</si>
  <si>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</si>
  <si>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</si>
  <si>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</si>
  <si>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</si>
  <si>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</si>
  <si>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</si>
  <si>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</si>
  <si>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</si>
  <si>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</si>
  <si>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</si>
  <si>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</si>
  <si>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</si>
  <si>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</si>
  <si>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</si>
  <si>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</si>
  <si>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</si>
  <si>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</si>
  <si>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</si>
  <si>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</si>
  <si>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</si>
  <si>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</si>
  <si>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</si>
  <si>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</si>
  <si>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</si>
  <si>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</si>
  <si>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</si>
  <si>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</si>
  <si>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</si>
  <si>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</si>
  <si>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</si>
  <si>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</si>
  <si>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</si>
  <si>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</si>
  <si>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</si>
  <si>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</si>
  <si>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</si>
  <si>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</si>
  <si>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</si>
  <si>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</si>
  <si>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</si>
  <si>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</si>
  <si>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</si>
  <si>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</si>
  <si>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</si>
  <si>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</si>
  <si>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</si>
  <si>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</si>
  <si>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</si>
  <si>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</si>
  <si>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</si>
  <si>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</si>
  <si>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</si>
  <si>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</si>
  <si>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</si>
  <si>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</si>
  <si>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</si>
  <si>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</si>
  <si>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</si>
  <si>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</si>
  <si>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</si>
  <si>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</si>
  <si>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</si>
  <si>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</si>
  <si>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</si>
  <si>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</si>
  <si>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</si>
  <si>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</si>
  <si>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</si>
  <si>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</si>
  <si>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</si>
  <si>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</si>
  <si>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</si>
  <si>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</si>
  <si>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</si>
  <si>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</si>
  <si>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</si>
  <si>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</si>
  <si>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</si>
  <si>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</si>
  <si>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</si>
  <si>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</si>
  <si>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</si>
  <si>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</si>
  <si>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</si>
  <si>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</si>
  <si>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</si>
  <si>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</si>
  <si>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</si>
  <si>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</si>
  <si>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</si>
  <si>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</si>
  <si>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</si>
  <si>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</si>
  <si>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</si>
  <si>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</si>
  <si>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</si>
  <si>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</si>
  <si>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</si>
  <si>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</si>
  <si>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</si>
  <si>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</si>
  <si>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</si>
  <si>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</si>
  <si>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</si>
  <si>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</si>
  <si>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</si>
  <si>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</si>
  <si>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</si>
  <si>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</si>
  <si>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</si>
  <si>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</si>
  <si>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</si>
  <si>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</si>
  <si>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</si>
  <si>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</si>
  <si>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</si>
  <si>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</si>
  <si>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</si>
  <si>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</si>
  <si>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</si>
  <si>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</si>
  <si>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</si>
  <si>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</si>
  <si>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</si>
  <si>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</si>
  <si>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</si>
  <si>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</si>
  <si>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</si>
  <si>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</si>
  <si>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</si>
  <si>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</si>
  <si>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</si>
  <si>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</si>
  <si>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</si>
  <si>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</si>
  <si>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</si>
  <si>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</si>
  <si>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</si>
  <si>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</si>
  <si>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</si>
  <si>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</si>
  <si>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</si>
  <si>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</si>
  <si>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</si>
  <si>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</si>
  <si>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</si>
  <si>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</si>
  <si>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</si>
  <si>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</si>
  <si>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</si>
  <si>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</si>
  <si>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</si>
  <si>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</si>
  <si>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</si>
  <si>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</si>
  <si>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</si>
  <si>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</si>
  <si>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</si>
  <si>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</si>
  <si>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</si>
  <si>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</si>
  <si>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</si>
  <si>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</si>
  <si>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</si>
  <si>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</si>
  <si>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</si>
  <si>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</si>
  <si>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</si>
  <si>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</si>
  <si>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</si>
  <si>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</si>
  <si>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</si>
  <si>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</si>
  <si>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</si>
  <si>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</si>
  <si>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</si>
  <si>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</si>
  <si>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</si>
  <si>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</si>
  <si>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</si>
  <si>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</si>
  <si>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</si>
  <si>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</si>
  <si>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</si>
  <si>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</si>
  <si>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</si>
  <si>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</si>
  <si>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</si>
  <si>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</si>
  <si>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</si>
  <si>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</si>
  <si>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</si>
  <si>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</si>
  <si>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</si>
  <si>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</si>
  <si>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</si>
  <si>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</si>
  <si>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</si>
  <si>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</si>
  <si>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</si>
  <si>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</si>
  <si>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</si>
  <si>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</si>
  <si>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</si>
  <si>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</si>
  <si>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</si>
  <si>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</si>
  <si>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</si>
  <si>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</si>
  <si>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</si>
  <si>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</si>
  <si>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</si>
  <si>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</si>
  <si>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</si>
  <si>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</si>
  <si>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</si>
  <si>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</si>
  <si>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</si>
  <si>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</si>
  <si>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</si>
  <si>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</si>
  <si>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</si>
  <si>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</si>
  <si>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</si>
  <si>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</si>
  <si>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</si>
  <si>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</si>
  <si>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</si>
  <si>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</si>
  <si>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</si>
  <si>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</si>
  <si>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</si>
  <si>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</si>
  <si>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</si>
  <si>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</si>
  <si>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</si>
  <si>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</si>
  <si>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</si>
  <si>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</si>
  <si>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</si>
  <si>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</si>
  <si>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</si>
  <si>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</si>
  <si>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</si>
  <si>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</si>
  <si>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</si>
  <si>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</si>
  <si>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</si>
  <si>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</si>
  <si>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</si>
  <si>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</si>
  <si>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</si>
  <si>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</si>
  <si>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</si>
  <si>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</si>
  <si>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</si>
  <si>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</si>
  <si>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</si>
  <si>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</si>
  <si>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</si>
  <si>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</si>
  <si>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</si>
  <si>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</si>
  <si>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</si>
  <si>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</si>
  <si>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</si>
  <si>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</si>
  <si>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</si>
  <si>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</si>
  <si>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</si>
  <si>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</si>
  <si>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</si>
  <si>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</si>
  <si>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</si>
  <si>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</si>
  <si>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</si>
  <si>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</si>
  <si>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</si>
  <si>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</si>
  <si>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</si>
  <si>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</si>
  <si>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</si>
  <si>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</si>
  <si>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</si>
  <si>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</si>
  <si>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</si>
  <si>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</si>
  <si>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</si>
  <si>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</si>
  <si>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</si>
  <si>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</si>
  <si>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</si>
  <si>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</si>
  <si>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</si>
  <si>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</si>
  <si>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</si>
  <si>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</si>
  <si>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</si>
  <si>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</si>
  <si>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</si>
  <si>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</si>
  <si>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</si>
  <si>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</si>
  <si>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</si>
  <si>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</si>
  <si>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</si>
  <si>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</si>
  <si>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</si>
  <si>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</si>
  <si>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</si>
  <si>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</si>
  <si>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</si>
  <si>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</si>
  <si>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</si>
  <si>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</si>
  <si>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</si>
  <si>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</si>
  <si>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</si>
  <si>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</si>
  <si>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</si>
  <si>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</si>
  <si>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</si>
  <si>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</si>
  <si>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</si>
  <si>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</si>
  <si>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</si>
  <si>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</si>
  <si>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</si>
  <si>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</si>
  <si>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</si>
  <si>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</si>
  <si>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</si>
  <si>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</si>
  <si>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</si>
  <si>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</si>
  <si>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</si>
  <si>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</si>
  <si>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</si>
  <si>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</si>
  <si>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</si>
  <si>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</si>
  <si>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</si>
  <si>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</si>
  <si>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</si>
  <si>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</si>
  <si>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</si>
  <si>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</si>
  <si>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</si>
  <si>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</si>
  <si>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</si>
  <si>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</si>
  <si>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</si>
  <si>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</si>
  <si>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</si>
  <si>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</si>
  <si>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</si>
  <si>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</si>
  <si>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>Utility Name: Espanola Regional Hydro Distribution Corporation</t>
  </si>
  <si>
    <t>Interest deducted on MoF filing  Amended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</si>
</sst>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49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4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2" fillId="0" borderId="0" xfId="0" applyNumberFormat="1" applyFont="1" applyBorder="1" applyAlignment="1">
      <alignment horizontal="center"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vertical="top" wrapText="1"/>
    </xf>
    <xf numFmtId="0" fontId="63" fillId="44" borderId="0" xfId="0" applyFont="1" applyFill="1" applyBorder="1" applyAlignment="1" applyProtection="1" quotePrefix="1">
      <alignment vertical="top" wrapText="1"/>
      <protection/>
    </xf>
    <xf numFmtId="0" fontId="64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24" xfId="0" applyFont="1" applyFill="1" applyBorder="1" applyAlignment="1" applyProtection="1">
      <alignment vertical="top"/>
      <protection/>
    </xf>
    <xf numFmtId="0" fontId="66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37" fontId="3" fillId="0" borderId="14" xfId="0" applyNumberFormat="1" applyFont="1" applyFill="1" applyBorder="1" applyAlignment="1" applyProtection="1">
      <alignment/>
      <protection/>
    </xf>
    <xf numFmtId="0" fontId="67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5">
      <selection activeCell="A21" sqref="A21:A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450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483</v>
      </c>
      <c r="C3" s="8"/>
      <c r="D3" s="438" t="s">
        <v>436</v>
      </c>
      <c r="E3" s="8"/>
      <c r="F3" s="8"/>
      <c r="G3" s="8"/>
      <c r="H3" s="8"/>
    </row>
    <row r="4" spans="1:8" ht="12.75">
      <c r="A4" s="2" t="s">
        <v>469</v>
      </c>
      <c r="C4" s="8"/>
      <c r="D4" s="437" t="s">
        <v>431</v>
      </c>
      <c r="E4" s="411"/>
      <c r="H4" s="8"/>
    </row>
    <row r="5" spans="1:8" ht="12.75">
      <c r="A5" s="52"/>
      <c r="C5" s="8"/>
      <c r="D5" s="436" t="s">
        <v>432</v>
      </c>
      <c r="E5" s="382"/>
      <c r="H5" s="8"/>
    </row>
    <row r="6" spans="1:8" ht="12.75">
      <c r="A6" s="2" t="s">
        <v>125</v>
      </c>
      <c r="B6" s="372">
        <v>366</v>
      </c>
      <c r="C6" s="8" t="s">
        <v>126</v>
      </c>
      <c r="D6" s="21"/>
      <c r="H6" s="8"/>
    </row>
    <row r="7" spans="1:8" ht="13.5" thickBot="1">
      <c r="A7" s="52" t="s">
        <v>254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3" t="s">
        <v>310</v>
      </c>
      <c r="C18" s="8"/>
      <c r="D18" s="8"/>
    </row>
    <row r="19" spans="1:4" ht="15" customHeight="1">
      <c r="A19" s="487" t="s">
        <v>311</v>
      </c>
      <c r="B19" s="8" t="s">
        <v>308</v>
      </c>
      <c r="C19" s="8" t="s">
        <v>63</v>
      </c>
      <c r="D19" s="372"/>
    </row>
    <row r="20" spans="1:4" ht="13.5" thickBot="1">
      <c r="A20" s="488"/>
      <c r="B20" s="8" t="s">
        <v>309</v>
      </c>
      <c r="C20" s="8" t="s">
        <v>63</v>
      </c>
      <c r="D20" s="257"/>
    </row>
    <row r="21" spans="1:4" ht="12.75">
      <c r="A21" s="487" t="s">
        <v>307</v>
      </c>
      <c r="B21" s="8" t="s">
        <v>308</v>
      </c>
      <c r="C21" s="8"/>
      <c r="D21" s="406">
        <v>1</v>
      </c>
    </row>
    <row r="22" spans="1:4" ht="12.75">
      <c r="A22" s="487"/>
      <c r="B22" s="8" t="s">
        <v>309</v>
      </c>
      <c r="C22" s="8"/>
      <c r="D22" s="406">
        <v>1</v>
      </c>
    </row>
    <row r="23" spans="1:4" ht="7.5" customHeight="1">
      <c r="A23" s="45"/>
      <c r="C23" s="8"/>
      <c r="D23" s="372"/>
    </row>
    <row r="24" spans="1:4" ht="12.75">
      <c r="A24" s="45" t="s">
        <v>211</v>
      </c>
      <c r="C24" s="8" t="s">
        <v>212</v>
      </c>
      <c r="D24" s="407" t="s">
        <v>470</v>
      </c>
    </row>
    <row r="25" ht="6.75" customHeight="1" thickBot="1">
      <c r="A25" s="12"/>
    </row>
    <row r="26" spans="1:5" ht="12.75">
      <c r="A26" s="254" t="s">
        <v>66</v>
      </c>
      <c r="C26" s="8"/>
      <c r="E26" s="426" t="s">
        <v>295</v>
      </c>
    </row>
    <row r="27" spans="1:5" ht="12.75">
      <c r="A27" s="255" t="s">
        <v>67</v>
      </c>
      <c r="C27" s="8"/>
      <c r="E27" s="427" t="s">
        <v>296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285</v>
      </c>
      <c r="D31" s="404">
        <v>2668643</v>
      </c>
      <c r="H31" s="5"/>
    </row>
    <row r="32" ht="6" customHeight="1"/>
    <row r="33" spans="1:8" ht="12.75">
      <c r="A33" t="s">
        <v>70</v>
      </c>
      <c r="D33" s="405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5">
        <v>0.0988</v>
      </c>
      <c r="H37" s="41"/>
    </row>
    <row r="38" ht="4.5" customHeight="1">
      <c r="H38" s="34"/>
    </row>
    <row r="39" spans="1:8" ht="12.75">
      <c r="A39" t="s">
        <v>73</v>
      </c>
      <c r="D39" s="405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228569.27295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8">
        <v>656</v>
      </c>
      <c r="E43" s="371">
        <f>D43</f>
        <v>656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227913.27295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9">
        <v>75971</v>
      </c>
      <c r="E47" s="371">
        <f aca="true" t="shared" si="0" ref="E47:E53">D47</f>
        <v>75971</v>
      </c>
      <c r="H47" s="40"/>
      <c r="J47" s="5"/>
      <c r="K47" s="5"/>
    </row>
    <row r="48" spans="1:11" ht="12.75">
      <c r="A48" t="s">
        <v>288</v>
      </c>
      <c r="D48" s="409">
        <v>75971</v>
      </c>
      <c r="E48" s="371">
        <f>D48</f>
        <v>75971</v>
      </c>
      <c r="F48" s="22"/>
      <c r="H48" s="40"/>
      <c r="J48" s="5"/>
      <c r="K48" s="5"/>
    </row>
    <row r="49" spans="1:11" ht="12.75">
      <c r="A49" t="s">
        <v>289</v>
      </c>
      <c r="D49" s="410"/>
      <c r="E49" s="371">
        <v>0</v>
      </c>
      <c r="F49" s="22"/>
      <c r="H49" s="40"/>
      <c r="J49" s="5"/>
      <c r="K49" s="5"/>
    </row>
    <row r="50" spans="1:11" ht="12.75">
      <c r="A50" t="s">
        <v>290</v>
      </c>
      <c r="D50" s="411"/>
      <c r="E50" s="371">
        <f t="shared" si="0"/>
        <v>0</v>
      </c>
      <c r="H50" s="40"/>
      <c r="J50" s="5"/>
      <c r="K50" s="5"/>
    </row>
    <row r="51" spans="1:11" ht="12.75">
      <c r="A51" t="s">
        <v>428</v>
      </c>
      <c r="D51" s="411"/>
      <c r="E51" s="371">
        <f t="shared" si="0"/>
        <v>0</v>
      </c>
      <c r="H51" s="40"/>
      <c r="J51" s="5"/>
      <c r="K51" s="5"/>
    </row>
    <row r="52" spans="1:11" ht="12.75">
      <c r="A52" t="s">
        <v>451</v>
      </c>
      <c r="D52" s="411"/>
      <c r="E52" s="371">
        <f t="shared" si="0"/>
        <v>0</v>
      </c>
      <c r="H52" s="40"/>
      <c r="J52" s="5"/>
      <c r="K52" s="5"/>
    </row>
    <row r="53" spans="4:11" ht="12.75">
      <c r="D53" s="411"/>
      <c r="E53" s="371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152598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1334321.5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131830.9642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1334321.5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96738.30875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32431.15878575598</v>
      </c>
      <c r="F64" s="5"/>
      <c r="H64" s="32"/>
      <c r="J64" s="5"/>
      <c r="K64" s="5"/>
    </row>
    <row r="65" spans="1:11" ht="12.75">
      <c r="A65" s="33" t="s">
        <v>368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64584.67600700525</v>
      </c>
      <c r="F66" s="5"/>
      <c r="H66" s="32"/>
      <c r="J66" s="5"/>
      <c r="K66" s="5"/>
    </row>
    <row r="67" spans="1:11" ht="12.75">
      <c r="A67" s="33" t="s">
        <v>369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64584.67600700525</v>
      </c>
      <c r="F68" s="5"/>
      <c r="H68" s="32"/>
      <c r="J68" s="5"/>
    </row>
    <row r="69" spans="1:10" ht="12.75">
      <c r="A69" s="33" t="s">
        <v>370</v>
      </c>
      <c r="B69" s="5"/>
      <c r="C69" s="5"/>
      <c r="D69" s="5"/>
      <c r="F69" s="5"/>
      <c r="H69" s="32"/>
      <c r="J69" s="5"/>
    </row>
    <row r="70" spans="1:10" ht="12.75">
      <c r="A70" s="45" t="s">
        <v>437</v>
      </c>
      <c r="B70" s="5"/>
      <c r="C70" s="5"/>
      <c r="D70" s="252">
        <f>D62</f>
        <v>96738.30875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62">
      <selection activeCell="A21" sqref="A21:A2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43.0039062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453</v>
      </c>
      <c r="H1" s="209"/>
    </row>
    <row r="2" spans="1:8" ht="12.75">
      <c r="A2" s="210" t="s">
        <v>452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454</v>
      </c>
      <c r="H2" s="216"/>
    </row>
    <row r="3" spans="1:8" ht="12.75">
      <c r="A3" s="2" t="s">
        <v>483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/>
      <c r="B6" s="115"/>
      <c r="D6" s="137"/>
      <c r="E6" s="115"/>
      <c r="G6" s="115"/>
      <c r="H6" s="448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8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2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254</v>
      </c>
      <c r="B10" s="412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8">
        <f>REGINFO!E54</f>
        <v>152598</v>
      </c>
      <c r="D16" s="17"/>
      <c r="E16" s="266">
        <f>G16-C16</f>
        <v>-103427</v>
      </c>
      <c r="F16" s="3"/>
      <c r="G16" s="266">
        <f>TAXREC!E50</f>
        <v>49171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151234</v>
      </c>
      <c r="D20" s="18"/>
      <c r="E20" s="266">
        <f>G20-C20</f>
        <v>42930</v>
      </c>
      <c r="F20" s="6"/>
      <c r="G20" s="266">
        <f>TAXREC!E61</f>
        <v>194164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260">
        <v>10537</v>
      </c>
      <c r="D24" s="18"/>
      <c r="E24" s="266">
        <f>G24-C24</f>
        <v>-10537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64" t="s">
        <v>384</v>
      </c>
      <c r="B30" s="127"/>
      <c r="C30" s="258"/>
      <c r="D30" s="18"/>
      <c r="E30" s="266">
        <f>G30-C30</f>
        <v>24395</v>
      </c>
      <c r="F30" s="6"/>
      <c r="G30" s="266">
        <f>TAXREC!E66</f>
        <v>24395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111508</v>
      </c>
      <c r="D33" s="132"/>
      <c r="E33" s="266">
        <f aca="true" t="shared" si="0" ref="E33:E42">G33-C33</f>
        <v>-8863</v>
      </c>
      <c r="F33" s="6"/>
      <c r="G33" s="266">
        <f>TAXREC!E97+TAXREC!E98</f>
        <v>102645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260">
        <v>23802</v>
      </c>
      <c r="D36" s="132"/>
      <c r="E36" s="266">
        <f t="shared" si="0"/>
        <v>-23802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64584.67600700525</v>
      </c>
      <c r="D37" s="132"/>
      <c r="E37" s="266">
        <f t="shared" si="0"/>
        <v>109093.32399299476</v>
      </c>
      <c r="F37" s="6"/>
      <c r="G37" s="266">
        <f>TAXREC!E51</f>
        <v>173678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4" t="s">
        <v>384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2">
        <f>C16+SUM(C20:C30)-SUM(C33:C48)</f>
        <v>114474.32399299476</v>
      </c>
      <c r="D50" s="102"/>
      <c r="E50" s="262">
        <f>E16+SUM(E20:E30)-SUM(E33:E48)</f>
        <v>-123067.32399299476</v>
      </c>
      <c r="F50" s="414" t="s">
        <v>357</v>
      </c>
      <c r="G50" s="262">
        <f>G16+SUM(G20:G30)-SUM(G33:G48)</f>
        <v>-8593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1">
        <f>IF($C$50&gt;'Tax Rates'!$E$11,'Tax Rates'!$F$16,IF($C$50&gt;'Tax Rates'!$C$11,'Tax Rates'!$E$16,'Tax Rates'!$C$16))</f>
        <v>0.1912</v>
      </c>
      <c r="D53" s="102"/>
      <c r="E53" s="267">
        <f>+G53-C53</f>
        <v>-0.1912</v>
      </c>
      <c r="F53" s="114"/>
      <c r="G53" s="456">
        <f>TAXREC!E151</f>
        <v>0</v>
      </c>
      <c r="H53" s="151"/>
      <c r="I53" s="453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21887.4907474606</v>
      </c>
      <c r="D55" s="102"/>
      <c r="E55" s="266">
        <f>G55-C55</f>
        <v>-21887.4907474606</v>
      </c>
      <c r="F55" s="414" t="s">
        <v>358</v>
      </c>
      <c r="G55" s="263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4" t="s">
        <v>358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21887.4907474606</v>
      </c>
      <c r="D60" s="133"/>
      <c r="E60" s="268">
        <f>+E55-E58</f>
        <v>-21887.4907474606</v>
      </c>
      <c r="F60" s="414" t="s">
        <v>358</v>
      </c>
      <c r="G60" s="268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2668643</v>
      </c>
      <c r="D66" s="102"/>
      <c r="E66" s="266">
        <f>G66-C66</f>
        <v>-2668643</v>
      </c>
      <c r="F66" s="6"/>
      <c r="G66" s="458"/>
      <c r="H66" s="151"/>
      <c r="I66" s="459"/>
    </row>
    <row r="67" spans="1:10" ht="12.75">
      <c r="A67" s="152" t="s">
        <v>350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v>5000000</v>
      </c>
      <c r="H67" s="151"/>
      <c r="I67" s="459"/>
      <c r="J67" s="474"/>
    </row>
    <row r="68" spans="1:8" ht="12.75">
      <c r="A68" s="152" t="s">
        <v>42</v>
      </c>
      <c r="B68" s="125"/>
      <c r="C68" s="263">
        <f>IF((C66-C67)&gt;0,C66-C67,0)</f>
        <v>0</v>
      </c>
      <c r="D68" s="102"/>
      <c r="E68" s="266">
        <f>SUM(E66:E67)</f>
        <v>-2668643</v>
      </c>
      <c r="F68" s="114"/>
      <c r="G68" s="263">
        <f>G66-G67</f>
        <v>-5000000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3">
        <f>IF(C68&gt;0,C68*C70,0)*REGINFO!$B$6/REGINFO!$B$7</f>
        <v>0</v>
      </c>
      <c r="D72" s="101"/>
      <c r="E72" s="266">
        <f>+G72-C72</f>
        <v>0</v>
      </c>
      <c r="F72" s="460"/>
      <c r="G72" s="263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2668643</v>
      </c>
      <c r="D75" s="102"/>
      <c r="E75" s="266">
        <f>+G75-C75</f>
        <v>-2668643</v>
      </c>
      <c r="F75" s="6"/>
      <c r="G75" s="458"/>
      <c r="H75" s="151"/>
      <c r="I75" s="459"/>
    </row>
    <row r="76" spans="1:9" ht="12.75">
      <c r="A76" s="152" t="s">
        <v>350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9"/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-12668643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0">
        <f>'Tax Rates'!C19</f>
        <v>0.00225</v>
      </c>
      <c r="D79" s="102"/>
      <c r="E79" s="267">
        <f>G79-C79</f>
        <v>-0.00225</v>
      </c>
      <c r="F79" s="6"/>
      <c r="G79" s="267">
        <f>'Tax Rates'!C55</f>
        <v>0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314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Rates'!C16</f>
        <v>0.1912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359</v>
      </c>
      <c r="B90" s="127">
        <v>22</v>
      </c>
      <c r="C90" s="263">
        <f>C60/(1-C88)</f>
        <v>27061.684900421118</v>
      </c>
      <c r="D90" s="20"/>
      <c r="E90" s="139"/>
      <c r="F90" s="413" t="s">
        <v>471</v>
      </c>
      <c r="G90" s="269">
        <f>TAXREC!E156</f>
        <v>0</v>
      </c>
      <c r="H90" s="151"/>
    </row>
    <row r="91" spans="1:8" ht="12.75">
      <c r="A91" s="158" t="s">
        <v>360</v>
      </c>
      <c r="B91" s="127">
        <v>23</v>
      </c>
      <c r="C91" s="263">
        <f>C84/(1-C88)</f>
        <v>0</v>
      </c>
      <c r="D91" s="20"/>
      <c r="E91" s="139"/>
      <c r="F91" s="413" t="s">
        <v>471</v>
      </c>
      <c r="G91" s="269">
        <f>TAXREC!E158</f>
        <v>0</v>
      </c>
      <c r="H91" s="151"/>
    </row>
    <row r="92" spans="1:8" ht="12.75">
      <c r="A92" s="158" t="s">
        <v>342</v>
      </c>
      <c r="B92" s="127">
        <v>24</v>
      </c>
      <c r="C92" s="263">
        <f>C72</f>
        <v>0</v>
      </c>
      <c r="D92" s="20"/>
      <c r="E92" s="139"/>
      <c r="F92" s="413" t="s">
        <v>471</v>
      </c>
      <c r="G92" s="269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68">
        <f>SUM(C90:C93)</f>
        <v>27061.684900421118</v>
      </c>
      <c r="D95" s="6"/>
      <c r="E95" s="139"/>
      <c r="F95" s="413" t="s">
        <v>471</v>
      </c>
      <c r="G95" s="396">
        <f>SUM(G90:G94)</f>
        <v>0</v>
      </c>
      <c r="H95" s="164"/>
    </row>
    <row r="96" spans="1:8" ht="12.75">
      <c r="A96" s="387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-10537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-23802</v>
      </c>
      <c r="F111" s="37"/>
      <c r="G111" s="200"/>
      <c r="H111" s="164"/>
    </row>
    <row r="112" spans="1:8" ht="12.75">
      <c r="A112" s="155" t="s">
        <v>467</v>
      </c>
      <c r="B112" s="127">
        <v>11</v>
      </c>
      <c r="C112" s="112"/>
      <c r="D112" s="3"/>
      <c r="E112" s="455">
        <f>E206</f>
        <v>74623.69125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-61358.69125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482</v>
      </c>
      <c r="B122" s="127"/>
      <c r="C122" s="112"/>
      <c r="D122" s="3" t="s">
        <v>230</v>
      </c>
      <c r="E122" s="452">
        <f>'Tax Rates'!C34</f>
        <v>0.1862</v>
      </c>
      <c r="F122" s="453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-11424.98831075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-11424.98831075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311">
        <f>'Tax Rates'!C34-'Tax Rates'!C38</f>
        <v>0.17500000000000002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-13848.470679696971</v>
      </c>
      <c r="F132" s="37"/>
      <c r="G132" s="200"/>
      <c r="H132" s="164"/>
      <c r="I132" s="479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114474.32399299476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'Tax Rates'!C34</f>
        <v>0.1862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21315.119127495625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21315.119127495625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21887.4907474606</v>
      </c>
      <c r="F146" s="37"/>
      <c r="G146" s="200"/>
      <c r="H146" s="164"/>
    </row>
    <row r="147" spans="1:9" ht="12.75">
      <c r="A147" s="171"/>
      <c r="B147" s="130"/>
      <c r="C147" s="112"/>
      <c r="D147" s="119"/>
      <c r="E147" s="144"/>
      <c r="F147" s="37"/>
      <c r="G147" s="200"/>
      <c r="H147" s="164"/>
      <c r="I147" s="479"/>
    </row>
    <row r="148" spans="1:8" ht="12.75">
      <c r="A148" s="171" t="s">
        <v>231</v>
      </c>
      <c r="B148" s="130"/>
      <c r="C148" s="112"/>
      <c r="D148" s="118" t="s">
        <v>188</v>
      </c>
      <c r="E148" s="301">
        <f>E144-E146</f>
        <v>-572.3716199649753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70" t="s">
        <v>20</v>
      </c>
      <c r="B150" s="130"/>
      <c r="C150" s="112"/>
      <c r="D150" s="119"/>
      <c r="E150" s="463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2668643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-2331357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80" t="s">
        <v>480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0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187</v>
      </c>
      <c r="E158" s="304">
        <f>C72</f>
        <v>0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7">
        <f>E157-E158</f>
        <v>0</v>
      </c>
      <c r="F159" s="37"/>
      <c r="G159" s="200"/>
      <c r="H159" s="164"/>
      <c r="I159" s="479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0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2668643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-47331357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80" t="s">
        <v>479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187</v>
      </c>
      <c r="E169" s="306">
        <f>IF(E164&gt;0,IF(E144&gt;0,E136*'Tax Rates'!C56,0),0)</f>
        <v>0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7" t="s">
        <v>341</v>
      </c>
      <c r="B172" s="130"/>
      <c r="C172" s="112"/>
      <c r="D172" s="118" t="s">
        <v>187</v>
      </c>
      <c r="E172" s="304">
        <f>C84</f>
        <v>0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7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339</v>
      </c>
      <c r="B175" s="130"/>
      <c r="C175" s="112"/>
      <c r="D175" s="119"/>
      <c r="E175" s="452">
        <f>'Tax Rates'!C34-'Tax Rates'!C38</f>
        <v>0.17500000000000002</v>
      </c>
      <c r="F175" s="453"/>
      <c r="G175" s="200"/>
      <c r="H175" s="164"/>
      <c r="I175" s="479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9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-693.7837817757276</v>
      </c>
      <c r="F177" s="37"/>
      <c r="G177" s="200"/>
      <c r="H177" s="164"/>
      <c r="I177" s="479"/>
    </row>
    <row r="178" spans="1:9" ht="12.75">
      <c r="A178" s="168" t="s">
        <v>33</v>
      </c>
      <c r="B178" s="130"/>
      <c r="C178" s="112"/>
      <c r="D178" s="119" t="s">
        <v>186</v>
      </c>
      <c r="E178" s="301">
        <f>IF(E164&gt;0,E173/(1-E175),-C91)</f>
        <v>0</v>
      </c>
      <c r="F178" s="37"/>
      <c r="G178" s="200"/>
      <c r="H178" s="164"/>
      <c r="I178" s="479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188</v>
      </c>
      <c r="E181" s="467">
        <f>SUM(E177:E179)</f>
        <v>-693.7837817757276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466</v>
      </c>
      <c r="B183" s="130"/>
      <c r="C183" s="112"/>
      <c r="D183" s="119" t="s">
        <v>186</v>
      </c>
      <c r="E183" s="467">
        <f>E132</f>
        <v>-13848.470679696971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82" t="s">
        <v>345</v>
      </c>
      <c r="B185" s="130"/>
      <c r="C185" s="112"/>
      <c r="D185" s="119" t="s">
        <v>188</v>
      </c>
      <c r="E185" s="485">
        <f>E181+E183</f>
        <v>-14542.2544614727</v>
      </c>
      <c r="F185" s="37"/>
      <c r="G185" s="200"/>
      <c r="H185" s="164"/>
    </row>
    <row r="186" spans="1:8" ht="12.75">
      <c r="A186" s="483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96738.30875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64584.67600700525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7">
        <f>E193-E194</f>
        <v>32153.63274299475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72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486" t="s">
        <v>484</v>
      </c>
      <c r="B201" s="127"/>
      <c r="C201" s="112"/>
      <c r="D201" s="120"/>
      <c r="E201" s="307">
        <f>171362</f>
        <v>171362</v>
      </c>
      <c r="F201" s="3"/>
      <c r="G201" s="472"/>
      <c r="H201" s="164"/>
    </row>
    <row r="202" spans="1:8" ht="12.75">
      <c r="A202" s="481" t="s">
        <v>481</v>
      </c>
      <c r="B202" s="127"/>
      <c r="C202" s="112"/>
      <c r="D202" s="120"/>
      <c r="E202" s="473">
        <f>REGINFO!D62</f>
        <v>96738.30875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74623.69125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468</v>
      </c>
      <c r="B206" s="127"/>
      <c r="C206" s="112"/>
      <c r="D206" s="120"/>
      <c r="E206" s="454">
        <f>IF((E201-E202)&gt;0,E201-E202,0)</f>
        <v>74623.69125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-42470.058507005255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12">
      <selection activeCell="A21" sqref="A21:A2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Espanola Regional Hydro Distribution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8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0">
        <f>Ratebase*REGINFO!D33*0.0025</f>
        <v>3335.80375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3" t="s">
        <v>321</v>
      </c>
      <c r="B23" s="384"/>
      <c r="C23" s="385"/>
      <c r="D23" s="386"/>
      <c r="E23" s="28"/>
      <c r="F23" s="11"/>
      <c r="G23" s="11"/>
      <c r="H23" s="6"/>
      <c r="I23" s="6"/>
    </row>
    <row r="24" spans="1:9" ht="12.75">
      <c r="A24" s="383" t="s">
        <v>257</v>
      </c>
      <c r="B24" s="384"/>
      <c r="C24" s="385"/>
      <c r="D24" s="386"/>
      <c r="E24" s="28"/>
      <c r="F24" s="11"/>
      <c r="G24" s="11"/>
      <c r="H24" s="6"/>
      <c r="I24" s="6"/>
    </row>
    <row r="25" spans="1:9" ht="12.75">
      <c r="A25" s="383" t="s">
        <v>222</v>
      </c>
      <c r="B25" s="384"/>
      <c r="C25" s="385"/>
      <c r="D25" s="386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3" t="s">
        <v>319</v>
      </c>
      <c r="B27" s="384"/>
      <c r="C27" s="385"/>
      <c r="D27" s="386"/>
      <c r="E27" s="28"/>
      <c r="F27" s="11"/>
      <c r="G27" s="11"/>
      <c r="H27" s="6"/>
      <c r="I27" s="6"/>
    </row>
    <row r="28" spans="1:9" ht="12.75">
      <c r="A28" s="383" t="s">
        <v>320</v>
      </c>
      <c r="B28" s="384"/>
      <c r="C28" s="385"/>
      <c r="D28" s="38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186</v>
      </c>
      <c r="C31" s="284">
        <v>4322479</v>
      </c>
      <c r="D31" s="285"/>
      <c r="E31" s="283">
        <f>C31-D31</f>
        <v>4322479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923269</v>
      </c>
      <c r="D32" s="285"/>
      <c r="E32" s="283">
        <f>C32-D32</f>
        <v>923269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77440</v>
      </c>
      <c r="D33" s="285"/>
      <c r="E33" s="283">
        <f>C33-D33</f>
        <v>77440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4322479</v>
      </c>
      <c r="D39" s="285"/>
      <c r="E39" s="283">
        <f>C39-D39</f>
        <v>4322479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v>424652</v>
      </c>
      <c r="D40" s="285"/>
      <c r="E40" s="283">
        <f aca="true" t="shared" si="0" ref="E40:E48">C40-D40</f>
        <v>424652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4">
        <v>310859</v>
      </c>
      <c r="D42" s="285"/>
      <c r="E42" s="283">
        <f t="shared" si="0"/>
        <v>310859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4">
        <v>216027</v>
      </c>
      <c r="D43" s="285"/>
      <c r="E43" s="283">
        <f t="shared" si="0"/>
        <v>216027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76"/>
      <c r="B45" s="23" t="s">
        <v>187</v>
      </c>
      <c r="C45" s="284"/>
      <c r="D45" s="285"/>
      <c r="E45" s="283">
        <f t="shared" si="0"/>
        <v>0</v>
      </c>
      <c r="F45" s="11"/>
      <c r="G45" s="475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49171</v>
      </c>
      <c r="D50" s="280">
        <f>SUM(D31:D36)-SUM(D39:D49)</f>
        <v>0</v>
      </c>
      <c r="E50" s="280">
        <f>SUM(E31:E35)-SUM(E39:E48)</f>
        <v>49171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v>173678</v>
      </c>
      <c r="D51" s="284"/>
      <c r="E51" s="281">
        <f>+C51-D51</f>
        <v>173678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/>
      <c r="D52" s="284"/>
      <c r="E52" s="282">
        <f>+C52-D52</f>
        <v>0</v>
      </c>
      <c r="F52" s="8"/>
      <c r="G52" s="398"/>
    </row>
    <row r="53" spans="1:6" ht="12.75">
      <c r="A53" s="2" t="s">
        <v>130</v>
      </c>
      <c r="B53" s="8" t="s">
        <v>188</v>
      </c>
      <c r="C53" s="280">
        <f>C50-C51-C52</f>
        <v>-124507</v>
      </c>
      <c r="D53" s="280">
        <f>D50-D51-D52</f>
        <v>0</v>
      </c>
      <c r="E53" s="280">
        <f>E50-E51-E52</f>
        <v>-124507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0</v>
      </c>
      <c r="D59" s="286">
        <f>D52</f>
        <v>0</v>
      </c>
      <c r="E59" s="271">
        <f>+C59-D59</f>
        <v>0</v>
      </c>
      <c r="F59" s="8"/>
      <c r="G59" s="398"/>
    </row>
    <row r="60" spans="1:6" ht="12.75">
      <c r="A60" s="4" t="s">
        <v>322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C43-21863</f>
        <v>194164</v>
      </c>
      <c r="D61" s="286">
        <f>D43</f>
        <v>0</v>
      </c>
      <c r="E61" s="271">
        <f>+C61-D61</f>
        <v>194164</v>
      </c>
      <c r="F61" s="8"/>
      <c r="G61" s="398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277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433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50" t="s">
        <v>384</v>
      </c>
      <c r="B66" s="8"/>
      <c r="C66" s="429">
        <f>'TAXREC 3 No True-up'!C47</f>
        <v>24395</v>
      </c>
      <c r="D66" s="429">
        <f>'TAXREC 3 No True-up'!D47</f>
        <v>0</v>
      </c>
      <c r="E66" s="271">
        <f>+C66-D66</f>
        <v>24395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218559</v>
      </c>
      <c r="D70" s="271">
        <f>SUM(D59:D68)</f>
        <v>0</v>
      </c>
      <c r="E70" s="271">
        <f>SUM(E59:E68)</f>
        <v>218559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5">
        <v>0</v>
      </c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218559</v>
      </c>
      <c r="D82" s="250">
        <f>D70+D80</f>
        <v>0</v>
      </c>
      <c r="E82" s="250">
        <f>E70+E80</f>
        <v>218559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421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102645</v>
      </c>
      <c r="D97" s="293"/>
      <c r="E97" s="271">
        <f>+C97-D97</f>
        <v>102645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0" t="s">
        <v>384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102645</v>
      </c>
      <c r="D113" s="250">
        <f>SUM(D97:D111)</f>
        <v>0</v>
      </c>
      <c r="E113" s="250">
        <f>SUM(E97:E111)</f>
        <v>102645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7"/>
      <c r="B117" s="8" t="s">
        <v>187</v>
      </c>
      <c r="C117" s="293"/>
      <c r="D117" s="293"/>
      <c r="E117" s="271">
        <f>+C117-D117</f>
        <v>0</v>
      </c>
      <c r="F117" s="8"/>
      <c r="G117" s="478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102645</v>
      </c>
      <c r="D122" s="250">
        <f>D113+D120</f>
        <v>0</v>
      </c>
      <c r="E122" s="250">
        <f>+E113+E120</f>
        <v>102645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-8593</v>
      </c>
      <c r="D134" s="250">
        <f>D53+D82-D122</f>
        <v>0</v>
      </c>
      <c r="E134" s="250">
        <f>E53+E82-E122</f>
        <v>-8593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365</v>
      </c>
      <c r="B136" s="8" t="s">
        <v>187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366</v>
      </c>
      <c r="B137" s="8" t="s">
        <v>187</v>
      </c>
      <c r="C137" s="309"/>
      <c r="D137" s="309"/>
      <c r="E137" s="37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-8593</v>
      </c>
      <c r="D139" s="251">
        <f>D134-D136-D137-D138</f>
        <v>0</v>
      </c>
      <c r="E139" s="251">
        <f>E134-E136-E137-E138</f>
        <v>-8593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7"/>
      <c r="D142" s="469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297"/>
      <c r="D143" s="469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0</v>
      </c>
      <c r="D144" s="251"/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7">
        <v>0</v>
      </c>
      <c r="D145" s="469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8"/>
      <c r="D149" s="5"/>
      <c r="E149" s="389">
        <f>C149</f>
        <v>0</v>
      </c>
      <c r="F149" s="8"/>
      <c r="G149" s="466"/>
      <c r="H149" s="45"/>
      <c r="I149" s="45"/>
      <c r="J149" s="45"/>
      <c r="K149" s="45"/>
    </row>
    <row r="150" spans="1:11" ht="12.75">
      <c r="A150" s="46" t="s">
        <v>325</v>
      </c>
      <c r="B150" s="8"/>
      <c r="C150" s="388"/>
      <c r="D150" s="5"/>
      <c r="E150" s="389">
        <f>C150</f>
        <v>0</v>
      </c>
      <c r="F150" s="8"/>
      <c r="G150" s="466"/>
      <c r="H150" s="45"/>
      <c r="I150" s="45"/>
      <c r="J150" s="45"/>
      <c r="K150" s="45"/>
    </row>
    <row r="151" spans="1:11" ht="12.75">
      <c r="A151" t="s">
        <v>326</v>
      </c>
      <c r="B151" s="8"/>
      <c r="C151" s="389">
        <f>SUM(C149:C150)</f>
        <v>0</v>
      </c>
      <c r="D151" s="5"/>
      <c r="E151" s="389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462</v>
      </c>
      <c r="B155" s="8"/>
    </row>
    <row r="156" spans="1:5" ht="12.75">
      <c r="A156" t="s">
        <v>218</v>
      </c>
      <c r="B156" s="86" t="s">
        <v>186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186</v>
      </c>
      <c r="C157" s="462"/>
      <c r="D157" s="250"/>
      <c r="E157" s="250">
        <f>C157+D157</f>
        <v>0</v>
      </c>
    </row>
    <row r="158" spans="1:5" ht="12.75">
      <c r="A158" t="s">
        <v>217</v>
      </c>
      <c r="B158" s="86" t="s">
        <v>186</v>
      </c>
      <c r="C158" s="462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188</v>
      </c>
      <c r="C160" s="250">
        <f>C156+C157+C158</f>
        <v>0</v>
      </c>
      <c r="D160" s="250">
        <f>D156+D157+D158</f>
        <v>0</v>
      </c>
      <c r="E160" s="250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3" horizontalDpi="600" verticalDpi="600" orientation="portrait" scale="72" r:id="rId1"/>
  <rowBreaks count="2" manualBreakCount="2">
    <brk id="71" max="5" man="1"/>
    <brk id="1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21" sqref="A21:A2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s="484"/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Espanola Regional Hydro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438</v>
      </c>
      <c r="B18" s="61"/>
      <c r="C18" s="293"/>
      <c r="D18" s="293"/>
      <c r="E18" s="250">
        <f t="shared" si="0"/>
        <v>0</v>
      </c>
    </row>
    <row r="19" spans="1:5" ht="12.75">
      <c r="A19" s="61" t="s">
        <v>438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438</v>
      </c>
      <c r="B30" s="61"/>
      <c r="C30" s="293"/>
      <c r="D30" s="293"/>
      <c r="E30" s="250">
        <f t="shared" si="1"/>
        <v>0</v>
      </c>
    </row>
    <row r="31" spans="1:5" ht="12.75">
      <c r="A31" s="61" t="s">
        <v>438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438</v>
      </c>
      <c r="B47" s="61"/>
      <c r="C47" s="293"/>
      <c r="D47" s="293"/>
      <c r="E47" s="250">
        <f t="shared" si="2"/>
        <v>0</v>
      </c>
    </row>
    <row r="48" spans="1:5" ht="12.75">
      <c r="A48" s="61" t="s">
        <v>438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3"/>
      <c r="D55" s="293"/>
      <c r="E55" s="250">
        <f t="shared" si="3"/>
        <v>0</v>
      </c>
    </row>
    <row r="56" spans="1:5" ht="12.75">
      <c r="A56" s="245" t="s">
        <v>266</v>
      </c>
      <c r="B56" s="61"/>
      <c r="C56" s="293"/>
      <c r="D56" s="293"/>
      <c r="E56" s="250">
        <f t="shared" si="3"/>
        <v>0</v>
      </c>
    </row>
    <row r="57" spans="1:5" ht="12.75">
      <c r="A57" s="245" t="s">
        <v>267</v>
      </c>
      <c r="B57" s="61"/>
      <c r="C57" s="293"/>
      <c r="D57" s="293"/>
      <c r="E57" s="250">
        <f t="shared" si="3"/>
        <v>0</v>
      </c>
    </row>
    <row r="58" spans="1:5" ht="12.75">
      <c r="A58" s="245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438</v>
      </c>
      <c r="B59" s="61"/>
      <c r="C59" s="293"/>
      <c r="D59" s="293"/>
      <c r="E59" s="250">
        <f t="shared" si="3"/>
        <v>0</v>
      </c>
    </row>
    <row r="60" spans="1:5" ht="12.75">
      <c r="A60" s="61" t="s">
        <v>438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21" sqref="A21:A22"/>
      <selection pane="topRight" activeCell="A21" sqref="A21:A22"/>
      <selection pane="bottomLeft" activeCell="A21" sqref="A21:A22"/>
      <selection pane="bottomRight" activeCell="A21" sqref="A21:A2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8" t="s">
        <v>455</v>
      </c>
      <c r="B5" s="8"/>
      <c r="C5" s="8" t="s">
        <v>2</v>
      </c>
      <c r="D5" s="8"/>
      <c r="E5" s="8"/>
      <c r="F5" s="8"/>
    </row>
    <row r="6" spans="1:6" ht="12.75">
      <c r="A6" s="398" t="s">
        <v>435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Espanola Regional Hydro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71">
        <f>TAXREC!C13</f>
        <v>3335.80375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439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460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67"/>
      <c r="B41" t="s">
        <v>186</v>
      </c>
      <c r="C41" s="293"/>
      <c r="D41" s="293"/>
      <c r="E41" s="250">
        <f t="shared" si="0"/>
        <v>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367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7" t="s">
        <v>461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12" activePane="bottomRight" state="frozen"/>
      <selection pane="topLeft" activeCell="A21" sqref="A21:A22"/>
      <selection pane="topRight" activeCell="A21" sqref="A21:A22"/>
      <selection pane="bottomLeft" activeCell="A21" sqref="A21:A22"/>
      <selection pane="bottomRight" activeCell="A21" sqref="A21:A2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/>
    </row>
    <row r="3" spans="1:5" ht="12.75">
      <c r="A3" s="2"/>
      <c r="E3" s="92"/>
    </row>
    <row r="4" spans="1:6" ht="15.75">
      <c r="A4" s="447" t="s">
        <v>435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9" t="s">
        <v>375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Espanola Regional Hydro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>
        <v>24395</v>
      </c>
      <c r="D19" s="294"/>
      <c r="E19" s="312">
        <f aca="true" t="shared" si="0" ref="E19:E45">C19-D19</f>
        <v>24395</v>
      </c>
    </row>
    <row r="20" spans="1:5" ht="12.75">
      <c r="A20" t="s">
        <v>377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443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380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381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444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379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378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422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423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440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441</v>
      </c>
      <c r="C35" s="294"/>
      <c r="D35" s="294"/>
      <c r="E35" s="312">
        <f t="shared" si="0"/>
        <v>0</v>
      </c>
    </row>
    <row r="36" spans="1:5" ht="12.75">
      <c r="A36" s="67" t="s">
        <v>424</v>
      </c>
      <c r="C36" s="294"/>
      <c r="D36" s="294"/>
      <c r="E36" s="312">
        <f t="shared" si="0"/>
        <v>0</v>
      </c>
    </row>
    <row r="37" spans="1:5" ht="12.75">
      <c r="A37" s="67" t="s">
        <v>425</v>
      </c>
      <c r="C37" s="294"/>
      <c r="D37" s="294"/>
      <c r="E37" s="312">
        <f t="shared" si="0"/>
        <v>0</v>
      </c>
    </row>
    <row r="38" spans="1:5" ht="12.75">
      <c r="A38" s="81" t="s">
        <v>382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1" t="s">
        <v>376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67" t="s">
        <v>447</v>
      </c>
      <c r="B41" t="s">
        <v>186</v>
      </c>
      <c r="C41" s="294"/>
      <c r="D41" s="294"/>
      <c r="E41" s="312">
        <f t="shared" si="0"/>
        <v>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8" t="s">
        <v>203</v>
      </c>
      <c r="B43" t="s">
        <v>186</v>
      </c>
      <c r="C43" s="294"/>
      <c r="D43" s="294"/>
      <c r="E43" s="312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2" t="s">
        <v>386</v>
      </c>
      <c r="B47" t="s">
        <v>188</v>
      </c>
      <c r="C47" s="250">
        <f>SUM(C19:C46)</f>
        <v>24395</v>
      </c>
      <c r="D47" s="250">
        <f>SUM(D19:D46)</f>
        <v>0</v>
      </c>
      <c r="E47" s="250">
        <f>SUM(E19:E46)</f>
        <v>24395</v>
      </c>
    </row>
    <row r="48" ht="12.75">
      <c r="A48" s="67"/>
    </row>
    <row r="49" ht="12.75">
      <c r="A49" s="81" t="s">
        <v>144</v>
      </c>
    </row>
    <row r="51" spans="1:5" ht="12.75">
      <c r="A51" s="71" t="s">
        <v>377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443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378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426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434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446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442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445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7"/>
      <c r="B59" s="8" t="s">
        <v>187</v>
      </c>
      <c r="C59" s="293"/>
      <c r="D59" s="293"/>
      <c r="E59" s="250">
        <f t="shared" si="1"/>
        <v>0</v>
      </c>
    </row>
    <row r="60" spans="1:5" ht="12.75">
      <c r="A60" s="451" t="s">
        <v>383</v>
      </c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51" t="s">
        <v>376</v>
      </c>
      <c r="B62" s="8" t="s">
        <v>187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t="s">
        <v>478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31" t="s">
        <v>385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21" sqref="A21:A2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8">
        <f>REGINFO!A1</f>
        <v>0</v>
      </c>
      <c r="B1" s="36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Espanola Regional Hydro Distribution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3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3" t="s">
        <v>464</v>
      </c>
      <c r="B8" s="494"/>
      <c r="C8" s="494"/>
      <c r="D8" s="494"/>
      <c r="E8" s="341"/>
      <c r="F8" s="36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8">
        <v>0</v>
      </c>
      <c r="D9" s="358"/>
      <c r="E9" s="358">
        <v>200001</v>
      </c>
      <c r="F9" s="359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456</v>
      </c>
      <c r="B10" s="326"/>
      <c r="C10" s="360" t="s">
        <v>110</v>
      </c>
      <c r="D10" s="360"/>
      <c r="E10" s="360" t="s">
        <v>110</v>
      </c>
      <c r="F10" s="361" t="s">
        <v>465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2">
        <v>200000</v>
      </c>
      <c r="D11" s="362"/>
      <c r="E11" s="362">
        <v>700000</v>
      </c>
      <c r="F11" s="363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298</v>
      </c>
      <c r="B13" s="392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301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327</v>
      </c>
      <c r="B21" s="390" t="s">
        <v>458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328</v>
      </c>
      <c r="B22" s="391" t="s">
        <v>459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9" t="s">
        <v>477</v>
      </c>
      <c r="B23" s="490"/>
      <c r="C23" s="490"/>
      <c r="D23" s="490"/>
      <c r="E23" s="490"/>
      <c r="F23" s="490"/>
      <c r="G23" s="421"/>
      <c r="H23" s="403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4"/>
      <c r="B24" s="395"/>
      <c r="C24" s="395"/>
      <c r="D24" s="395"/>
      <c r="E24" s="395"/>
      <c r="F24" s="395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4"/>
      <c r="B25" s="365"/>
      <c r="C25" s="367"/>
      <c r="D25" s="341"/>
      <c r="E25" s="341"/>
      <c r="F25" s="393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3" t="s">
        <v>473</v>
      </c>
      <c r="B26" s="494"/>
      <c r="C26" s="494"/>
      <c r="D26" s="494"/>
      <c r="E26" s="494"/>
      <c r="F26" s="49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>
        <v>0</v>
      </c>
      <c r="D27" s="352">
        <v>250001</v>
      </c>
      <c r="E27" s="352">
        <v>400001</v>
      </c>
      <c r="F27" s="353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430</v>
      </c>
      <c r="B28" s="326"/>
      <c r="C28" s="354" t="s">
        <v>110</v>
      </c>
      <c r="D28" s="354" t="s">
        <v>110</v>
      </c>
      <c r="E28" s="354" t="s">
        <v>110</v>
      </c>
      <c r="F28" s="355" t="s">
        <v>476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>
        <v>250000</v>
      </c>
      <c r="D29" s="356">
        <v>400000</v>
      </c>
      <c r="E29" s="356">
        <v>1128000</v>
      </c>
      <c r="F29" s="357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2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297</v>
      </c>
      <c r="B32" s="392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2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392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2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2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2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474</v>
      </c>
      <c r="B39" s="390" t="s">
        <v>458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475</v>
      </c>
      <c r="B40" s="391" t="s">
        <v>472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1" t="s">
        <v>330</v>
      </c>
      <c r="B41" s="490"/>
      <c r="C41" s="490"/>
      <c r="D41" s="490"/>
      <c r="E41" s="490"/>
      <c r="F41" s="490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2"/>
      <c r="B42" s="492"/>
      <c r="C42" s="492"/>
      <c r="D42" s="492"/>
      <c r="E42" s="492"/>
      <c r="F42" s="492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21" sqref="A21:A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448</v>
      </c>
      <c r="B2" s="2"/>
    </row>
    <row r="3" spans="1:15" ht="12.75">
      <c r="A3" s="2" t="s">
        <v>483</v>
      </c>
      <c r="O3" s="399" t="str">
        <f>REGINFO!E1</f>
        <v>Version 2009.1</v>
      </c>
    </row>
    <row r="4" spans="1:15" ht="12.75">
      <c r="A4" s="2" t="str">
        <f>REGINFO!A4</f>
        <v>Reporting period:  2004</v>
      </c>
      <c r="E4" s="400" t="s">
        <v>316</v>
      </c>
      <c r="F4" s="382"/>
      <c r="G4" s="382"/>
      <c r="H4" s="382"/>
      <c r="I4" s="382"/>
      <c r="O4" s="39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6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8">
        <v>0</v>
      </c>
      <c r="D11" s="374"/>
      <c r="E11" s="380">
        <f>C22</f>
        <v>0</v>
      </c>
      <c r="F11" s="402"/>
      <c r="G11" s="380">
        <f>E22</f>
        <v>0</v>
      </c>
      <c r="H11" s="402"/>
      <c r="I11" s="380">
        <f>G22</f>
        <v>0</v>
      </c>
      <c r="J11" s="374"/>
      <c r="K11" s="380">
        <f>I22</f>
        <v>0</v>
      </c>
      <c r="L11" s="374"/>
      <c r="M11" s="380">
        <f>K22</f>
        <v>0</v>
      </c>
      <c r="N11" s="374"/>
      <c r="O11" s="380">
        <f>C11</f>
        <v>0</v>
      </c>
    </row>
    <row r="12" spans="1:15" ht="27" customHeight="1">
      <c r="A12" s="81" t="s">
        <v>387</v>
      </c>
      <c r="B12" s="66" t="s">
        <v>189</v>
      </c>
      <c r="C12" s="379"/>
      <c r="D12" s="375"/>
      <c r="E12" s="379"/>
      <c r="F12" s="95"/>
      <c r="G12" s="401">
        <f>C12+E12</f>
        <v>0</v>
      </c>
      <c r="H12" s="95"/>
      <c r="I12" s="401">
        <f>(E12/12*9)+(G12/12*3)</f>
        <v>0</v>
      </c>
      <c r="J12" s="375"/>
      <c r="K12" s="401">
        <f>E12/12*3</f>
        <v>0</v>
      </c>
      <c r="L12" s="375"/>
      <c r="M12" s="401">
        <f>K13/9*12/4</f>
        <v>0</v>
      </c>
      <c r="N12" s="375"/>
      <c r="O12" s="380">
        <f aca="true" t="shared" si="0" ref="O12:O20">SUM(C12:N12)</f>
        <v>0</v>
      </c>
    </row>
    <row r="13" spans="1:15" ht="27" customHeight="1">
      <c r="A13" s="81" t="s">
        <v>429</v>
      </c>
      <c r="B13" s="66"/>
      <c r="C13" s="401"/>
      <c r="D13" s="375"/>
      <c r="E13" s="401"/>
      <c r="F13" s="95"/>
      <c r="G13" s="401"/>
      <c r="H13" s="95"/>
      <c r="I13" s="401"/>
      <c r="J13" s="375"/>
      <c r="K13" s="379"/>
      <c r="L13" s="375"/>
      <c r="M13" s="401"/>
      <c r="N13" s="375"/>
      <c r="O13" s="380">
        <f t="shared" si="0"/>
        <v>0</v>
      </c>
    </row>
    <row r="14" spans="1:15" ht="25.5">
      <c r="A14" s="81" t="s">
        <v>388</v>
      </c>
      <c r="B14" s="66" t="s">
        <v>189</v>
      </c>
      <c r="C14" s="379"/>
      <c r="D14" s="375"/>
      <c r="E14" s="379"/>
      <c r="F14" s="95"/>
      <c r="G14" s="379"/>
      <c r="H14" s="95"/>
      <c r="I14" s="379"/>
      <c r="J14" s="375"/>
      <c r="K14" s="379"/>
      <c r="L14" s="375"/>
      <c r="M14" s="379"/>
      <c r="N14" s="375"/>
      <c r="O14" s="380">
        <f t="shared" si="0"/>
        <v>0</v>
      </c>
    </row>
    <row r="15" spans="1:15" ht="27" customHeight="1">
      <c r="A15" s="81" t="s">
        <v>389</v>
      </c>
      <c r="B15" s="66" t="s">
        <v>189</v>
      </c>
      <c r="C15" s="379"/>
      <c r="D15" s="375"/>
      <c r="E15" s="379"/>
      <c r="F15" s="95"/>
      <c r="G15" s="379"/>
      <c r="H15" s="95"/>
      <c r="I15" s="379"/>
      <c r="J15" s="375"/>
      <c r="K15" s="379"/>
      <c r="L15" s="375"/>
      <c r="M15" s="401">
        <f>TAXCALC!E132</f>
        <v>-13848.470679696971</v>
      </c>
      <c r="N15" s="375"/>
      <c r="O15" s="380">
        <f t="shared" si="0"/>
        <v>-13848.470679696971</v>
      </c>
    </row>
    <row r="16" spans="1:15" ht="27" customHeight="1">
      <c r="A16" s="81" t="s">
        <v>390</v>
      </c>
      <c r="B16" s="66"/>
      <c r="C16" s="379"/>
      <c r="D16" s="375"/>
      <c r="E16" s="379"/>
      <c r="F16" s="95"/>
      <c r="G16" s="379"/>
      <c r="H16" s="95"/>
      <c r="I16" s="379"/>
      <c r="J16" s="375"/>
      <c r="K16" s="379"/>
      <c r="L16" s="375"/>
      <c r="M16" s="379"/>
      <c r="N16" s="375"/>
      <c r="O16" s="380">
        <f t="shared" si="0"/>
        <v>0</v>
      </c>
    </row>
    <row r="17" spans="1:15" ht="27.75" customHeight="1">
      <c r="A17" s="81" t="s">
        <v>391</v>
      </c>
      <c r="B17" s="66" t="s">
        <v>189</v>
      </c>
      <c r="C17" s="379"/>
      <c r="D17" s="375"/>
      <c r="E17" s="379"/>
      <c r="F17" s="95"/>
      <c r="G17" s="379"/>
      <c r="H17" s="95"/>
      <c r="I17" s="379"/>
      <c r="J17" s="375"/>
      <c r="K17" s="379"/>
      <c r="L17" s="375"/>
      <c r="M17" s="401"/>
      <c r="N17" s="375"/>
      <c r="O17" s="380">
        <f t="shared" si="0"/>
        <v>0</v>
      </c>
    </row>
    <row r="18" spans="1:15" ht="25.5">
      <c r="A18" s="81" t="s">
        <v>392</v>
      </c>
      <c r="B18" s="66" t="s">
        <v>189</v>
      </c>
      <c r="C18" s="379"/>
      <c r="D18" s="375"/>
      <c r="E18" s="379"/>
      <c r="F18" s="95"/>
      <c r="G18" s="379"/>
      <c r="H18" s="95"/>
      <c r="I18" s="379"/>
      <c r="J18" s="375"/>
      <c r="K18" s="379"/>
      <c r="L18" s="375"/>
      <c r="M18" s="379"/>
      <c r="N18" s="375"/>
      <c r="O18" s="380">
        <f t="shared" si="0"/>
        <v>0</v>
      </c>
    </row>
    <row r="19" spans="1:15" ht="24" customHeight="1">
      <c r="A19" s="415" t="s">
        <v>393</v>
      </c>
      <c r="B19" s="66" t="s">
        <v>189</v>
      </c>
      <c r="C19" s="379"/>
      <c r="D19" s="375"/>
      <c r="E19" s="379"/>
      <c r="F19" s="95"/>
      <c r="G19" s="379"/>
      <c r="H19" s="95"/>
      <c r="I19" s="379"/>
      <c r="J19" s="375"/>
      <c r="K19" s="379"/>
      <c r="L19" s="375"/>
      <c r="M19" s="379"/>
      <c r="N19" s="375"/>
      <c r="O19" s="380">
        <f t="shared" si="0"/>
        <v>0</v>
      </c>
    </row>
    <row r="20" spans="1:15" ht="24.75" customHeight="1">
      <c r="A20" s="81" t="s">
        <v>457</v>
      </c>
      <c r="B20" s="66" t="s">
        <v>187</v>
      </c>
      <c r="C20" s="401">
        <v>0</v>
      </c>
      <c r="D20" s="375"/>
      <c r="E20" s="379"/>
      <c r="F20" s="95"/>
      <c r="G20" s="379"/>
      <c r="H20" s="95"/>
      <c r="I20" s="379"/>
      <c r="J20" s="375"/>
      <c r="K20" s="379"/>
      <c r="L20" s="375"/>
      <c r="M20" s="379"/>
      <c r="N20" s="375"/>
      <c r="O20" s="380">
        <f t="shared" si="0"/>
        <v>0</v>
      </c>
    </row>
    <row r="21" spans="1:15" ht="12.75">
      <c r="A21" s="65"/>
      <c r="C21" s="375"/>
      <c r="D21" s="95"/>
      <c r="E21" s="375"/>
      <c r="F21" s="95"/>
      <c r="G21" s="375"/>
      <c r="H21" s="95"/>
      <c r="I21" s="375"/>
      <c r="J21" s="375"/>
      <c r="K21" s="375"/>
      <c r="L21" s="375"/>
      <c r="M21" s="375"/>
      <c r="N21" s="375"/>
      <c r="O21" s="402"/>
    </row>
    <row r="22" spans="1:15" ht="13.5" thickBot="1">
      <c r="A22" s="81" t="s">
        <v>364</v>
      </c>
      <c r="B22" s="34"/>
      <c r="C22" s="381">
        <f>SUM(C11:C20)</f>
        <v>0</v>
      </c>
      <c r="D22" s="402"/>
      <c r="E22" s="381">
        <f>SUM(E11:E20)</f>
        <v>0</v>
      </c>
      <c r="F22" s="402"/>
      <c r="G22" s="381">
        <f>SUM(G11:G20)</f>
        <v>0</v>
      </c>
      <c r="H22" s="402"/>
      <c r="I22" s="381">
        <f>SUM(I11:I20)</f>
        <v>0</v>
      </c>
      <c r="J22" s="374"/>
      <c r="K22" s="381">
        <f>SUM(K11:K20)</f>
        <v>0</v>
      </c>
      <c r="L22" s="374"/>
      <c r="M22" s="381">
        <f>SUM(M11:M21)</f>
        <v>-13848.470679696971</v>
      </c>
      <c r="N22" s="374"/>
      <c r="O22" s="433">
        <f>SUM(O11:O20)</f>
        <v>-13848.470679696971</v>
      </c>
    </row>
    <row r="23" spans="1:15" ht="13.5" thickTop="1">
      <c r="A23" s="416"/>
      <c r="B23" s="417"/>
      <c r="C23" s="423"/>
      <c r="D23" s="424"/>
      <c r="E23" s="423"/>
      <c r="F23" s="424"/>
      <c r="G23" s="423"/>
      <c r="H23" s="424"/>
      <c r="I23" s="423"/>
      <c r="J23" s="417"/>
      <c r="K23" s="423"/>
      <c r="L23" s="187"/>
      <c r="M23" s="425"/>
      <c r="N23" s="187"/>
      <c r="O23" s="425"/>
    </row>
    <row r="24" spans="1:15" ht="12.75">
      <c r="A24" s="439"/>
      <c r="B24" s="440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/>
    </row>
    <row r="25" spans="1:15" ht="12.75">
      <c r="A25" s="416"/>
      <c r="B25" s="417"/>
      <c r="C25" s="443"/>
      <c r="D25" s="443"/>
      <c r="E25" s="443"/>
      <c r="F25" s="443"/>
      <c r="G25" s="443"/>
      <c r="H25" s="443"/>
      <c r="I25" s="443"/>
      <c r="J25" s="444"/>
      <c r="K25" s="443"/>
      <c r="L25" s="445"/>
      <c r="M25" s="446"/>
      <c r="N25" s="445"/>
      <c r="O25" s="446"/>
    </row>
    <row r="26" spans="1:15" ht="12.75">
      <c r="A26" s="416" t="s">
        <v>394</v>
      </c>
      <c r="B26" s="417"/>
      <c r="C26" s="443"/>
      <c r="D26" s="443"/>
      <c r="E26" s="443"/>
      <c r="F26" s="443"/>
      <c r="G26" s="443"/>
      <c r="H26" s="443"/>
      <c r="I26" s="443"/>
      <c r="J26" s="444"/>
      <c r="K26" s="443"/>
      <c r="L26" s="445"/>
      <c r="M26" s="446"/>
      <c r="N26" s="445"/>
      <c r="O26" s="446"/>
    </row>
    <row r="27" spans="1:15" ht="9" customHeight="1">
      <c r="A27" s="416"/>
      <c r="B27" s="417"/>
      <c r="C27" s="417"/>
      <c r="D27" s="417"/>
      <c r="E27" s="417"/>
      <c r="F27" s="417"/>
      <c r="G27" s="417"/>
      <c r="H27" s="417"/>
      <c r="I27" s="417"/>
      <c r="J27" s="417"/>
      <c r="K27" s="418"/>
      <c r="L27" s="187"/>
      <c r="M27" s="187"/>
      <c r="N27" s="187"/>
      <c r="O27" s="187"/>
    </row>
    <row r="28" spans="1:15" ht="12.75">
      <c r="A28" s="416" t="s">
        <v>395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187"/>
      <c r="M28" s="187"/>
      <c r="N28" s="187"/>
      <c r="O28" s="187"/>
    </row>
    <row r="29" spans="1:15" ht="12.75">
      <c r="A29" s="419" t="s">
        <v>396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187"/>
      <c r="M29" s="187"/>
      <c r="N29" s="187"/>
      <c r="O29" s="187"/>
    </row>
    <row r="30" spans="1:15" ht="9" customHeight="1">
      <c r="A30" s="18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187"/>
      <c r="M30" s="187"/>
      <c r="N30" s="187"/>
      <c r="O30" s="187"/>
    </row>
    <row r="31" spans="1:15" ht="12.75">
      <c r="A31" s="434" t="s">
        <v>397</v>
      </c>
      <c r="B31" s="80"/>
      <c r="C31" s="80"/>
      <c r="D31" s="80"/>
      <c r="E31" s="80"/>
      <c r="F31" s="80"/>
      <c r="G31" s="80"/>
      <c r="H31" s="80"/>
      <c r="I31" s="430"/>
      <c r="J31" s="430"/>
      <c r="K31" s="430"/>
      <c r="L31" s="430"/>
      <c r="M31" s="430"/>
      <c r="N31" s="430"/>
      <c r="O31" s="430"/>
    </row>
    <row r="32" spans="1:15" ht="9" customHeight="1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</row>
    <row r="33" spans="1:19" ht="12.75">
      <c r="A33" s="496" t="s">
        <v>398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03"/>
      <c r="Q33" s="403"/>
      <c r="R33" s="403"/>
      <c r="S33" s="403"/>
    </row>
    <row r="34" spans="1:19" ht="12.75">
      <c r="A34" s="495" t="s">
        <v>399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03"/>
      <c r="Q34" s="403"/>
      <c r="R34" s="403"/>
      <c r="S34" s="403"/>
    </row>
    <row r="35" spans="1:19" ht="12.75">
      <c r="A35" s="495" t="s">
        <v>420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03"/>
      <c r="Q35" s="403"/>
      <c r="R35" s="403"/>
      <c r="S35" s="403"/>
    </row>
    <row r="36" spans="1:19" ht="12.75">
      <c r="A36" s="495" t="s">
        <v>400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03"/>
      <c r="Q36" s="403"/>
      <c r="R36" s="403"/>
      <c r="S36" s="403"/>
    </row>
    <row r="37" spans="1:19" ht="12.75">
      <c r="A37" s="420" t="s">
        <v>361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03"/>
      <c r="Q37" s="403"/>
      <c r="R37" s="403"/>
      <c r="S37" s="403"/>
    </row>
    <row r="38" spans="1:19" ht="12.75">
      <c r="A38" s="420" t="s">
        <v>362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03"/>
      <c r="Q38" s="403"/>
      <c r="R38" s="403"/>
      <c r="S38" s="403"/>
    </row>
    <row r="39" spans="1:19" ht="12.75">
      <c r="A39" s="420" t="s">
        <v>401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03"/>
      <c r="Q39" s="403"/>
      <c r="R39" s="403"/>
      <c r="S39" s="403"/>
    </row>
    <row r="40" spans="1:19" ht="12.75">
      <c r="A40" s="420" t="s">
        <v>402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03"/>
      <c r="Q40" s="403"/>
      <c r="R40" s="403"/>
      <c r="S40" s="403"/>
    </row>
    <row r="41" spans="2:19" ht="9" customHeight="1"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03"/>
      <c r="Q41" s="403"/>
      <c r="R41" s="403"/>
      <c r="S41" s="403"/>
    </row>
    <row r="42" spans="1:15" ht="12.75">
      <c r="A42" s="422" t="s">
        <v>403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187"/>
      <c r="M42" s="187"/>
      <c r="N42" s="187"/>
      <c r="O42" s="187"/>
    </row>
    <row r="43" spans="1:15" ht="12.75">
      <c r="A43" s="417" t="s">
        <v>404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187"/>
      <c r="M43" s="187"/>
      <c r="N43" s="187"/>
      <c r="O43" s="187"/>
    </row>
    <row r="44" spans="1:15" ht="9" customHeight="1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187"/>
      <c r="M44" s="187"/>
      <c r="N44" s="187"/>
      <c r="O44" s="187"/>
    </row>
    <row r="45" spans="1:15" ht="12.75">
      <c r="A45" s="422" t="s">
        <v>405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187"/>
      <c r="M45" s="187"/>
      <c r="N45" s="187"/>
      <c r="O45" s="187"/>
    </row>
    <row r="46" spans="1:15" ht="12.75">
      <c r="A46" s="417" t="s">
        <v>406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87"/>
      <c r="M46" s="187"/>
      <c r="N46" s="187"/>
      <c r="O46" s="187"/>
    </row>
    <row r="47" spans="1:15" ht="9" customHeight="1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87"/>
      <c r="M47" s="187"/>
      <c r="N47" s="187"/>
      <c r="O47" s="187"/>
    </row>
    <row r="48" spans="1:15" ht="12.75">
      <c r="A48" s="422" t="s">
        <v>407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187"/>
      <c r="M48" s="187"/>
      <c r="N48" s="187"/>
      <c r="O48" s="187"/>
    </row>
    <row r="49" spans="1:15" ht="12.75">
      <c r="A49" s="417" t="s">
        <v>408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187"/>
      <c r="M49" s="187"/>
      <c r="N49" s="187"/>
      <c r="O49" s="187"/>
    </row>
    <row r="50" spans="1:15" ht="9" customHeight="1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187"/>
      <c r="M50" s="187"/>
      <c r="N50" s="187"/>
      <c r="O50" s="187"/>
    </row>
    <row r="51" spans="1:15" ht="12.75">
      <c r="A51" s="422" t="s">
        <v>409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187"/>
      <c r="M51" s="187"/>
      <c r="N51" s="187"/>
      <c r="O51" s="187"/>
    </row>
    <row r="52" spans="1:15" ht="12.75">
      <c r="A52" s="417" t="s">
        <v>406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187"/>
      <c r="M52" s="187"/>
      <c r="N52" s="187"/>
      <c r="O52" s="187"/>
    </row>
    <row r="53" spans="1:15" ht="9" customHeight="1">
      <c r="A53" s="422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87"/>
      <c r="M53" s="187"/>
      <c r="N53" s="187"/>
      <c r="O53" s="187"/>
    </row>
    <row r="54" spans="1:15" ht="12.75">
      <c r="A54" s="417" t="s">
        <v>410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187"/>
      <c r="M54" s="187"/>
      <c r="N54" s="187"/>
      <c r="O54" s="187"/>
    </row>
    <row r="55" spans="1:15" ht="9" customHeight="1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187"/>
      <c r="M55" s="187"/>
      <c r="N55" s="187"/>
      <c r="O55" s="187"/>
    </row>
    <row r="56" spans="1:15" ht="12.75" customHeight="1">
      <c r="A56" s="422" t="s">
        <v>411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187"/>
      <c r="M56" s="187"/>
      <c r="N56" s="187"/>
      <c r="O56" s="187"/>
    </row>
    <row r="57" spans="1:15" ht="9" customHeight="1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187"/>
      <c r="M57" s="187"/>
      <c r="N57" s="187"/>
      <c r="O57" s="187"/>
    </row>
    <row r="58" spans="1:15" ht="12.75">
      <c r="A58" s="417" t="s">
        <v>412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187"/>
      <c r="M58" s="187"/>
      <c r="N58" s="187"/>
      <c r="O58" s="187"/>
    </row>
    <row r="59" spans="1:15" ht="12.75">
      <c r="A59" s="417" t="s">
        <v>413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187"/>
      <c r="M59" s="187"/>
      <c r="N59" s="187"/>
      <c r="O59" s="187"/>
    </row>
    <row r="60" spans="1:15" ht="12.75">
      <c r="A60" s="417" t="s">
        <v>414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187"/>
      <c r="M60" s="187"/>
      <c r="N60" s="187"/>
      <c r="O60" s="187"/>
    </row>
    <row r="61" spans="1:15" ht="12.75">
      <c r="A61" s="417" t="s">
        <v>371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187"/>
      <c r="M61" s="187"/>
      <c r="N61" s="187"/>
      <c r="O61" s="187"/>
    </row>
    <row r="62" spans="1:15" ht="9" customHeight="1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187"/>
      <c r="M62" s="187"/>
      <c r="N62" s="187"/>
      <c r="O62" s="187"/>
    </row>
    <row r="63" spans="1:15" ht="12.75">
      <c r="A63" s="417" t="s">
        <v>415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187"/>
      <c r="M63" s="187"/>
      <c r="N63" s="187"/>
      <c r="O63" s="187"/>
    </row>
    <row r="64" spans="1:15" ht="12.75">
      <c r="A64" s="417" t="s">
        <v>416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187"/>
      <c r="M64" s="187"/>
      <c r="N64" s="187"/>
      <c r="O64" s="187"/>
    </row>
    <row r="65" spans="1:15" ht="12.75">
      <c r="A65" s="417" t="s">
        <v>373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187"/>
      <c r="M65" s="187"/>
      <c r="N65" s="187"/>
      <c r="O65" s="187"/>
    </row>
    <row r="66" spans="1:15" ht="3.75" customHeight="1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187"/>
      <c r="M66" s="187"/>
      <c r="N66" s="187"/>
      <c r="O66" s="187"/>
    </row>
    <row r="67" spans="1:15" ht="12.75">
      <c r="A67" s="417" t="s">
        <v>372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187"/>
      <c r="M67" s="187"/>
      <c r="N67" s="187"/>
      <c r="O67" s="187"/>
    </row>
    <row r="68" spans="1:15" ht="12.75">
      <c r="A68" s="417" t="s">
        <v>374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187"/>
      <c r="M68" s="187"/>
      <c r="N68" s="187"/>
      <c r="O68" s="187"/>
    </row>
    <row r="69" spans="1:15" ht="3.75" customHeight="1">
      <c r="A69" s="417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187"/>
      <c r="M69" s="187"/>
      <c r="N69" s="187"/>
      <c r="O69" s="187"/>
    </row>
    <row r="70" spans="1:15" ht="12.75">
      <c r="A70" s="417" t="s">
        <v>417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187"/>
      <c r="M70" s="187"/>
      <c r="N70" s="187"/>
      <c r="O70" s="187"/>
    </row>
    <row r="71" spans="1:15" ht="12.75">
      <c r="A71" s="417" t="s">
        <v>418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187"/>
      <c r="M71" s="187"/>
      <c r="N71" s="187"/>
      <c r="O71" s="187"/>
    </row>
    <row r="72" spans="1:15" ht="12.75">
      <c r="A72" s="417" t="s">
        <v>419</v>
      </c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187"/>
      <c r="M72" s="187"/>
      <c r="N72" s="187"/>
      <c r="O72" s="187"/>
    </row>
    <row r="73" spans="1:15" ht="9" customHeight="1">
      <c r="A73" s="417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187"/>
      <c r="M73" s="187"/>
      <c r="N73" s="187"/>
      <c r="O73" s="187"/>
    </row>
    <row r="74" spans="1:15" ht="12.75" customHeight="1">
      <c r="A74" s="495" t="s">
        <v>449</v>
      </c>
      <c r="B74" s="495"/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</row>
    <row r="75" spans="1:15" ht="12.75">
      <c r="A75" s="417" t="s">
        <v>363</v>
      </c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187"/>
      <c r="M75" s="187"/>
      <c r="N75" s="187"/>
      <c r="O75" s="187"/>
    </row>
    <row r="76" spans="1:15" ht="12.75">
      <c r="A76" s="187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187"/>
      <c r="M76" s="187"/>
      <c r="N76" s="187"/>
      <c r="O76" s="187"/>
    </row>
    <row r="77" spans="1:15" ht="12.75">
      <c r="A77" s="18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187"/>
      <c r="M77" s="187"/>
      <c r="N77" s="187"/>
      <c r="O77" s="187"/>
    </row>
    <row r="78" spans="1:17" ht="12.75">
      <c r="A78" s="187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187"/>
      <c r="O78" s="187"/>
      <c r="P78" s="187"/>
      <c r="Q78" s="187"/>
    </row>
    <row r="79" spans="1:17" ht="12.75">
      <c r="A79" s="18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187"/>
      <c r="O79" s="187"/>
      <c r="P79" s="187"/>
      <c r="Q79" s="187"/>
    </row>
    <row r="80" spans="1:17" ht="12.75">
      <c r="A80" s="187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187"/>
      <c r="O80" s="187"/>
      <c r="P80" s="187"/>
      <c r="Q80" s="187"/>
    </row>
    <row r="81" spans="1:17" ht="12.75">
      <c r="A81" s="417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187"/>
      <c r="O81" s="187"/>
      <c r="P81" s="187"/>
      <c r="Q81" s="187"/>
    </row>
    <row r="82" spans="1:17" ht="12.75">
      <c r="A82" s="187"/>
      <c r="B82" s="18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187"/>
      <c r="O82" s="187"/>
      <c r="P82" s="187"/>
      <c r="Q82" s="187"/>
    </row>
    <row r="83" spans="1:17" ht="12.75">
      <c r="A83" s="187"/>
      <c r="B83" s="18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187"/>
      <c r="O83" s="187"/>
      <c r="P83" s="187"/>
      <c r="Q83" s="187"/>
    </row>
    <row r="84" spans="1:17" ht="12.75">
      <c r="A84" s="417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187"/>
      <c r="O84" s="187"/>
      <c r="P84" s="187"/>
      <c r="Q84" s="187"/>
    </row>
    <row r="85" spans="1:17" ht="12.75">
      <c r="A85" s="18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187"/>
      <c r="O85" s="187"/>
      <c r="P85" s="187"/>
      <c r="Q85" s="187"/>
    </row>
    <row r="86" spans="1:17" ht="12.75">
      <c r="A86" s="187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187"/>
      <c r="O86" s="187"/>
      <c r="P86" s="187"/>
      <c r="Q86" s="187"/>
    </row>
    <row r="87" spans="1:17" ht="12.75">
      <c r="A87" s="187"/>
      <c r="B87" s="18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187"/>
      <c r="O87" s="187"/>
      <c r="P87" s="187"/>
      <c r="Q87" s="187"/>
    </row>
    <row r="88" spans="1:17" ht="12.75">
      <c r="A88" s="187"/>
      <c r="B88" s="18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187"/>
      <c r="O88" s="187"/>
      <c r="P88" s="187"/>
      <c r="Q88" s="187"/>
    </row>
    <row r="89" spans="1:17" ht="12.75">
      <c r="A89" s="187"/>
      <c r="B89" s="18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187"/>
      <c r="O89" s="187"/>
      <c r="P89" s="187"/>
      <c r="Q89" s="187"/>
    </row>
    <row r="90" spans="1:17" ht="12.75">
      <c r="A90" s="187"/>
      <c r="B90" s="18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187"/>
      <c r="O90" s="187"/>
      <c r="P90" s="187"/>
      <c r="Q90" s="187"/>
    </row>
    <row r="91" spans="1:17" ht="12.75">
      <c r="A91" s="187"/>
      <c r="B91" s="18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187"/>
      <c r="O91" s="187"/>
      <c r="P91" s="187"/>
      <c r="Q91" s="187"/>
    </row>
    <row r="92" spans="1:17" ht="12.75">
      <c r="A92" s="187"/>
      <c r="B92" s="187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</row>
    <row r="93" spans="1:17" ht="12.75">
      <c r="A93" s="187"/>
      <c r="B93" s="18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2011-07-07T18:02:45Z</cp:lastPrinted>
  <dcterms:created xsi:type="dcterms:W3CDTF">2001-11-07T16:15:53Z</dcterms:created>
  <dcterms:modified xsi:type="dcterms:W3CDTF">2012-01-02T15:27:05Z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