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2" yWindow="540" windowWidth="14340" windowHeight="1296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Jim</author>
  </authors>
  <commentList>
    <comment ref="C88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gross up tax rate approved includes the surtax </t>
        </r>
      </text>
    </comment>
  </commentList>
</comments>
</file>

<file path=xl/sharedStrings.xml><?xml version="1.0" encoding="utf-8"?>
<sst xmlns="http://schemas.openxmlformats.org/spreadsheetml/2006/main" count="847" uniqueCount="488">
  <si>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</si>
  <si>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</si>
  <si>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</si>
  <si>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</si>
  <si>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</si>
  <si>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</si>
  <si>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</si>
  <si>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</si>
  <si>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</si>
  <si>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</si>
  <si>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</si>
  <si>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</si>
  <si>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</si>
  <si>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</si>
  <si>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</si>
  <si>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</si>
  <si>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</si>
  <si>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</si>
  <si>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</si>
  <si>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</si>
  <si>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</si>
  <si>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</si>
  <si>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</si>
  <si>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</si>
  <si>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</si>
  <si>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</si>
  <si>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</si>
  <si>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</si>
  <si>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</si>
  <si>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</si>
  <si>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</si>
  <si>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</si>
  <si>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</si>
  <si>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</si>
  <si>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</si>
  <si>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</si>
  <si>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</si>
  <si>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</si>
  <si>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</si>
  <si>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</si>
  <si>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</si>
  <si>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</si>
  <si>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</si>
  <si>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</si>
  <si>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</si>
  <si>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</si>
  <si>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</si>
  <si>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</si>
  <si>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</si>
  <si>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</si>
  <si>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</si>
  <si>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</si>
  <si>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</si>
  <si>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</si>
  <si>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</si>
  <si>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</si>
  <si>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</si>
  <si>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</si>
  <si>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</si>
  <si>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</si>
  <si>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</si>
  <si>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</si>
  <si>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</si>
  <si>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</si>
  <si>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</si>
  <si>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</si>
  <si>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</si>
  <si>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</si>
  <si>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</si>
  <si>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</si>
  <si>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</si>
  <si>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</si>
  <si>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</si>
  <si>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</si>
  <si>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</si>
  <si>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</si>
  <si>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</si>
  <si>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</si>
  <si>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</si>
  <si>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</si>
  <si>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</si>
  <si>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</si>
  <si>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</si>
  <si>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</si>
  <si>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</si>
  <si>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</si>
  <si>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</si>
  <si>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</si>
  <si>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</si>
  <si>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</si>
  <si>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</si>
  <si>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</si>
  <si>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</si>
  <si>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</si>
  <si>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</si>
  <si>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</si>
  <si>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</si>
  <si>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</si>
  <si>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</si>
  <si>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</si>
  <si>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</si>
  <si>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</si>
  <si>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</si>
  <si>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</si>
  <si>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</si>
  <si>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</si>
  <si>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</si>
  <si>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</si>
  <si>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</si>
  <si>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</si>
  <si>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</si>
  <si>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</si>
  <si>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</si>
  <si>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</si>
  <si>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</si>
  <si>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</si>
  <si>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</si>
  <si>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</si>
  <si>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</si>
  <si>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</si>
  <si>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</si>
  <si>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</si>
  <si>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</si>
  <si>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</si>
  <si>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</si>
  <si>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</si>
  <si>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</si>
  <si>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</si>
  <si>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</si>
  <si>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</si>
  <si>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</si>
  <si>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</si>
  <si>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</si>
  <si>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</si>
  <si>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</si>
  <si>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</si>
  <si>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</si>
  <si>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</si>
  <si>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</si>
  <si>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</si>
  <si>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</si>
  <si>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</si>
  <si>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</si>
  <si>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</si>
  <si>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</si>
  <si>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</si>
  <si>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</si>
  <si>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</si>
  <si>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</si>
  <si>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</si>
  <si>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</si>
  <si>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</si>
  <si>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</si>
  <si>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</si>
  <si>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</si>
  <si>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</si>
  <si>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</si>
  <si>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</si>
  <si>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</si>
  <si>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</si>
  <si>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</si>
  <si>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</si>
  <si>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</si>
  <si>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</si>
  <si>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</si>
  <si>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</si>
  <si>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</si>
  <si>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</si>
  <si>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</si>
  <si>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</si>
  <si>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</si>
  <si>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</si>
  <si>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</si>
  <si>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</si>
  <si>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</si>
  <si>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</si>
  <si>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</si>
  <si>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</si>
  <si>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</si>
  <si>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</si>
  <si>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</si>
  <si>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</si>
  <si>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</si>
  <si>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</si>
  <si>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</si>
  <si>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</si>
  <si>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</si>
  <si>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</si>
  <si>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</si>
  <si>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</si>
  <si>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</si>
  <si>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</si>
  <si>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</si>
  <si>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</si>
  <si>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</si>
  <si>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</si>
  <si>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</si>
  <si>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</si>
  <si>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</si>
  <si>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</si>
  <si>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</si>
  <si>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</si>
  <si>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</si>
  <si>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</si>
  <si>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</si>
  <si>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</si>
  <si>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</si>
  <si>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</si>
  <si>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</si>
  <si>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</si>
  <si>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</si>
  <si>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</si>
  <si>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</si>
  <si>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</si>
  <si>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</si>
  <si>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</si>
  <si>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</si>
  <si>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</si>
  <si>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</si>
  <si>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</si>
  <si>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</si>
  <si>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</si>
  <si>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</si>
  <si>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</si>
  <si>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</si>
  <si>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</si>
  <si>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</si>
  <si>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</si>
  <si>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</si>
  <si>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</si>
  <si>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</si>
  <si>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</si>
  <si>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</si>
  <si>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</si>
  <si>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</si>
  <si>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</si>
  <si>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</si>
  <si>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</si>
  <si>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</si>
  <si>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</si>
  <si>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</si>
  <si>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</si>
  <si>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</si>
  <si>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</si>
  <si>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</si>
  <si>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</si>
  <si>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</si>
  <si>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</si>
  <si>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</si>
  <si>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</si>
  <si>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</si>
  <si>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</si>
  <si>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</si>
  <si>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</si>
  <si>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</si>
  <si>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</si>
  <si>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</si>
  <si>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</si>
  <si>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</si>
  <si>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</si>
  <si>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</si>
  <si>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</si>
  <si>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</si>
  <si>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</si>
  <si>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</si>
  <si>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</si>
  <si>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</si>
  <si>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</si>
  <si>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</si>
  <si>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</si>
  <si>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</si>
  <si>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</si>
  <si>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</si>
  <si>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</si>
  <si>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</si>
  <si>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</si>
  <si>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</si>
  <si>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</si>
  <si>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</si>
  <si>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</si>
  <si>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</si>
  <si>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</si>
  <si>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</si>
  <si>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</si>
  <si>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</si>
  <si>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</si>
  <si>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</si>
  <si>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</si>
  <si>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</si>
  <si>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</si>
  <si>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</si>
  <si>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</si>
  <si>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</si>
  <si>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</si>
  <si>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</si>
  <si>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</si>
  <si>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</si>
  <si>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</si>
  <si>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</si>
  <si>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</si>
  <si>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</si>
  <si>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</si>
  <si>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</si>
  <si>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</si>
  <si>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</si>
  <si>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</si>
  <si>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</si>
  <si>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</si>
  <si>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</si>
  <si>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</si>
  <si>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</si>
  <si>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</si>
  <si>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</si>
  <si>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</si>
  <si>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</si>
  <si>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</si>
  <si>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</si>
  <si>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</si>
  <si>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</si>
  <si>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</si>
  <si>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</si>
  <si>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</si>
  <si>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</si>
  <si>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</si>
  <si>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</si>
  <si>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</si>
  <si>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</si>
  <si>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</si>
  <si>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</si>
  <si>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</si>
  <si>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</si>
  <si>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</si>
  <si>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</si>
  <si>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</si>
  <si>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</si>
  <si>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</si>
  <si>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</si>
  <si>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</si>
  <si>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</si>
  <si>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</si>
  <si>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</si>
  <si>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</si>
  <si>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</si>
  <si>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</si>
  <si>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</si>
  <si>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</si>
  <si>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</si>
  <si>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</si>
  <si>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</si>
  <si>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</si>
  <si>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</si>
  <si>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</si>
  <si>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</si>
  <si>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</si>
  <si>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</si>
  <si>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</si>
  <si>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</si>
  <si>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</si>
  <si>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</si>
  <si>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</si>
  <si>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</si>
  <si>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</si>
  <si>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</si>
  <si>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</si>
  <si>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</si>
  <si>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</si>
  <si>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</si>
  <si>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</si>
  <si>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</si>
  <si>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</si>
  <si>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</si>
  <si>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</si>
  <si>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</si>
  <si>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</si>
  <si>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</si>
  <si>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</si>
  <si>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</si>
  <si>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</si>
  <si>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</si>
  <si>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</si>
  <si>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</si>
  <si>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</si>
  <si>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</si>
  <si>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</si>
  <si>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</si>
  <si>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</si>
  <si>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</si>
  <si>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</si>
  <si>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</si>
  <si>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</si>
  <si>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</si>
  <si>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</si>
  <si>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</si>
  <si>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</si>
  <si>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</si>
  <si>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</si>
  <si>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</si>
  <si>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</si>
  <si>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</si>
  <si>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</si>
  <si>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</si>
  <si>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</si>
  <si>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</si>
  <si>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</si>
  <si>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</si>
  <si>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</si>
  <si>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</si>
  <si>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</si>
  <si>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</si>
  <si>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</si>
  <si>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</si>
  <si>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</si>
  <si>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</si>
  <si>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</si>
  <si>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</si>
  <si>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</si>
  <si>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</si>
  <si>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</si>
  <si>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</si>
  <si>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</si>
  <si>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</si>
  <si>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</si>
  <si>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</si>
  <si>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</si>
  <si>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</si>
  <si>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</si>
  <si>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</si>
  <si>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</si>
  <si>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</si>
  <si>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</si>
  <si>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</si>
  <si>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</si>
  <si>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</si>
  <si>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</si>
  <si>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</si>
  <si>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</si>
  <si>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</si>
  <si>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</si>
  <si>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</si>
  <si>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</si>
  <si>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</si>
  <si>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</si>
  <si>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</si>
  <si>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</si>
  <si>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</si>
  <si>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</si>
  <si>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</si>
  <si>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</si>
  <si>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</si>
  <si>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</si>
  <si>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</si>
  <si>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</si>
  <si>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</si>
  <si>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</si>
  <si>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</si>
  <si>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</si>
  <si>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</si>
  <si>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</si>
  <si>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</si>
  <si>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</si>
  <si>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</si>
  <si>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</si>
  <si>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</si>
  <si>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</si>
  <si>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</si>
  <si>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</si>
  <si>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</si>
  <si>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</si>
  <si>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</si>
  <si>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</si>
  <si>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</si>
  <si>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</si>
  <si>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</si>
  <si>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Tax Rate dropped from 38.62 to 36.62</t>
  </si>
  <si>
    <t>Total deemed Interest (REGINFO D62)</t>
  </si>
  <si>
    <t>Rate - Tab Tax Rates cell C36</t>
  </si>
  <si>
    <t>Rate (as a result of legislative changes) tab 'Tax Rates' cell C37</t>
  </si>
  <si>
    <t xml:space="preserve">Income Tax Rate </t>
  </si>
  <si>
    <t xml:space="preserve">Restatement adjustment </t>
  </si>
  <si>
    <t xml:space="preserve">income tax / taxable income </t>
  </si>
  <si>
    <t>No tax rate or exemption changes - no true-up</t>
  </si>
  <si>
    <t>Employee Future Benefits</t>
  </si>
  <si>
    <t>Regulatory Variance Accounts - Dec 2002 balance</t>
  </si>
  <si>
    <t>Transition costs - opening tax balance</t>
  </si>
  <si>
    <t xml:space="preserve">Share of Partnership Income </t>
  </si>
  <si>
    <t>Utility Name: Lakefront Utilities Inc.</t>
  </si>
  <si>
    <t xml:space="preserve">Provincial Capital Tax </t>
  </si>
  <si>
    <t>Interest deducted on MoF filing  (Cell K36+K41) Adjusted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</si>
</sst>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&quot;$&quot;#,##0.00"/>
    <numFmt numFmtId="174" formatCode="0.000%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theme="5" tint="-0.2499700039625167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1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2" fillId="0" borderId="0" applyNumberFormat="0" applyFill="0" applyBorder="0" applyAlignment="0" applyProtection="0"/>
  </cellStyleXfs>
  <cellXfs count="506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0" fontId="10" fillId="41" borderId="54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74" fontId="0" fillId="0" borderId="0" xfId="62" applyNumberFormat="1" applyFont="1" applyAlignment="1" applyProtection="1">
      <alignment vertical="top"/>
      <protection locked="0"/>
    </xf>
    <xf numFmtId="0" fontId="63" fillId="0" borderId="0" xfId="0" applyFont="1" applyAlignment="1">
      <alignment vertical="top"/>
    </xf>
    <xf numFmtId="37" fontId="63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65" fillId="0" borderId="24" xfId="0" applyFont="1" applyFill="1" applyBorder="1" applyAlignment="1" applyProtection="1">
      <alignment vertical="top"/>
      <protection/>
    </xf>
    <xf numFmtId="0" fontId="66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3" fontId="64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7" fillId="0" borderId="24" xfId="0" applyFont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0" fontId="67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">
      <selection activeCell="P28" sqref="P2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445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486" t="s">
        <v>485</v>
      </c>
      <c r="C3" s="8"/>
      <c r="D3" s="439" t="s">
        <v>431</v>
      </c>
      <c r="E3" s="8"/>
      <c r="F3" s="8"/>
      <c r="G3" s="8"/>
      <c r="H3" s="8"/>
    </row>
    <row r="4" spans="1:8" ht="12.75">
      <c r="A4" s="2" t="s">
        <v>459</v>
      </c>
      <c r="C4" s="8"/>
      <c r="D4" s="438" t="s">
        <v>426</v>
      </c>
      <c r="E4" s="412"/>
      <c r="H4" s="8"/>
    </row>
    <row r="5" spans="1:8" ht="12.75">
      <c r="A5" s="52"/>
      <c r="C5" s="8"/>
      <c r="D5" s="437" t="s">
        <v>427</v>
      </c>
      <c r="E5" s="383"/>
      <c r="H5" s="8"/>
    </row>
    <row r="6" spans="1:8" ht="12.75">
      <c r="A6" s="2" t="s">
        <v>124</v>
      </c>
      <c r="B6" s="373">
        <v>365</v>
      </c>
      <c r="C6" s="8" t="s">
        <v>125</v>
      </c>
      <c r="D6" s="21"/>
      <c r="H6" s="8"/>
    </row>
    <row r="7" spans="1:8" ht="13.5" thickBot="1">
      <c r="A7" s="52" t="s">
        <v>253</v>
      </c>
      <c r="B7" s="248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62</v>
      </c>
      <c r="D17" s="257"/>
    </row>
    <row r="18" spans="1:4" ht="15" customHeight="1">
      <c r="A18" s="374" t="s">
        <v>309</v>
      </c>
      <c r="C18" s="8"/>
      <c r="D18" s="8"/>
    </row>
    <row r="19" spans="1:4" ht="15" customHeight="1">
      <c r="A19" s="492" t="s">
        <v>310</v>
      </c>
      <c r="B19" s="8" t="s">
        <v>307</v>
      </c>
      <c r="C19" s="8" t="s">
        <v>62</v>
      </c>
      <c r="D19" s="373"/>
    </row>
    <row r="20" spans="1:4" ht="13.5" thickBot="1">
      <c r="A20" s="493"/>
      <c r="B20" s="8" t="s">
        <v>308</v>
      </c>
      <c r="C20" s="8" t="s">
        <v>62</v>
      </c>
      <c r="D20" s="257"/>
    </row>
    <row r="21" spans="1:4" ht="12.75">
      <c r="A21" s="492" t="s">
        <v>306</v>
      </c>
      <c r="B21" s="8" t="s">
        <v>307</v>
      </c>
      <c r="C21" s="8"/>
      <c r="D21" s="407">
        <v>1</v>
      </c>
    </row>
    <row r="22" spans="1:4" ht="12.75">
      <c r="A22" s="492"/>
      <c r="B22" s="8" t="s">
        <v>308</v>
      </c>
      <c r="C22" s="8"/>
      <c r="D22" s="407">
        <v>1</v>
      </c>
    </row>
    <row r="23" spans="1:4" ht="7.5" customHeight="1">
      <c r="A23" s="45"/>
      <c r="C23" s="8"/>
      <c r="D23" s="373"/>
    </row>
    <row r="24" spans="1:4" ht="12.75">
      <c r="A24" s="45" t="s">
        <v>210</v>
      </c>
      <c r="C24" s="8" t="s">
        <v>211</v>
      </c>
      <c r="D24" s="408" t="s">
        <v>460</v>
      </c>
    </row>
    <row r="25" ht="6.75" customHeight="1" thickBot="1">
      <c r="A25" s="12"/>
    </row>
    <row r="26" spans="1:5" ht="12.75">
      <c r="A26" s="254" t="s">
        <v>65</v>
      </c>
      <c r="C26" s="8"/>
      <c r="E26" s="427" t="s">
        <v>294</v>
      </c>
    </row>
    <row r="27" spans="1:5" ht="12.75">
      <c r="A27" s="255" t="s">
        <v>66</v>
      </c>
      <c r="C27" s="8"/>
      <c r="E27" s="428" t="s">
        <v>295</v>
      </c>
    </row>
    <row r="28" spans="1:3" ht="12.75">
      <c r="A28" s="255" t="s">
        <v>67</v>
      </c>
      <c r="C28" s="38"/>
    </row>
    <row r="29" ht="12.75">
      <c r="A29" s="256" t="s">
        <v>68</v>
      </c>
    </row>
    <row r="30" ht="12.75">
      <c r="A30" s="35"/>
    </row>
    <row r="31" spans="1:8" ht="12.75">
      <c r="A31" t="s">
        <v>284</v>
      </c>
      <c r="D31" s="405">
        <v>13988892</v>
      </c>
      <c r="H31" s="5"/>
    </row>
    <row r="32" ht="6" customHeight="1"/>
    <row r="33" spans="1:8" ht="12.75">
      <c r="A33" t="s">
        <v>69</v>
      </c>
      <c r="D33" s="406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06">
        <v>0.0988</v>
      </c>
      <c r="H37" s="41"/>
    </row>
    <row r="38" ht="4.5" customHeight="1">
      <c r="H38" s="34"/>
    </row>
    <row r="39" spans="1:8" ht="12.75">
      <c r="A39" t="s">
        <v>72</v>
      </c>
      <c r="D39" s="406">
        <v>0.0725</v>
      </c>
      <c r="H39" s="41"/>
    </row>
    <row r="40" ht="6" customHeight="1">
      <c r="H40" s="34"/>
    </row>
    <row r="41" spans="1:8" ht="12.75">
      <c r="A41" t="s">
        <v>73</v>
      </c>
      <c r="D41" s="250">
        <f>D31*((D33*D37)+(D35*D39))</f>
        <v>1198148.5998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09">
        <v>683673</v>
      </c>
      <c r="E43" s="372">
        <f>D43</f>
        <v>683673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50">
        <f>D41-D43</f>
        <v>514475.59979999997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10">
        <v>177858</v>
      </c>
      <c r="E47" s="372">
        <f aca="true" t="shared" si="0" ref="E47:E53">D47</f>
        <v>177858</v>
      </c>
      <c r="H47" s="40"/>
      <c r="J47" s="5"/>
      <c r="K47" s="5"/>
    </row>
    <row r="48" spans="1:11" ht="12.75">
      <c r="A48" t="s">
        <v>287</v>
      </c>
      <c r="D48" s="410">
        <v>165126</v>
      </c>
      <c r="E48" s="372">
        <f>D48</f>
        <v>165126</v>
      </c>
      <c r="F48" s="22"/>
      <c r="H48" s="40"/>
      <c r="J48" s="5"/>
      <c r="K48" s="5"/>
    </row>
    <row r="49" spans="1:11" ht="12.75">
      <c r="A49" t="s">
        <v>288</v>
      </c>
      <c r="D49" s="411"/>
      <c r="E49" s="372">
        <v>0</v>
      </c>
      <c r="F49" s="22"/>
      <c r="H49" s="40"/>
      <c r="J49" s="5"/>
      <c r="K49" s="5"/>
    </row>
    <row r="50" spans="1:11" ht="12.75">
      <c r="A50" t="s">
        <v>289</v>
      </c>
      <c r="D50" s="412"/>
      <c r="E50" s="372">
        <f t="shared" si="0"/>
        <v>0</v>
      </c>
      <c r="H50" s="40"/>
      <c r="J50" s="5"/>
      <c r="K50" s="5"/>
    </row>
    <row r="51" spans="1:11" ht="12.75">
      <c r="A51" t="s">
        <v>423</v>
      </c>
      <c r="D51" s="412"/>
      <c r="E51" s="372">
        <f t="shared" si="0"/>
        <v>0</v>
      </c>
      <c r="H51" s="40"/>
      <c r="J51" s="5"/>
      <c r="K51" s="5"/>
    </row>
    <row r="52" spans="1:11" ht="12.75">
      <c r="A52" t="s">
        <v>446</v>
      </c>
      <c r="D52" s="412"/>
      <c r="E52" s="372">
        <f t="shared" si="0"/>
        <v>0</v>
      </c>
      <c r="H52" s="40"/>
      <c r="J52" s="5"/>
      <c r="K52" s="5"/>
    </row>
    <row r="53" spans="4:11" ht="12.75">
      <c r="D53" s="412"/>
      <c r="E53" s="372">
        <f t="shared" si="0"/>
        <v>0</v>
      </c>
      <c r="H53" s="40"/>
      <c r="J53" s="5"/>
      <c r="K53" s="5"/>
    </row>
    <row r="54" spans="1:11" ht="12.75">
      <c r="A54" s="2" t="s">
        <v>290</v>
      </c>
      <c r="E54" s="253">
        <f>SUM(E43:E53)</f>
        <v>1026657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51">
        <f>D31*D33</f>
        <v>6994446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51">
        <f>D56*D37</f>
        <v>691051.2648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51">
        <f>D31*D35</f>
        <v>6994446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51">
        <f>D60*D39</f>
        <v>507097.33499999996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2">
        <f>IF(D41&gt;0,(((D43+D47)/D41)*D62),0)</f>
        <v>364629.29071803857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2">
        <f>IF(D41&gt;0,(((D43+D47+D48)/D41)*D62),0)</f>
        <v>434516.2434325744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2">
        <f>IF(D41&gt;0,(((D43+D47+D48)/D41)*D62),0)</f>
        <v>434516.2434325744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432</v>
      </c>
      <c r="B70" s="5"/>
      <c r="C70" s="5"/>
      <c r="D70" s="252">
        <f>D62</f>
        <v>507097.33499999996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47">
      <selection activeCell="F100" sqref="F10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3.28125" style="0" customWidth="1"/>
    <col min="10" max="10" width="37.421875" style="0" customWidth="1"/>
    <col min="11" max="16" width="10.7109375" style="0" customWidth="1"/>
  </cols>
  <sheetData>
    <row r="1" spans="1:8" ht="12.75">
      <c r="A1" s="202"/>
      <c r="B1" s="203" t="s">
        <v>126</v>
      </c>
      <c r="C1" s="204" t="s">
        <v>33</v>
      </c>
      <c r="D1" s="205"/>
      <c r="E1" s="206" t="s">
        <v>22</v>
      </c>
      <c r="F1" s="207" t="s">
        <v>22</v>
      </c>
      <c r="G1" s="208" t="s">
        <v>448</v>
      </c>
      <c r="H1" s="209"/>
    </row>
    <row r="2" spans="1:8" ht="12.75">
      <c r="A2" s="210" t="s">
        <v>447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449</v>
      </c>
      <c r="H2" s="216"/>
    </row>
    <row r="3" spans="1:8" ht="12.75">
      <c r="A3" s="486" t="s">
        <v>485</v>
      </c>
      <c r="B3" s="217"/>
      <c r="C3" s="218"/>
      <c r="D3" s="213"/>
      <c r="E3" s="137" t="s">
        <v>20</v>
      </c>
      <c r="F3" s="219" t="s">
        <v>20</v>
      </c>
      <c r="G3" s="137"/>
      <c r="H3" s="216"/>
    </row>
    <row r="4" spans="1:8" ht="12.75">
      <c r="A4" s="220" t="s">
        <v>40</v>
      </c>
      <c r="B4" s="221"/>
      <c r="C4" s="218"/>
      <c r="D4" s="213"/>
      <c r="E4" s="137" t="s">
        <v>248</v>
      </c>
      <c r="F4" s="219" t="s">
        <v>21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Lakefront Utilities Inc.</v>
      </c>
      <c r="B6" s="115"/>
      <c r="D6" s="137"/>
      <c r="E6" s="115"/>
      <c r="G6" s="115"/>
      <c r="H6" s="449"/>
    </row>
    <row r="7" spans="1:8" ht="12.75">
      <c r="A7" s="210" t="str">
        <f>REGINFO!A4</f>
        <v>Reporting period:  2003</v>
      </c>
      <c r="B7" s="115"/>
      <c r="D7" s="137"/>
      <c r="E7" s="115"/>
      <c r="G7" s="115"/>
      <c r="H7" s="449"/>
    </row>
    <row r="8" spans="2:12" ht="12.75">
      <c r="B8" s="221"/>
      <c r="C8" s="229"/>
      <c r="D8" s="213"/>
      <c r="E8" s="137"/>
      <c r="F8" s="219"/>
      <c r="G8" s="182" t="s">
        <v>85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13">
        <f>REGINFO!B6</f>
        <v>365</v>
      </c>
      <c r="C9" s="230" t="s">
        <v>125</v>
      </c>
      <c r="D9" s="213"/>
      <c r="E9" s="137"/>
      <c r="F9" s="219"/>
      <c r="G9" s="182" t="s">
        <v>88</v>
      </c>
      <c r="H9" s="216"/>
    </row>
    <row r="10" spans="1:8" ht="12.75">
      <c r="A10" s="210" t="s">
        <v>253</v>
      </c>
      <c r="B10" s="413">
        <f>REGINFO!B7</f>
        <v>365</v>
      </c>
      <c r="C10" s="230" t="s">
        <v>125</v>
      </c>
      <c r="D10" s="213"/>
      <c r="E10" s="231"/>
      <c r="F10" s="219"/>
      <c r="G10" s="232" t="s">
        <v>86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87</v>
      </c>
      <c r="H11" s="151"/>
    </row>
    <row r="12" spans="1:8" ht="13.5" thickBot="1">
      <c r="A12" s="153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29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334</v>
      </c>
      <c r="B16" s="125">
        <v>1</v>
      </c>
      <c r="C16" s="259">
        <f>REGINFO!E54</f>
        <v>1026657</v>
      </c>
      <c r="D16" s="17"/>
      <c r="E16" s="267">
        <f>G16-C16</f>
        <v>1097340</v>
      </c>
      <c r="F16" s="3"/>
      <c r="G16" s="267">
        <f>TAXREC!E50</f>
        <v>2123997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25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734456</v>
      </c>
      <c r="D20" s="18"/>
      <c r="E20" s="267">
        <f>G20-C20</f>
        <v>-48714</v>
      </c>
      <c r="F20" s="6"/>
      <c r="G20" s="267">
        <f>TAXREC!E61</f>
        <v>685742</v>
      </c>
      <c r="H20" s="151"/>
    </row>
    <row r="21" spans="1:8" ht="12.75">
      <c r="A21" s="158" t="s">
        <v>54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261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260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262</v>
      </c>
      <c r="B24" s="127">
        <v>5</v>
      </c>
      <c r="C24" s="261">
        <v>63055</v>
      </c>
      <c r="D24" s="18"/>
      <c r="E24" s="267">
        <f>G24-C24</f>
        <v>-63055</v>
      </c>
      <c r="F24" s="6"/>
      <c r="G24" s="267">
        <f>TAXREC!E65</f>
        <v>0</v>
      </c>
      <c r="H24" s="151"/>
    </row>
    <row r="25" spans="1:8" ht="12.75">
      <c r="A25" s="158" t="s">
        <v>51</v>
      </c>
      <c r="B25" s="127"/>
      <c r="C25" s="105" t="s">
        <v>100</v>
      </c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65" t="s">
        <v>379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335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466068</v>
      </c>
      <c r="D33" s="132"/>
      <c r="E33" s="267">
        <f aca="true" t="shared" si="0" ref="E33:E42">G33-C33</f>
        <v>18820</v>
      </c>
      <c r="F33" s="6"/>
      <c r="G33" s="267">
        <f>TAXREC!E97+TAXREC!E98</f>
        <v>484888</v>
      </c>
      <c r="H33" s="151"/>
    </row>
    <row r="34" spans="1:8" ht="12.75">
      <c r="A34" s="158" t="s">
        <v>55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44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263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84</v>
      </c>
      <c r="B37" s="125">
        <v>11</v>
      </c>
      <c r="C37" s="260">
        <f>REGINFO!D66</f>
        <v>434516.2434325744</v>
      </c>
      <c r="D37" s="132"/>
      <c r="E37" s="267">
        <f t="shared" si="0"/>
        <v>137198.75656742562</v>
      </c>
      <c r="F37" s="6"/>
      <c r="G37" s="267">
        <f>TAXREC!E51</f>
        <v>571715</v>
      </c>
      <c r="H37" s="151"/>
    </row>
    <row r="38" spans="1:8" ht="12.75">
      <c r="A38" s="155" t="s">
        <v>259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258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52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0</v>
      </c>
      <c r="F47" s="6"/>
      <c r="G47" s="250">
        <f>TAXREC!E111</f>
        <v>0</v>
      </c>
      <c r="H47" s="151"/>
    </row>
    <row r="48" spans="1:8" ht="15.75">
      <c r="A48" s="465" t="s">
        <v>379</v>
      </c>
      <c r="B48" s="127"/>
      <c r="C48" s="259"/>
      <c r="D48" s="132"/>
      <c r="E48" s="267">
        <f>G48-C48</f>
        <v>22243</v>
      </c>
      <c r="F48" s="6"/>
      <c r="G48" s="250">
        <f>TAXREC!E108</f>
        <v>22243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322</v>
      </c>
      <c r="B50" s="125"/>
      <c r="C50" s="263">
        <f>C16+SUM(C20:C30)-SUM(C33:C48)</f>
        <v>923583.7565674256</v>
      </c>
      <c r="D50" s="102"/>
      <c r="E50" s="263">
        <f>E16+SUM(E20:E30)-SUM(E33:E48)</f>
        <v>807309.2434325744</v>
      </c>
      <c r="F50" s="415"/>
      <c r="G50" s="263">
        <f>G16+SUM(G20:G30)-SUM(G33:G48)</f>
        <v>1730893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330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333</v>
      </c>
      <c r="B53" s="127">
        <v>13</v>
      </c>
      <c r="C53" s="262">
        <f>'Tax Rates'!F16</f>
        <v>0.3862</v>
      </c>
      <c r="D53" s="102"/>
      <c r="E53" s="268">
        <f>+G53-C53</f>
        <v>-0.02982976661028386</v>
      </c>
      <c r="F53" s="114"/>
      <c r="G53" s="457">
        <f>TAXREC!E151</f>
        <v>0.35637023338971613</v>
      </c>
      <c r="H53" s="151"/>
      <c r="I53" s="45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27</v>
      </c>
      <c r="B55" s="127"/>
      <c r="C55" s="264">
        <f>IF(C50&gt;0,C50*C53,0)</f>
        <v>356688.0467863397</v>
      </c>
      <c r="D55" s="102"/>
      <c r="E55" s="267">
        <f>G55-C55</f>
        <v>49933.95321366028</v>
      </c>
      <c r="F55" s="415" t="s">
        <v>356</v>
      </c>
      <c r="G55" s="264">
        <f>TAXREC!E144</f>
        <v>406622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35</v>
      </c>
      <c r="B58" s="127">
        <v>14</v>
      </c>
      <c r="C58" s="265"/>
      <c r="D58" s="132"/>
      <c r="E58" s="267">
        <f>+G58-C58</f>
        <v>0</v>
      </c>
      <c r="F58" s="415" t="s">
        <v>356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36</v>
      </c>
      <c r="B60" s="134"/>
      <c r="C60" s="266">
        <f>+C55-C58</f>
        <v>356688.0467863397</v>
      </c>
      <c r="D60" s="133"/>
      <c r="E60" s="269">
        <f>+E55-E58</f>
        <v>49933.95321366028</v>
      </c>
      <c r="F60" s="415" t="s">
        <v>356</v>
      </c>
      <c r="G60" s="269">
        <f>+G55-G58</f>
        <v>406622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30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28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16</v>
      </c>
      <c r="B66" s="125">
        <v>15</v>
      </c>
      <c r="C66" s="264">
        <f>Ratebase</f>
        <v>13988892</v>
      </c>
      <c r="D66" s="102"/>
      <c r="E66" s="267">
        <f>G66-C66</f>
        <v>-1574972</v>
      </c>
      <c r="F66" s="6"/>
      <c r="G66" s="459">
        <v>12413920</v>
      </c>
      <c r="H66" s="151"/>
      <c r="I66" s="460" t="s">
        <v>455</v>
      </c>
    </row>
    <row r="67" spans="1:10" ht="12.75">
      <c r="A67" s="152" t="s">
        <v>349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v>5000000</v>
      </c>
      <c r="H67" s="151"/>
      <c r="I67" s="460" t="s">
        <v>455</v>
      </c>
      <c r="J67" s="474"/>
    </row>
    <row r="68" spans="1:8" ht="12.75">
      <c r="A68" s="152" t="s">
        <v>41</v>
      </c>
      <c r="B68" s="125"/>
      <c r="C68" s="264">
        <f>IF((C66-C67)&gt;0,C66-C67,0)</f>
        <v>8988892</v>
      </c>
      <c r="D68" s="102"/>
      <c r="E68" s="267">
        <f>SUM(E66:E67)</f>
        <v>-1574972</v>
      </c>
      <c r="F68" s="114"/>
      <c r="G68" s="264">
        <f>G66-G67</f>
        <v>7413920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350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311</v>
      </c>
      <c r="B72" s="125"/>
      <c r="C72" s="264">
        <f>IF(C68&gt;0,C68*C70,0)*REGINFO!$B$6/REGINFO!$B$7</f>
        <v>26966.676</v>
      </c>
      <c r="D72" s="101"/>
      <c r="E72" s="267">
        <f>+G72-C72</f>
        <v>-4724.915999999997</v>
      </c>
      <c r="F72" s="461"/>
      <c r="G72" s="264">
        <f>IF(G68&gt;0,G68*G70,0)*REGINFO!$B$6/REGINFO!$B$7</f>
        <v>22241.760000000002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16</v>
      </c>
      <c r="B75" s="125">
        <v>18</v>
      </c>
      <c r="C75" s="264">
        <f>Ratebase</f>
        <v>13988892</v>
      </c>
      <c r="D75" s="102"/>
      <c r="E75" s="267">
        <f>+G75-C75</f>
        <v>-2550603</v>
      </c>
      <c r="F75" s="6"/>
      <c r="G75" s="459">
        <v>11438289</v>
      </c>
      <c r="H75" s="151"/>
      <c r="I75" s="460" t="s">
        <v>455</v>
      </c>
    </row>
    <row r="76" spans="1:9" ht="12.75">
      <c r="A76" s="152" t="s">
        <v>349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v>10000000</v>
      </c>
      <c r="H76" s="151"/>
      <c r="I76" s="460" t="s">
        <v>455</v>
      </c>
    </row>
    <row r="77" spans="1:8" ht="12.75">
      <c r="A77" s="152" t="s">
        <v>41</v>
      </c>
      <c r="B77" s="125"/>
      <c r="C77" s="264">
        <f>IF((C75-C76)&gt;0,C75-C76,0)</f>
        <v>3988892</v>
      </c>
      <c r="D77" s="19"/>
      <c r="E77" s="267">
        <f>SUM(E75:E76)</f>
        <v>-2550603</v>
      </c>
      <c r="F77" s="114"/>
      <c r="G77" s="264">
        <f>G75-G76</f>
        <v>1438289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350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Rates'!C37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312</v>
      </c>
      <c r="B81" s="125"/>
      <c r="C81" s="264">
        <f>IF(C77&gt;0,C77*C79,0)*REGINFO!$B$6/REGINFO!$B$7</f>
        <v>8975.007</v>
      </c>
      <c r="D81" s="102"/>
      <c r="E81" s="267">
        <f>+G81-C81</f>
        <v>-5738.85675</v>
      </c>
      <c r="F81" s="6"/>
      <c r="G81" s="264">
        <f>G77*G79*B9/B10</f>
        <v>3236.1502499999997</v>
      </c>
      <c r="H81" s="151"/>
    </row>
    <row r="82" spans="1:8" ht="12.75">
      <c r="A82" s="152" t="s">
        <v>313</v>
      </c>
      <c r="B82" s="125">
        <v>21</v>
      </c>
      <c r="C82" s="300">
        <f>IF(C77&gt;0,IF(C60&gt;0,C50*'Tax Rates'!C20,0),0)</f>
        <v>10344.138073555167</v>
      </c>
      <c r="D82" s="102"/>
      <c r="E82" s="267">
        <f>+G82-C82</f>
        <v>2435.1739264448333</v>
      </c>
      <c r="F82" s="6"/>
      <c r="G82" s="300">
        <f>TAXREC!C139*'Tax Rates'!C38</f>
        <v>12779.312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31</v>
      </c>
      <c r="B84" s="125"/>
      <c r="C84" s="264">
        <v>0</v>
      </c>
      <c r="D84" s="16"/>
      <c r="E84" s="267">
        <f>E81-E82</f>
        <v>-8174.030676444833</v>
      </c>
      <c r="F84" s="103"/>
      <c r="G84" s="264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225</v>
      </c>
      <c r="B88" s="125"/>
      <c r="C88" s="262">
        <f>'Tax Rates'!F16</f>
        <v>0.3862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357</v>
      </c>
      <c r="B90" s="127">
        <v>22</v>
      </c>
      <c r="C90" s="264">
        <f>C60/(1-C88)</f>
        <v>581114.4457255453</v>
      </c>
      <c r="D90" s="20"/>
      <c r="E90" s="139"/>
      <c r="F90" s="414" t="s">
        <v>461</v>
      </c>
      <c r="G90" s="270">
        <f>TAXREC!E156</f>
        <v>406622</v>
      </c>
      <c r="H90" s="151"/>
    </row>
    <row r="91" spans="1:8" ht="12.75">
      <c r="A91" s="158" t="s">
        <v>358</v>
      </c>
      <c r="B91" s="127">
        <v>23</v>
      </c>
      <c r="C91" s="264"/>
      <c r="D91" s="20"/>
      <c r="E91" s="139"/>
      <c r="F91" s="414" t="s">
        <v>461</v>
      </c>
      <c r="G91" s="270">
        <f>TAXREC!E158</f>
        <v>0</v>
      </c>
      <c r="H91" s="151"/>
    </row>
    <row r="92" spans="1:8" ht="12.75">
      <c r="A92" s="158" t="s">
        <v>341</v>
      </c>
      <c r="B92" s="127">
        <v>24</v>
      </c>
      <c r="C92" s="264">
        <f>C72</f>
        <v>26966.676</v>
      </c>
      <c r="D92" s="20"/>
      <c r="E92" s="139"/>
      <c r="F92" s="414" t="s">
        <v>461</v>
      </c>
      <c r="G92" s="270">
        <f>TAXREC!E157</f>
        <v>22242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462</v>
      </c>
      <c r="B95" s="125">
        <v>25</v>
      </c>
      <c r="C95" s="269">
        <f>SUM(C90:C93)</f>
        <v>608081.1217255453</v>
      </c>
      <c r="D95" s="6"/>
      <c r="E95" s="139"/>
      <c r="F95" s="414" t="s">
        <v>461</v>
      </c>
      <c r="G95" s="397">
        <f>SUM(G90:G94)</f>
        <v>428864</v>
      </c>
      <c r="H95" s="164"/>
    </row>
    <row r="96" spans="1:8" ht="12.75">
      <c r="A96" s="388" t="s">
        <v>303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301</v>
      </c>
      <c r="B99" s="123"/>
      <c r="C99" s="112"/>
      <c r="D99" s="3"/>
      <c r="E99" s="112"/>
      <c r="F99" s="3"/>
      <c r="G99" s="199"/>
      <c r="H99" s="164"/>
    </row>
    <row r="100" spans="1:8" ht="13.5">
      <c r="A100" s="166" t="s">
        <v>245</v>
      </c>
      <c r="B100" s="123"/>
      <c r="C100" s="112"/>
      <c r="D100" s="3"/>
      <c r="E100" s="143" t="s">
        <v>247</v>
      </c>
      <c r="F100" s="37"/>
      <c r="G100" s="199"/>
      <c r="H100" s="164"/>
    </row>
    <row r="101" spans="1:8" ht="12.75">
      <c r="A101" s="156" t="s">
        <v>339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54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98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489" t="s">
        <v>43</v>
      </c>
      <c r="B105" s="127">
        <v>5</v>
      </c>
      <c r="C105" s="112"/>
      <c r="D105" s="3"/>
      <c r="E105" s="490">
        <f>E24</f>
        <v>-63055</v>
      </c>
      <c r="F105" s="37"/>
      <c r="G105" s="200"/>
      <c r="H105" s="164"/>
    </row>
    <row r="106" spans="1:8" ht="12.75">
      <c r="A106" s="158" t="s">
        <v>352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353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351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55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44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43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469</v>
      </c>
      <c r="B112" s="127">
        <v>11</v>
      </c>
      <c r="C112" s="112"/>
      <c r="D112" s="3"/>
      <c r="E112" s="456">
        <f>E206</f>
        <v>43559.66500000004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99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354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355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-106614.66500000004</v>
      </c>
      <c r="F120" s="37"/>
      <c r="G120" s="200"/>
      <c r="H120" s="164"/>
      <c r="I120" s="483"/>
    </row>
    <row r="121" spans="1:9" ht="12.75">
      <c r="A121" s="152"/>
      <c r="B121" s="127"/>
      <c r="C121" s="112"/>
      <c r="D121" s="117"/>
      <c r="E121" s="110"/>
      <c r="F121" s="37"/>
      <c r="G121" s="200"/>
      <c r="H121" s="164"/>
      <c r="I121" s="483"/>
    </row>
    <row r="122" spans="1:8" ht="12.75">
      <c r="A122" s="157" t="s">
        <v>477</v>
      </c>
      <c r="B122" s="127"/>
      <c r="C122" s="112"/>
      <c r="D122" s="3" t="s">
        <v>229</v>
      </c>
      <c r="E122" s="453">
        <f>'Tax Rates'!F34</f>
        <v>0.36619999999999997</v>
      </c>
      <c r="F122" s="454"/>
      <c r="G122" s="200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-39042.29032300001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-39042.29032300001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194</v>
      </c>
      <c r="B130" s="127"/>
      <c r="C130" s="112"/>
      <c r="D130" s="3"/>
      <c r="E130" s="312">
        <f>'Tax Rates'!F34-'Tax Rates'!C38</f>
        <v>0.355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342</v>
      </c>
      <c r="B132" s="130"/>
      <c r="C132" s="112"/>
      <c r="D132" s="3"/>
      <c r="E132" s="468">
        <f>E128/(1-E130)</f>
        <v>-60530.68267131784</v>
      </c>
      <c r="F132" s="37"/>
      <c r="G132" s="200"/>
      <c r="H132" s="164"/>
      <c r="I132" s="483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27">
      <c r="A134" s="169" t="s">
        <v>345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6.25">
      <c r="A136" s="171" t="s">
        <v>233</v>
      </c>
      <c r="B136" s="130"/>
      <c r="C136" s="112"/>
      <c r="D136" s="118" t="s">
        <v>187</v>
      </c>
      <c r="E136" s="302">
        <f>C50</f>
        <v>923583.7565674256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'Tax Rates'!F34</f>
        <v>0.36619999999999997</v>
      </c>
      <c r="F138" s="196" t="s">
        <v>100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338216.37165499124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338216.37165499124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6.25">
      <c r="A146" s="171" t="s">
        <v>237</v>
      </c>
      <c r="B146" s="130"/>
      <c r="C146" s="112"/>
      <c r="D146" s="118" t="s">
        <v>186</v>
      </c>
      <c r="E146" s="302">
        <f>C60</f>
        <v>356688.0467863397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230</v>
      </c>
      <c r="B148" s="130"/>
      <c r="C148" s="112"/>
      <c r="D148" s="118" t="s">
        <v>187</v>
      </c>
      <c r="E148" s="302">
        <f>(E144-E146)</f>
        <v>-18471.675131348486</v>
      </c>
      <c r="F148" s="476"/>
      <c r="G148" s="200"/>
      <c r="H148" s="164"/>
      <c r="I148" s="476" t="s">
        <v>473</v>
      </c>
    </row>
    <row r="149" spans="1:8" ht="12.75">
      <c r="A149" s="171"/>
      <c r="B149" s="130"/>
      <c r="C149" s="112"/>
      <c r="D149" s="119"/>
      <c r="E149" s="144"/>
      <c r="F149" s="476"/>
      <c r="G149" s="200"/>
      <c r="H149" s="164"/>
    </row>
    <row r="150" spans="1:8" ht="12.75">
      <c r="A150" s="371" t="s">
        <v>19</v>
      </c>
      <c r="B150" s="130"/>
      <c r="C150" s="112"/>
      <c r="D150" s="119"/>
      <c r="E150" s="464"/>
      <c r="F150" s="37"/>
      <c r="G150" s="200"/>
      <c r="H150" s="164"/>
    </row>
    <row r="151" spans="1:8" ht="12.75">
      <c r="A151" s="171" t="s">
        <v>16</v>
      </c>
      <c r="B151" s="130"/>
      <c r="C151" s="112"/>
      <c r="D151" s="119" t="s">
        <v>187</v>
      </c>
      <c r="E151" s="302">
        <f>C66</f>
        <v>13988892</v>
      </c>
      <c r="F151" s="37"/>
      <c r="G151" s="200"/>
      <c r="H151" s="164"/>
    </row>
    <row r="152" spans="1:8" ht="12.75">
      <c r="A152" s="171" t="s">
        <v>348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0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8988892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8" t="s">
        <v>475</v>
      </c>
      <c r="B155" s="130"/>
      <c r="C155" s="112"/>
      <c r="D155" s="119" t="s">
        <v>229</v>
      </c>
      <c r="E155" s="306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26966.676</v>
      </c>
      <c r="F157" s="37"/>
      <c r="G157" s="200"/>
      <c r="H157" s="164"/>
    </row>
    <row r="158" spans="1:8" ht="26.25">
      <c r="A158" s="171" t="s">
        <v>304</v>
      </c>
      <c r="B158" s="130"/>
      <c r="C158" s="112"/>
      <c r="D158" s="118" t="s">
        <v>186</v>
      </c>
      <c r="E158" s="305">
        <f>C72</f>
        <v>26966.676</v>
      </c>
      <c r="F158" s="37"/>
      <c r="G158" s="200"/>
      <c r="H158" s="164"/>
    </row>
    <row r="159" spans="1:9" ht="12.75" customHeight="1">
      <c r="A159" s="172" t="s">
        <v>242</v>
      </c>
      <c r="B159" s="130"/>
      <c r="C159" s="112"/>
      <c r="D159" s="118" t="s">
        <v>187</v>
      </c>
      <c r="E159" s="458">
        <f>E157-E158</f>
        <v>0</v>
      </c>
      <c r="F159" s="37"/>
      <c r="G159" s="200"/>
      <c r="H159" s="164"/>
      <c r="I159" s="483" t="s">
        <v>480</v>
      </c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71" t="s">
        <v>234</v>
      </c>
      <c r="B161" s="130"/>
      <c r="C161" s="112"/>
      <c r="D161" s="119"/>
      <c r="E161" s="304"/>
      <c r="F161" s="37"/>
      <c r="G161" s="200"/>
      <c r="H161" s="164"/>
    </row>
    <row r="162" spans="1:8" ht="12.75">
      <c r="A162" s="171" t="s">
        <v>16</v>
      </c>
      <c r="B162" s="130"/>
      <c r="C162" s="112"/>
      <c r="D162" s="119"/>
      <c r="E162" s="302">
        <f>C75</f>
        <v>13988892</v>
      </c>
      <c r="F162" s="37"/>
      <c r="G162" s="200"/>
      <c r="H162" s="164"/>
    </row>
    <row r="163" spans="1:8" ht="12.75">
      <c r="A163" s="171" t="s">
        <v>347</v>
      </c>
      <c r="B163" s="130"/>
      <c r="C163" s="112"/>
      <c r="D163" s="118" t="s">
        <v>186</v>
      </c>
      <c r="E163" s="305">
        <f>IF(E162&gt;0,'Tax Rates'!C40,0)</f>
        <v>10000000</v>
      </c>
      <c r="F163" s="37"/>
      <c r="G163" s="200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3988892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8" t="s">
        <v>476</v>
      </c>
      <c r="B166" s="130"/>
      <c r="C166" s="112"/>
      <c r="D166" s="119"/>
      <c r="E166" s="306">
        <f>'Tax Rates'!C37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8975.007</v>
      </c>
      <c r="F168" s="37"/>
      <c r="G168" s="200"/>
      <c r="H168" s="164"/>
    </row>
    <row r="169" spans="1:8" ht="12.75">
      <c r="A169" s="171" t="s">
        <v>314</v>
      </c>
      <c r="B169" s="130"/>
      <c r="C169" s="112"/>
      <c r="D169" s="118" t="s">
        <v>186</v>
      </c>
      <c r="E169" s="307">
        <f>'Tax Rates'!C38*TAXCALC!C50</f>
        <v>10344.138073555167</v>
      </c>
      <c r="F169" s="37"/>
      <c r="G169" s="200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/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8" t="s">
        <v>340</v>
      </c>
      <c r="B172" s="130"/>
      <c r="C172" s="112"/>
      <c r="D172" s="118" t="s">
        <v>186</v>
      </c>
      <c r="E172" s="305">
        <f>C84</f>
        <v>0</v>
      </c>
      <c r="F172" s="37"/>
      <c r="G172" s="200"/>
      <c r="H172" s="164"/>
    </row>
    <row r="173" spans="1:9" ht="12.75">
      <c r="A173" s="155" t="s">
        <v>243</v>
      </c>
      <c r="B173" s="130"/>
      <c r="C173" s="112"/>
      <c r="D173" s="119" t="s">
        <v>187</v>
      </c>
      <c r="E173" s="458">
        <f>E170-E172</f>
        <v>0</v>
      </c>
      <c r="F173" s="37"/>
      <c r="G173" s="200"/>
      <c r="H173" s="164"/>
      <c r="I173" s="483" t="s">
        <v>480</v>
      </c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10" ht="12.75">
      <c r="A175" s="155" t="s">
        <v>338</v>
      </c>
      <c r="B175" s="130"/>
      <c r="C175" s="112"/>
      <c r="D175" s="119"/>
      <c r="E175" s="453">
        <f>'Tax Rates'!F34-'Tax Rates'!C38</f>
        <v>0.355</v>
      </c>
      <c r="F175" s="454"/>
      <c r="G175" s="200"/>
      <c r="H175" s="164"/>
      <c r="I175" s="476"/>
      <c r="J175" s="473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6"/>
    </row>
    <row r="177" spans="1:9" ht="12.75">
      <c r="A177" s="168" t="s">
        <v>241</v>
      </c>
      <c r="B177" s="130"/>
      <c r="C177" s="112"/>
      <c r="D177" s="119" t="s">
        <v>185</v>
      </c>
      <c r="E177" s="302">
        <f>E148/(1-E175)</f>
        <v>-28638.25601759455</v>
      </c>
      <c r="F177" s="37"/>
      <c r="G177" s="200"/>
      <c r="H177" s="164"/>
      <c r="I177" s="476"/>
    </row>
    <row r="178" spans="1:8" ht="12.75">
      <c r="A178" s="168" t="s">
        <v>32</v>
      </c>
      <c r="B178" s="130"/>
      <c r="C178" s="112"/>
      <c r="D178" s="119" t="s">
        <v>185</v>
      </c>
      <c r="E178" s="302">
        <f>E173/(1-E175)</f>
        <v>0</v>
      </c>
      <c r="F178" s="37"/>
      <c r="G178" s="200"/>
      <c r="H178" s="164"/>
    </row>
    <row r="179" spans="1:8" ht="12.75">
      <c r="A179" s="168" t="s">
        <v>19</v>
      </c>
      <c r="B179" s="130"/>
      <c r="C179" s="112"/>
      <c r="D179" s="119" t="s">
        <v>185</v>
      </c>
      <c r="E179" s="302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343</v>
      </c>
      <c r="B181" s="130"/>
      <c r="C181" s="112"/>
      <c r="D181" s="119" t="s">
        <v>187</v>
      </c>
      <c r="E181" s="467">
        <f>SUM(E177:E179)</f>
        <v>-28638.25601759455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468</v>
      </c>
      <c r="B183" s="130"/>
      <c r="C183" s="112"/>
      <c r="D183" s="119" t="s">
        <v>185</v>
      </c>
      <c r="E183" s="467">
        <f>E132</f>
        <v>-60530.68267131784</v>
      </c>
      <c r="F183" s="37" t="s">
        <v>100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3.5">
      <c r="A185" s="479" t="s">
        <v>344</v>
      </c>
      <c r="B185" s="130"/>
      <c r="C185" s="112"/>
      <c r="D185" s="119" t="s">
        <v>187</v>
      </c>
      <c r="E185" s="484">
        <f>E181+E183</f>
        <v>-89168.93868891239</v>
      </c>
      <c r="F185" s="37"/>
      <c r="G185" s="200"/>
      <c r="H185" s="164"/>
    </row>
    <row r="186" spans="1:8" ht="12.75">
      <c r="A186" s="480" t="s">
        <v>246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56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81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507097.33499999996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434516.2434325744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336</v>
      </c>
      <c r="B196" s="127"/>
      <c r="C196" s="112"/>
      <c r="D196" s="120"/>
      <c r="E196" s="308">
        <f>E193-E194</f>
        <v>72581.09156742558</v>
      </c>
      <c r="F196" s="3"/>
      <c r="G196" s="123"/>
      <c r="H196" s="164"/>
    </row>
    <row r="197" spans="1:8" ht="12.75">
      <c r="A197" s="155" t="s">
        <v>337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254</v>
      </c>
      <c r="B199" s="127"/>
      <c r="C199" s="112"/>
      <c r="D199" s="120"/>
      <c r="E199" s="147"/>
      <c r="F199" s="3"/>
      <c r="G199" s="469"/>
      <c r="H199" s="164"/>
    </row>
    <row r="200" spans="1:8" ht="12.75">
      <c r="A200" s="175" t="s">
        <v>83</v>
      </c>
      <c r="B200" s="127"/>
      <c r="C200" s="112"/>
      <c r="D200" s="120"/>
      <c r="E200" s="147"/>
      <c r="H200" s="164"/>
    </row>
    <row r="201" spans="1:8" ht="12.75">
      <c r="A201" s="491" t="s">
        <v>487</v>
      </c>
      <c r="B201" s="127"/>
      <c r="C201" s="112"/>
      <c r="D201" s="120"/>
      <c r="E201" s="308">
        <v>550657</v>
      </c>
      <c r="F201" s="3"/>
      <c r="G201" s="469"/>
      <c r="H201" s="164"/>
    </row>
    <row r="202" spans="1:8" ht="12.75">
      <c r="A202" s="477" t="s">
        <v>474</v>
      </c>
      <c r="B202" s="127"/>
      <c r="C202" s="112"/>
      <c r="D202" s="120"/>
      <c r="E202" s="308">
        <f>REGINFO!D62</f>
        <v>507097.33499999996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82</v>
      </c>
      <c r="B204" s="127"/>
      <c r="C204" s="112"/>
      <c r="D204" s="120"/>
      <c r="E204" s="303">
        <f>IF((E201-E202)&gt;0,E201-E202,0)</f>
        <v>43559.66500000004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470</v>
      </c>
      <c r="B206" s="127"/>
      <c r="C206" s="112"/>
      <c r="D206" s="120"/>
      <c r="E206" s="455">
        <f>IF((E201-E202)&gt;0,E201-E202,0)</f>
        <v>43559.66500000004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223</v>
      </c>
      <c r="B208" s="177"/>
      <c r="C208" s="178"/>
      <c r="D208" s="179"/>
      <c r="E208" s="309">
        <f>+E196-E204</f>
        <v>29021.426567425544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3" horizontalDpi="600" verticalDpi="600" orientation="portrait" scale="50" r:id="rId3"/>
  <rowBreaks count="2" manualBreakCount="2">
    <brk id="97" max="7" man="1"/>
    <brk id="18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97">
      <selection activeCell="P28" sqref="P2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/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2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Lakefront Utilities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29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258">
        <f>Ratebase*REGINFO!D33*0.0025</f>
        <v>17486.115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62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62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62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62</v>
      </c>
      <c r="C17" s="8"/>
      <c r="E17" s="26"/>
      <c r="F17" s="8"/>
    </row>
    <row r="18" spans="1:6" ht="12.75">
      <c r="A18" s="55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4" t="s">
        <v>320</v>
      </c>
      <c r="B23" s="385"/>
      <c r="C23" s="386"/>
      <c r="D23" s="387"/>
      <c r="E23" s="28"/>
      <c r="F23" s="11"/>
      <c r="G23" s="11"/>
      <c r="H23" s="6"/>
      <c r="I23" s="6"/>
    </row>
    <row r="24" spans="1:9" ht="12.75">
      <c r="A24" s="384" t="s">
        <v>256</v>
      </c>
      <c r="B24" s="385"/>
      <c r="C24" s="386"/>
      <c r="D24" s="387"/>
      <c r="E24" s="28"/>
      <c r="F24" s="11"/>
      <c r="G24" s="11"/>
      <c r="H24" s="6"/>
      <c r="I24" s="6"/>
    </row>
    <row r="25" spans="1:9" ht="12.75">
      <c r="A25" s="384" t="s">
        <v>221</v>
      </c>
      <c r="B25" s="385"/>
      <c r="C25" s="386"/>
      <c r="D25" s="387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4" t="s">
        <v>318</v>
      </c>
      <c r="B27" s="385"/>
      <c r="C27" s="386"/>
      <c r="D27" s="387"/>
      <c r="E27" s="28"/>
      <c r="F27" s="11"/>
      <c r="G27" s="11"/>
      <c r="H27" s="6"/>
      <c r="I27" s="6"/>
    </row>
    <row r="28" spans="1:9" ht="12.75">
      <c r="A28" s="384" t="s">
        <v>319</v>
      </c>
      <c r="B28" s="385"/>
      <c r="C28" s="386"/>
      <c r="D28" s="387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271</v>
      </c>
      <c r="B31" s="23" t="s">
        <v>185</v>
      </c>
      <c r="C31" s="285">
        <v>17490864</v>
      </c>
      <c r="D31" s="286"/>
      <c r="E31" s="284">
        <f>C31-D31</f>
        <v>17490864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3778116</v>
      </c>
      <c r="D32" s="286"/>
      <c r="E32" s="284">
        <f>C32-D32</f>
        <v>3778116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v>236929</v>
      </c>
      <c r="D33" s="286"/>
      <c r="E33" s="284">
        <f>C33-D33</f>
        <v>236929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>
        <v>17490864</v>
      </c>
      <c r="D39" s="286"/>
      <c r="E39" s="284">
        <f>C39-D39</f>
        <v>17490864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>
        <v>502075</v>
      </c>
      <c r="D40" s="286"/>
      <c r="E40" s="284">
        <f aca="true" t="shared" si="0" ref="E40:E48">C40-D40</f>
        <v>502075</v>
      </c>
      <c r="F40" s="11"/>
      <c r="G40" s="11"/>
      <c r="H40" s="6"/>
      <c r="I40" s="6"/>
    </row>
    <row r="41" spans="1:9" ht="12.75">
      <c r="A41" s="4" t="s">
        <v>272</v>
      </c>
      <c r="B41" s="23" t="s">
        <v>186</v>
      </c>
      <c r="C41" s="285">
        <v>273895</v>
      </c>
      <c r="D41" s="286"/>
      <c r="E41" s="284">
        <f t="shared" si="0"/>
        <v>273895</v>
      </c>
      <c r="F41" s="11"/>
      <c r="G41" s="11"/>
      <c r="H41" s="6"/>
      <c r="I41" s="6"/>
    </row>
    <row r="42" spans="1:9" ht="12.75">
      <c r="A42" s="4" t="s">
        <v>273</v>
      </c>
      <c r="B42" s="23" t="s">
        <v>186</v>
      </c>
      <c r="C42" s="285">
        <v>429336</v>
      </c>
      <c r="D42" s="286"/>
      <c r="E42" s="284">
        <f t="shared" si="0"/>
        <v>429336</v>
      </c>
      <c r="F42" s="11"/>
      <c r="G42" s="11"/>
      <c r="H42" s="6"/>
      <c r="I42" s="6"/>
    </row>
    <row r="43" spans="1:9" ht="12.75">
      <c r="A43" s="4" t="s">
        <v>274</v>
      </c>
      <c r="B43" s="23" t="s">
        <v>186</v>
      </c>
      <c r="C43" s="285">
        <v>685742</v>
      </c>
      <c r="D43" s="286"/>
      <c r="E43" s="284">
        <f t="shared" si="0"/>
        <v>685742</v>
      </c>
      <c r="F43" s="11"/>
      <c r="G43" s="11"/>
      <c r="H43" s="6"/>
      <c r="I43" s="6"/>
    </row>
    <row r="44" spans="1:9" ht="12.75">
      <c r="A44" s="473" t="s">
        <v>275</v>
      </c>
      <c r="B44" s="23" t="s">
        <v>186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73" t="s">
        <v>481</v>
      </c>
      <c r="B45" s="23" t="s">
        <v>186</v>
      </c>
      <c r="C45" s="481"/>
      <c r="D45" s="286"/>
      <c r="E45" s="284">
        <f t="shared" si="0"/>
        <v>0</v>
      </c>
      <c r="F45" s="11"/>
      <c r="G45" s="472"/>
      <c r="H45" s="33"/>
      <c r="I45" s="33"/>
      <c r="J45" s="32"/>
      <c r="K45" s="32"/>
    </row>
    <row r="46" spans="1:11" ht="12.75">
      <c r="A46" s="473" t="s">
        <v>478</v>
      </c>
      <c r="B46" s="23" t="s">
        <v>186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80</v>
      </c>
      <c r="B50" s="23" t="s">
        <v>187</v>
      </c>
      <c r="C50" s="281">
        <f>SUM(C31:C36)-SUM(C39:C49)</f>
        <v>2123997</v>
      </c>
      <c r="D50" s="281">
        <f>SUM(D31:D36)-SUM(D39:D49)</f>
        <v>0</v>
      </c>
      <c r="E50" s="281">
        <f>SUM(E31:E35)-SUM(E39:E48)</f>
        <v>2123997</v>
      </c>
      <c r="F50" s="11"/>
      <c r="G50" s="11"/>
      <c r="H50" s="6"/>
      <c r="I50" s="6"/>
    </row>
    <row r="51" spans="1:9" ht="12.75">
      <c r="A51" s="4" t="s">
        <v>89</v>
      </c>
      <c r="B51" s="23" t="s">
        <v>186</v>
      </c>
      <c r="C51" s="285">
        <f>507500+64215</f>
        <v>571715</v>
      </c>
      <c r="D51" s="285"/>
      <c r="E51" s="282">
        <f>+C51-D51</f>
        <v>571715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>
        <v>425670</v>
      </c>
      <c r="D52" s="285"/>
      <c r="E52" s="283">
        <f>+C52-D52</f>
        <v>425670</v>
      </c>
      <c r="F52" s="8"/>
      <c r="G52" s="399"/>
    </row>
    <row r="53" spans="1:6" ht="12.75">
      <c r="A53" s="2" t="s">
        <v>129</v>
      </c>
      <c r="B53" s="8" t="s">
        <v>187</v>
      </c>
      <c r="C53" s="281">
        <f>C50-C51-C52</f>
        <v>1126612</v>
      </c>
      <c r="D53" s="281">
        <f>D50-D51-D52</f>
        <v>0</v>
      </c>
      <c r="E53" s="281">
        <f>E50-E51-E52</f>
        <v>1126612</v>
      </c>
      <c r="F53" s="8"/>
    </row>
    <row r="54" spans="1:6" ht="22.5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425670</v>
      </c>
      <c r="D59" s="287">
        <f>D52</f>
        <v>0</v>
      </c>
      <c r="E59" s="272">
        <f>+C59-D59</f>
        <v>425670</v>
      </c>
      <c r="F59" s="8"/>
      <c r="G59" s="399"/>
    </row>
    <row r="60" spans="1:6" ht="12.75">
      <c r="A60" s="4" t="s">
        <v>321</v>
      </c>
      <c r="B60" s="8" t="s">
        <v>185</v>
      </c>
      <c r="C60" s="318"/>
      <c r="D60" s="318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</f>
        <v>685742</v>
      </c>
      <c r="D61" s="287">
        <f>D43</f>
        <v>0</v>
      </c>
      <c r="E61" s="272">
        <f>+C61-D61</f>
        <v>685742</v>
      </c>
      <c r="F61" s="8"/>
      <c r="G61" s="399"/>
    </row>
    <row r="62" spans="1:6" ht="12.75">
      <c r="A62" t="s">
        <v>6</v>
      </c>
      <c r="B62" s="8" t="s">
        <v>185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276</v>
      </c>
      <c r="B63" s="8" t="s">
        <v>185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50</v>
      </c>
      <c r="B64" s="8" t="s">
        <v>185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428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51" t="s">
        <v>379</v>
      </c>
      <c r="B66" s="8"/>
      <c r="C66" s="430">
        <f>'TAXREC 3 No True-up'!C47</f>
        <v>0</v>
      </c>
      <c r="D66" s="430">
        <f>'TAXREC 3 No True-up'!D47</f>
        <v>0</v>
      </c>
      <c r="E66" s="272">
        <f>+C66-D66</f>
        <v>0</v>
      </c>
      <c r="F66" s="8"/>
    </row>
    <row r="67" spans="1:6" ht="12.75">
      <c r="A67" t="s">
        <v>158</v>
      </c>
      <c r="B67" s="8" t="s">
        <v>185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1111412</v>
      </c>
      <c r="D70" s="272">
        <f>SUM(D59:D68)</f>
        <v>0</v>
      </c>
      <c r="E70" s="272">
        <f>SUM(E59:E68)</f>
        <v>1111412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66">
        <v>0</v>
      </c>
      <c r="D76" s="294"/>
      <c r="E76" s="46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48</v>
      </c>
      <c r="B80" s="8" t="s">
        <v>187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17</v>
      </c>
      <c r="B82" s="8" t="s">
        <v>187</v>
      </c>
      <c r="C82" s="250">
        <f>C70+C80</f>
        <v>1111412</v>
      </c>
      <c r="D82" s="250">
        <f>D70+D80</f>
        <v>0</v>
      </c>
      <c r="E82" s="250">
        <f>E70+E80</f>
        <v>1111412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416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186</v>
      </c>
      <c r="C97" s="294">
        <v>484888</v>
      </c>
      <c r="D97" s="294"/>
      <c r="E97" s="272">
        <f>+C97-D97</f>
        <v>484888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186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186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1" t="s">
        <v>379</v>
      </c>
      <c r="B108" s="8"/>
      <c r="C108" s="253">
        <f>'TAXREC 3 No True-up'!C73</f>
        <v>22243</v>
      </c>
      <c r="D108" s="253">
        <f>'TAXREC 3 No True-up'!D73</f>
        <v>0</v>
      </c>
      <c r="E108" s="272">
        <f t="shared" si="5"/>
        <v>22243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0">
        <f>SUM(C97:C111)</f>
        <v>507131</v>
      </c>
      <c r="D113" s="250">
        <f>SUM(D97:D111)</f>
        <v>0</v>
      </c>
      <c r="E113" s="250">
        <f>SUM(E97:E111)</f>
        <v>507131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471"/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49</v>
      </c>
      <c r="B120" s="8" t="s">
        <v>187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18</v>
      </c>
      <c r="B122" s="8" t="s">
        <v>187</v>
      </c>
      <c r="C122" s="250">
        <f>C113+C120</f>
        <v>507131</v>
      </c>
      <c r="D122" s="250">
        <f>D113+D120</f>
        <v>0</v>
      </c>
      <c r="E122" s="250">
        <f>+E113+E120</f>
        <v>507131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79</v>
      </c>
      <c r="B134" s="8" t="s">
        <v>187</v>
      </c>
      <c r="C134" s="250">
        <f>+C53+C82-C122</f>
        <v>1730893</v>
      </c>
      <c r="D134" s="250">
        <f>D53+D82-D122</f>
        <v>0</v>
      </c>
      <c r="E134" s="250">
        <f>E53+E82-E122</f>
        <v>1730893</v>
      </c>
      <c r="F134" s="8"/>
      <c r="G134" s="45"/>
      <c r="H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363</v>
      </c>
      <c r="B136" s="8" t="s">
        <v>186</v>
      </c>
      <c r="C136" s="294">
        <v>589883</v>
      </c>
      <c r="D136" s="294"/>
      <c r="E136" s="264">
        <f>C136-D136</f>
        <v>589883</v>
      </c>
      <c r="F136" s="8"/>
      <c r="G136" s="45"/>
      <c r="H136" s="45"/>
      <c r="J136" s="45"/>
      <c r="K136" s="45"/>
    </row>
    <row r="137" spans="1:11" ht="12.75">
      <c r="A137" s="46" t="s">
        <v>364</v>
      </c>
      <c r="B137" s="8" t="s">
        <v>186</v>
      </c>
      <c r="C137" s="310"/>
      <c r="D137" s="310"/>
      <c r="E137" s="378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78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1">
        <f>C134-C136-C137-C138</f>
        <v>1141010</v>
      </c>
      <c r="D139" s="251">
        <f>D134-D136-D137-D138</f>
        <v>0</v>
      </c>
      <c r="E139" s="251">
        <f>E134-E136-E137-E138</f>
        <v>1141010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317</v>
      </c>
      <c r="B142" s="8" t="s">
        <v>185</v>
      </c>
      <c r="C142" s="298">
        <v>263996</v>
      </c>
      <c r="D142" s="298"/>
      <c r="E142" s="251">
        <f>C142-D142</f>
        <v>263996</v>
      </c>
      <c r="F142" s="8"/>
      <c r="G142" s="45"/>
      <c r="H142" s="45"/>
      <c r="I142" s="45"/>
      <c r="J142" s="45"/>
      <c r="K142" s="45"/>
    </row>
    <row r="143" spans="1:11" ht="12.75">
      <c r="A143" s="46" t="s">
        <v>316</v>
      </c>
      <c r="B143" s="8" t="s">
        <v>185</v>
      </c>
      <c r="C143" s="298">
        <v>142626</v>
      </c>
      <c r="D143" s="298"/>
      <c r="E143" s="292">
        <f>C143-D143</f>
        <v>142626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406622</v>
      </c>
      <c r="D144" s="251">
        <f>D142+D143</f>
        <v>0</v>
      </c>
      <c r="E144" s="251">
        <f>E142+E143</f>
        <v>406622</v>
      </c>
      <c r="F144" s="8"/>
      <c r="G144" s="45"/>
      <c r="H144" s="45"/>
      <c r="I144" s="45"/>
      <c r="J144" s="45"/>
      <c r="K144" s="45"/>
    </row>
    <row r="145" spans="1:11" ht="12.75">
      <c r="A145" s="46" t="s">
        <v>328</v>
      </c>
      <c r="B145" s="8" t="s">
        <v>186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97</v>
      </c>
      <c r="B146" s="8" t="s">
        <v>187</v>
      </c>
      <c r="C146" s="251">
        <f>C144-C145</f>
        <v>406622</v>
      </c>
      <c r="D146" s="251">
        <f>D144-D145</f>
        <v>0</v>
      </c>
      <c r="E146" s="251">
        <f>E144-E145</f>
        <v>406622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323</v>
      </c>
      <c r="B149" s="8"/>
      <c r="C149" s="389">
        <f>C142/C139</f>
        <v>0.23137045249384317</v>
      </c>
      <c r="D149" s="5"/>
      <c r="E149" s="390">
        <f>C149</f>
        <v>0.23137045249384317</v>
      </c>
      <c r="F149" s="8"/>
      <c r="G149" s="482" t="s">
        <v>479</v>
      </c>
      <c r="H149" s="45"/>
      <c r="I149" s="45"/>
      <c r="J149" s="45"/>
      <c r="K149" s="45"/>
    </row>
    <row r="150" spans="1:11" ht="12.75">
      <c r="A150" s="46" t="s">
        <v>324</v>
      </c>
      <c r="B150" s="8"/>
      <c r="C150" s="389">
        <f>C143/C139</f>
        <v>0.12499978089587295</v>
      </c>
      <c r="D150" s="470"/>
      <c r="E150" s="390">
        <f>C150</f>
        <v>0.12499978089587295</v>
      </c>
      <c r="F150" s="8"/>
      <c r="G150" s="482" t="s">
        <v>479</v>
      </c>
      <c r="H150" s="45"/>
      <c r="I150" s="45"/>
      <c r="J150" s="45"/>
      <c r="K150" s="45"/>
    </row>
    <row r="151" spans="1:11" ht="12.75">
      <c r="A151" t="s">
        <v>325</v>
      </c>
      <c r="B151" s="8"/>
      <c r="C151" s="390">
        <f>SUM(C149:C150)</f>
        <v>0.35637023338971613</v>
      </c>
      <c r="D151" s="5"/>
      <c r="E151" s="390">
        <f>SUM(E149:E150)</f>
        <v>0.35637023338971613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346</v>
      </c>
      <c r="B153" s="8"/>
    </row>
    <row r="154" spans="1:2" ht="12.75">
      <c r="A154" s="14"/>
      <c r="B154" s="8"/>
    </row>
    <row r="155" spans="1:2" ht="12.75">
      <c r="A155" s="2" t="s">
        <v>458</v>
      </c>
      <c r="B155" s="8"/>
    </row>
    <row r="156" spans="1:5" ht="12.75">
      <c r="A156" t="s">
        <v>217</v>
      </c>
      <c r="B156" s="86" t="s">
        <v>185</v>
      </c>
      <c r="C156" s="250">
        <f>C146</f>
        <v>406622</v>
      </c>
      <c r="D156" s="250">
        <f>D146</f>
        <v>0</v>
      </c>
      <c r="E156" s="250">
        <f>E146</f>
        <v>406622</v>
      </c>
    </row>
    <row r="157" spans="1:5" ht="12.75">
      <c r="A157" t="s">
        <v>19</v>
      </c>
      <c r="B157" s="86" t="s">
        <v>185</v>
      </c>
      <c r="C157" s="463">
        <v>22242</v>
      </c>
      <c r="D157" s="250"/>
      <c r="E157" s="250">
        <f>C157+D157</f>
        <v>22242</v>
      </c>
    </row>
    <row r="158" spans="1:5" ht="12.75">
      <c r="A158" t="s">
        <v>216</v>
      </c>
      <c r="B158" s="86" t="s">
        <v>185</v>
      </c>
      <c r="C158" s="463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299</v>
      </c>
      <c r="B160" s="66" t="s">
        <v>187</v>
      </c>
      <c r="C160" s="250">
        <f>C156+C157+C158</f>
        <v>428864</v>
      </c>
      <c r="D160" s="250">
        <f>D156+D157+D158</f>
        <v>0</v>
      </c>
      <c r="E160" s="250">
        <f>E156+E157+E158</f>
        <v>428864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horizontalDpi="600" verticalDpi="600" orientation="portrait" scale="66" r:id="rId1"/>
  <rowBreaks count="1" manualBreakCount="1">
    <brk id="8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33">
      <selection activeCell="P28" sqref="P2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s="486" t="s">
        <v>485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Lakefront Utilities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6" t="s">
        <v>270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278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279</v>
      </c>
      <c r="B15" s="61"/>
      <c r="C15" s="294"/>
      <c r="D15" s="294"/>
      <c r="E15" s="250">
        <f t="shared" si="0"/>
        <v>0</v>
      </c>
    </row>
    <row r="16" spans="1:5" ht="12.75">
      <c r="A16" s="61" t="s">
        <v>280</v>
      </c>
      <c r="B16" s="61"/>
      <c r="C16" s="294"/>
      <c r="D16" s="294"/>
      <c r="E16" s="250">
        <f t="shared" si="0"/>
        <v>0</v>
      </c>
    </row>
    <row r="17" spans="1:5" ht="12.75">
      <c r="A17" s="61" t="s">
        <v>281</v>
      </c>
      <c r="B17" s="61"/>
      <c r="C17" s="294"/>
      <c r="D17" s="294"/>
      <c r="E17" s="250">
        <f t="shared" si="0"/>
        <v>0</v>
      </c>
    </row>
    <row r="18" spans="1:5" ht="12.75">
      <c r="A18" s="61" t="s">
        <v>433</v>
      </c>
      <c r="B18" s="61"/>
      <c r="C18" s="294"/>
      <c r="D18" s="294"/>
      <c r="E18" s="250">
        <f t="shared" si="0"/>
        <v>0</v>
      </c>
    </row>
    <row r="19" spans="1:5" ht="12.75">
      <c r="A19" s="61" t="s">
        <v>433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269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278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279</v>
      </c>
      <c r="B27" s="61"/>
      <c r="C27" s="294"/>
      <c r="D27" s="294"/>
      <c r="E27" s="250">
        <f t="shared" si="1"/>
        <v>0</v>
      </c>
    </row>
    <row r="28" spans="1:5" ht="12.75">
      <c r="A28" s="61" t="s">
        <v>280</v>
      </c>
      <c r="B28" s="61"/>
      <c r="C28" s="294"/>
      <c r="D28" s="294"/>
      <c r="E28" s="250">
        <f t="shared" si="1"/>
        <v>0</v>
      </c>
    </row>
    <row r="29" spans="1:5" ht="12.75">
      <c r="A29" s="61" t="s">
        <v>281</v>
      </c>
      <c r="B29" s="61"/>
      <c r="C29" s="294"/>
      <c r="D29" s="294"/>
      <c r="E29" s="250">
        <f t="shared" si="1"/>
        <v>0</v>
      </c>
    </row>
    <row r="30" spans="1:5" ht="12.75">
      <c r="A30" s="61" t="s">
        <v>433</v>
      </c>
      <c r="B30" s="61"/>
      <c r="C30" s="294"/>
      <c r="D30" s="294"/>
      <c r="E30" s="250">
        <f t="shared" si="1"/>
        <v>0</v>
      </c>
    </row>
    <row r="31" spans="1:5" ht="12.75">
      <c r="A31" s="61" t="s">
        <v>433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270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264</v>
      </c>
      <c r="B43" s="61"/>
      <c r="C43" s="294"/>
      <c r="D43" s="294"/>
      <c r="E43" s="250">
        <f t="shared" si="2"/>
        <v>0</v>
      </c>
    </row>
    <row r="44" spans="1:5" ht="12.75">
      <c r="A44" s="61" t="s">
        <v>265</v>
      </c>
      <c r="B44" s="61"/>
      <c r="C44" s="294"/>
      <c r="D44" s="294"/>
      <c r="E44" s="250">
        <f t="shared" si="2"/>
        <v>0</v>
      </c>
    </row>
    <row r="45" spans="1:5" ht="12.75">
      <c r="A45" s="61" t="s">
        <v>266</v>
      </c>
      <c r="B45" s="61"/>
      <c r="C45" s="294"/>
      <c r="D45" s="294"/>
      <c r="E45" s="250">
        <f t="shared" si="2"/>
        <v>0</v>
      </c>
    </row>
    <row r="46" spans="1:5" ht="12.75">
      <c r="A46" s="61" t="s">
        <v>267</v>
      </c>
      <c r="B46" s="61"/>
      <c r="C46" s="294"/>
      <c r="D46" s="294"/>
      <c r="E46" s="250">
        <f t="shared" si="2"/>
        <v>0</v>
      </c>
    </row>
    <row r="47" spans="1:5" ht="12.75">
      <c r="A47" s="61" t="s">
        <v>481</v>
      </c>
      <c r="B47" s="61"/>
      <c r="C47" s="294"/>
      <c r="D47" s="294"/>
      <c r="E47" s="250">
        <f t="shared" si="2"/>
        <v>0</v>
      </c>
    </row>
    <row r="48" spans="1:5" ht="12.75">
      <c r="A48" s="61" t="s">
        <v>433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269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264</v>
      </c>
      <c r="B55" s="61"/>
      <c r="C55" s="294"/>
      <c r="D55" s="294"/>
      <c r="E55" s="250">
        <f t="shared" si="3"/>
        <v>0</v>
      </c>
    </row>
    <row r="56" spans="1:5" ht="12.75">
      <c r="A56" s="245" t="s">
        <v>265</v>
      </c>
      <c r="B56" s="61"/>
      <c r="C56" s="294"/>
      <c r="D56" s="294"/>
      <c r="E56" s="250">
        <f t="shared" si="3"/>
        <v>0</v>
      </c>
    </row>
    <row r="57" spans="1:5" ht="12.75">
      <c r="A57" s="245" t="s">
        <v>266</v>
      </c>
      <c r="B57" s="61"/>
      <c r="C57" s="294"/>
      <c r="D57" s="294"/>
      <c r="E57" s="250">
        <f t="shared" si="3"/>
        <v>0</v>
      </c>
    </row>
    <row r="58" spans="1:5" ht="12.75">
      <c r="A58" s="245" t="s">
        <v>267</v>
      </c>
      <c r="B58" s="61"/>
      <c r="C58" s="294"/>
      <c r="D58" s="294"/>
      <c r="E58" s="250">
        <f t="shared" si="3"/>
        <v>0</v>
      </c>
    </row>
    <row r="59" spans="1:5" ht="12.75">
      <c r="A59" s="61" t="s">
        <v>481</v>
      </c>
      <c r="B59" s="61"/>
      <c r="C59" s="294"/>
      <c r="D59" s="294"/>
      <c r="E59" s="250">
        <f t="shared" si="3"/>
        <v>0</v>
      </c>
    </row>
    <row r="60" spans="1:5" ht="12.75">
      <c r="A60" s="61" t="s">
        <v>433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119" activePane="bottomRight" state="frozen"/>
      <selection pane="topLeft" activeCell="P28" sqref="P28"/>
      <selection pane="topRight" activeCell="P28" sqref="P28"/>
      <selection pane="bottomLeft" activeCell="P28" sqref="P28"/>
      <selection pane="bottomRight" activeCell="P28" sqref="P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399" t="s">
        <v>450</v>
      </c>
      <c r="B5" s="8"/>
      <c r="C5" s="8" t="s">
        <v>2</v>
      </c>
      <c r="D5" s="8"/>
      <c r="E5" s="8"/>
      <c r="F5" s="8"/>
    </row>
    <row r="6" spans="1:6" ht="12.75">
      <c r="A6" s="399" t="s">
        <v>430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Lakefront Utilities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272">
        <f>TAXREC!C13</f>
        <v>17486.115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3">
        <f>C17-D17</f>
        <v>0</v>
      </c>
    </row>
    <row r="18" spans="1:5" ht="12.75">
      <c r="A18" s="67" t="s">
        <v>250</v>
      </c>
      <c r="B18" t="s">
        <v>185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/>
      <c r="D19" s="295"/>
      <c r="E19" s="313">
        <f t="shared" si="0"/>
        <v>0</v>
      </c>
    </row>
    <row r="20" spans="1:5" ht="12.75">
      <c r="A20" s="67" t="s">
        <v>434</v>
      </c>
      <c r="B20" t="s">
        <v>185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/>
      <c r="B22" t="s">
        <v>185</v>
      </c>
      <c r="C22" s="295"/>
      <c r="D22" s="295"/>
      <c r="E22" s="313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251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3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3">
        <f t="shared" si="0"/>
        <v>0</v>
      </c>
    </row>
    <row r="36" spans="1:5" ht="12.75">
      <c r="A36" s="67" t="s">
        <v>456</v>
      </c>
      <c r="B36" t="s">
        <v>185</v>
      </c>
      <c r="C36" s="295"/>
      <c r="D36" s="295"/>
      <c r="E36" s="313">
        <f t="shared" si="0"/>
        <v>0</v>
      </c>
    </row>
    <row r="37" spans="1:5" ht="12.75">
      <c r="A37" s="67"/>
      <c r="B37" t="s">
        <v>185</v>
      </c>
      <c r="C37" s="295"/>
      <c r="D37" s="295"/>
      <c r="E37" s="313">
        <f t="shared" si="0"/>
        <v>0</v>
      </c>
    </row>
    <row r="38" spans="2:5" ht="12.75">
      <c r="B38" t="s">
        <v>185</v>
      </c>
      <c r="C38" s="295"/>
      <c r="D38" s="295"/>
      <c r="E38" s="250">
        <f t="shared" si="0"/>
        <v>0</v>
      </c>
    </row>
    <row r="39" spans="2:5" ht="12.75">
      <c r="B39" t="s">
        <v>185</v>
      </c>
      <c r="C39" s="294"/>
      <c r="D39" s="295"/>
      <c r="E39" s="250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0">
        <f t="shared" si="0"/>
        <v>0</v>
      </c>
    </row>
    <row r="41" spans="1:5" ht="12.75">
      <c r="A41" s="485" t="s">
        <v>484</v>
      </c>
      <c r="B41" t="s">
        <v>185</v>
      </c>
      <c r="C41" s="294"/>
      <c r="D41" s="294"/>
      <c r="E41" s="250">
        <f t="shared" si="0"/>
        <v>0</v>
      </c>
    </row>
    <row r="42" spans="1:5" ht="12.75">
      <c r="A42" s="67"/>
      <c r="B42" t="s">
        <v>185</v>
      </c>
      <c r="C42" s="294"/>
      <c r="D42" s="294"/>
      <c r="E42" s="250">
        <f t="shared" si="0"/>
        <v>0</v>
      </c>
    </row>
    <row r="43" spans="1:5" ht="12.75">
      <c r="A43" s="67"/>
      <c r="B43" t="s">
        <v>185</v>
      </c>
      <c r="C43" s="294"/>
      <c r="D43" s="294"/>
      <c r="E43" s="250">
        <f t="shared" si="0"/>
        <v>0</v>
      </c>
    </row>
    <row r="44" spans="1:5" ht="12.75">
      <c r="A44" s="67"/>
      <c r="B44" t="s">
        <v>185</v>
      </c>
      <c r="C44" s="294"/>
      <c r="D44" s="294"/>
      <c r="E44" s="250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142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201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168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/>
      <c r="D82" s="294"/>
      <c r="E82" s="250">
        <f>C82-D82</f>
        <v>0</v>
      </c>
    </row>
    <row r="83" spans="1:5" ht="12.75">
      <c r="A83" s="71" t="s">
        <v>150</v>
      </c>
      <c r="B83" s="8" t="s">
        <v>186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0">
        <f t="shared" si="5"/>
        <v>0</v>
      </c>
    </row>
    <row r="85" spans="1:5" ht="12.75">
      <c r="A85" s="71" t="s">
        <v>252</v>
      </c>
      <c r="B85" s="8" t="s">
        <v>186</v>
      </c>
      <c r="C85" s="294"/>
      <c r="D85" s="294"/>
      <c r="E85" s="250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0">
        <f t="shared" si="5"/>
        <v>0</v>
      </c>
    </row>
    <row r="87" spans="1:5" ht="12.75">
      <c r="A87" s="67" t="s">
        <v>365</v>
      </c>
      <c r="B87" s="8" t="s">
        <v>186</v>
      </c>
      <c r="C87" s="294"/>
      <c r="D87" s="294"/>
      <c r="E87" s="250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0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0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0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0">
        <f t="shared" si="5"/>
        <v>0</v>
      </c>
    </row>
    <row r="92" spans="2:5" ht="12.75">
      <c r="B92" s="8" t="s">
        <v>186</v>
      </c>
      <c r="C92" s="294"/>
      <c r="D92" s="294"/>
      <c r="E92" s="250"/>
    </row>
    <row r="93" spans="1:5" ht="12.75">
      <c r="A93" s="67"/>
      <c r="B93" s="8" t="s">
        <v>186</v>
      </c>
      <c r="C93" s="294"/>
      <c r="D93" s="294"/>
      <c r="E93" s="250">
        <f t="shared" si="5"/>
        <v>0</v>
      </c>
    </row>
    <row r="94" spans="1:5" ht="12.75">
      <c r="A94" s="67"/>
      <c r="B94" s="8" t="s">
        <v>186</v>
      </c>
      <c r="C94" s="294"/>
      <c r="D94" s="294"/>
      <c r="E94" s="250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0">
        <f t="shared" si="5"/>
        <v>0</v>
      </c>
    </row>
    <row r="96" spans="1:5" ht="12.75">
      <c r="A96" s="67" t="s">
        <v>457</v>
      </c>
      <c r="B96" s="8" t="s">
        <v>186</v>
      </c>
      <c r="C96" s="294">
        <v>0</v>
      </c>
      <c r="D96" s="294"/>
      <c r="E96" s="250">
        <f t="shared" si="5"/>
        <v>0</v>
      </c>
    </row>
    <row r="97" spans="1:5" ht="12.75">
      <c r="A97" s="67"/>
      <c r="B97" s="8" t="s">
        <v>186</v>
      </c>
      <c r="C97" s="294"/>
      <c r="D97" s="294"/>
      <c r="E97" s="250">
        <f t="shared" si="5"/>
        <v>0</v>
      </c>
    </row>
    <row r="98" spans="1:5" ht="12.75">
      <c r="A98" s="67"/>
      <c r="B98" s="8" t="s">
        <v>186</v>
      </c>
      <c r="C98" s="294"/>
      <c r="D98" s="294"/>
      <c r="E98" s="250">
        <f t="shared" si="5"/>
        <v>0</v>
      </c>
    </row>
    <row r="99" spans="1:5" ht="12.75">
      <c r="A99" s="67" t="s">
        <v>169</v>
      </c>
      <c r="B99" s="8" t="s">
        <v>187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200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199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169</v>
      </c>
      <c r="B121" s="273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57" activePane="bottomRight" state="frozen"/>
      <selection pane="topLeft" activeCell="P28" sqref="P28"/>
      <selection pane="topRight" activeCell="P28" sqref="P28"/>
      <selection pane="bottomLeft" activeCell="P28" sqref="P28"/>
      <selection pane="bottomRight" activeCell="P28" sqref="P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">
      <c r="A4" s="448" t="s">
        <v>430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7.25">
      <c r="A5" s="450" t="s">
        <v>373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Lakefront Utilities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3">
        <f aca="true" t="shared" si="0" ref="E19:E45">C19-D19</f>
        <v>0</v>
      </c>
    </row>
    <row r="20" spans="1:5" ht="12.75">
      <c r="A20" t="s">
        <v>374</v>
      </c>
      <c r="B20" t="s">
        <v>185</v>
      </c>
      <c r="C20" s="295"/>
      <c r="D20" s="295"/>
      <c r="E20" s="313">
        <f t="shared" si="0"/>
        <v>0</v>
      </c>
    </row>
    <row r="21" spans="1:5" ht="12.75">
      <c r="A21" t="s">
        <v>438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 t="s">
        <v>377</v>
      </c>
      <c r="B22" t="s">
        <v>185</v>
      </c>
      <c r="C22" s="295"/>
      <c r="D22" s="314"/>
      <c r="E22" s="313">
        <f t="shared" si="0"/>
        <v>0</v>
      </c>
    </row>
    <row r="23" spans="1:5" ht="12.75">
      <c r="A23" s="67" t="s">
        <v>378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439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422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376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375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190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417</v>
      </c>
      <c r="B32" t="s">
        <v>185</v>
      </c>
      <c r="C32" s="295"/>
      <c r="D32" s="295"/>
      <c r="E32" s="313">
        <f t="shared" si="0"/>
        <v>0</v>
      </c>
    </row>
    <row r="33" spans="1:5" ht="12.75">
      <c r="A33" s="67" t="s">
        <v>418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435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81" t="s">
        <v>436</v>
      </c>
      <c r="C35" s="295">
        <v>0</v>
      </c>
      <c r="D35" s="295"/>
      <c r="E35" s="313">
        <f t="shared" si="0"/>
        <v>0</v>
      </c>
    </row>
    <row r="36" spans="1:5" ht="12.75">
      <c r="A36" s="67" t="s">
        <v>419</v>
      </c>
      <c r="C36" s="295"/>
      <c r="D36" s="295"/>
      <c r="E36" s="313">
        <f t="shared" si="0"/>
        <v>0</v>
      </c>
    </row>
    <row r="37" spans="1:5" ht="12.75">
      <c r="A37" s="67" t="s">
        <v>420</v>
      </c>
      <c r="C37" s="295"/>
      <c r="D37" s="295"/>
      <c r="E37" s="313">
        <f t="shared" si="0"/>
        <v>0</v>
      </c>
    </row>
    <row r="38" spans="1:5" ht="12.75">
      <c r="A38" s="67" t="s">
        <v>442</v>
      </c>
      <c r="C38" s="295"/>
      <c r="D38" s="295"/>
      <c r="E38" s="313">
        <f t="shared" si="0"/>
        <v>0</v>
      </c>
    </row>
    <row r="39" spans="2:5" ht="12.75">
      <c r="B39" t="s">
        <v>185</v>
      </c>
      <c r="C39" s="295"/>
      <c r="D39" s="295"/>
      <c r="E39" s="313">
        <f t="shared" si="0"/>
        <v>0</v>
      </c>
    </row>
    <row r="40" spans="1:5" ht="12.75">
      <c r="A40" s="487" t="s">
        <v>482</v>
      </c>
      <c r="B40" t="s">
        <v>185</v>
      </c>
      <c r="C40" s="295"/>
      <c r="D40" s="295"/>
      <c r="E40" s="313">
        <f t="shared" si="0"/>
        <v>0</v>
      </c>
    </row>
    <row r="41" spans="1:5" ht="12.75">
      <c r="A41" s="487" t="s">
        <v>483</v>
      </c>
      <c r="B41" t="s">
        <v>185</v>
      </c>
      <c r="C41" s="295"/>
      <c r="D41" s="295"/>
      <c r="E41" s="313">
        <f t="shared" si="0"/>
        <v>0</v>
      </c>
    </row>
    <row r="42" spans="2:5" ht="12.75">
      <c r="B42" t="s">
        <v>185</v>
      </c>
      <c r="C42" s="295"/>
      <c r="D42" s="295"/>
      <c r="E42" s="313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3">
        <f t="shared" si="0"/>
        <v>0</v>
      </c>
    </row>
    <row r="44" spans="1:5" ht="12.75">
      <c r="A44" t="s">
        <v>472</v>
      </c>
      <c r="B44" t="s">
        <v>185</v>
      </c>
      <c r="C44" s="294"/>
      <c r="D44" s="294"/>
      <c r="E44" s="250">
        <f t="shared" si="0"/>
        <v>0</v>
      </c>
    </row>
    <row r="45" spans="2:5" ht="12.75">
      <c r="B45" t="s">
        <v>185</v>
      </c>
      <c r="C45" s="294"/>
      <c r="D45" s="294"/>
      <c r="E45" s="250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33" t="s">
        <v>381</v>
      </c>
      <c r="B47" t="s">
        <v>187</v>
      </c>
      <c r="C47" s="250">
        <f>SUM(C19:C46)</f>
        <v>0</v>
      </c>
      <c r="D47" s="250">
        <f>SUM(D19:D46)</f>
        <v>0</v>
      </c>
      <c r="E47" s="250">
        <f>SUM(E19:E46)</f>
        <v>0</v>
      </c>
    </row>
    <row r="48" ht="12.75">
      <c r="A48" s="67"/>
    </row>
    <row r="49" ht="12.75">
      <c r="A49" s="81" t="s">
        <v>143</v>
      </c>
    </row>
    <row r="51" spans="1:5" ht="12.75">
      <c r="A51" s="71" t="s">
        <v>374</v>
      </c>
      <c r="B51" s="8" t="s">
        <v>186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438</v>
      </c>
      <c r="B52" s="8" t="s">
        <v>186</v>
      </c>
      <c r="C52" s="294"/>
      <c r="D52" s="294"/>
      <c r="E52" s="250">
        <f t="shared" si="1"/>
        <v>0</v>
      </c>
    </row>
    <row r="53" spans="1:5" ht="12.75">
      <c r="A53" t="s">
        <v>375</v>
      </c>
      <c r="B53" s="8" t="s">
        <v>186</v>
      </c>
      <c r="C53" s="294"/>
      <c r="D53" s="294"/>
      <c r="E53" s="250">
        <f t="shared" si="1"/>
        <v>0</v>
      </c>
    </row>
    <row r="54" spans="1:5" ht="12.75">
      <c r="A54" t="s">
        <v>421</v>
      </c>
      <c r="B54" s="8" t="s">
        <v>186</v>
      </c>
      <c r="C54" s="294"/>
      <c r="D54" s="294"/>
      <c r="E54" s="250">
        <f t="shared" si="1"/>
        <v>0</v>
      </c>
    </row>
    <row r="55" spans="1:5" ht="12.75">
      <c r="A55" s="67" t="s">
        <v>429</v>
      </c>
      <c r="B55" s="8" t="s">
        <v>186</v>
      </c>
      <c r="C55" s="294"/>
      <c r="D55" s="294"/>
      <c r="E55" s="250">
        <f t="shared" si="1"/>
        <v>0</v>
      </c>
    </row>
    <row r="56" spans="1:5" ht="12.75">
      <c r="A56" s="67" t="s">
        <v>441</v>
      </c>
      <c r="B56" s="8" t="s">
        <v>186</v>
      </c>
      <c r="C56" s="294"/>
      <c r="D56" s="294"/>
      <c r="E56" s="250">
        <f t="shared" si="1"/>
        <v>0</v>
      </c>
    </row>
    <row r="57" spans="1:5" ht="12.75">
      <c r="A57" s="2" t="s">
        <v>437</v>
      </c>
      <c r="B57" s="8" t="s">
        <v>186</v>
      </c>
      <c r="C57" s="294"/>
      <c r="D57" s="294"/>
      <c r="E57" s="250">
        <f t="shared" si="1"/>
        <v>0</v>
      </c>
    </row>
    <row r="58" spans="1:5" ht="12.75">
      <c r="A58" s="67" t="s">
        <v>440</v>
      </c>
      <c r="B58" s="8" t="s">
        <v>186</v>
      </c>
      <c r="C58" s="294"/>
      <c r="D58" s="294"/>
      <c r="E58" s="250">
        <f t="shared" si="1"/>
        <v>0</v>
      </c>
    </row>
    <row r="59" spans="1:5" ht="12.75">
      <c r="A59" s="475"/>
      <c r="B59" s="8" t="s">
        <v>186</v>
      </c>
      <c r="C59" s="294"/>
      <c r="D59" s="294"/>
      <c r="E59" s="250">
        <f t="shared" si="1"/>
        <v>0</v>
      </c>
    </row>
    <row r="60" spans="2:5" ht="12.75">
      <c r="B60" s="8" t="s">
        <v>186</v>
      </c>
      <c r="C60" s="294"/>
      <c r="D60" s="294"/>
      <c r="E60" s="250">
        <f t="shared" si="1"/>
        <v>0</v>
      </c>
    </row>
    <row r="61" spans="1:5" ht="12.75">
      <c r="A61" s="488"/>
      <c r="B61" s="8" t="s">
        <v>186</v>
      </c>
      <c r="C61" s="294"/>
      <c r="D61" s="294"/>
      <c r="E61" s="250">
        <f t="shared" si="1"/>
        <v>0</v>
      </c>
    </row>
    <row r="62" spans="1:5" ht="12.75">
      <c r="A62" s="488"/>
      <c r="B62" s="8" t="s">
        <v>186</v>
      </c>
      <c r="C62" s="294"/>
      <c r="D62" s="294"/>
      <c r="E62" s="250">
        <f aca="true" t="shared" si="2" ref="E62:E72">C62-D62</f>
        <v>0</v>
      </c>
    </row>
    <row r="63" spans="1:5" ht="12.75">
      <c r="A63" s="488"/>
      <c r="B63" s="8" t="s">
        <v>186</v>
      </c>
      <c r="C63" s="294"/>
      <c r="D63" s="294"/>
      <c r="E63" s="250">
        <f t="shared" si="2"/>
        <v>0</v>
      </c>
    </row>
    <row r="64" spans="1:5" ht="12.75">
      <c r="A64" s="488"/>
      <c r="B64" s="8" t="s">
        <v>186</v>
      </c>
      <c r="C64" s="294"/>
      <c r="D64" s="294"/>
      <c r="E64" s="250">
        <f t="shared" si="2"/>
        <v>0</v>
      </c>
    </row>
    <row r="65" spans="2:5" ht="12.75">
      <c r="B65" s="8" t="s">
        <v>186</v>
      </c>
      <c r="C65" s="294"/>
      <c r="D65" s="294"/>
      <c r="E65" s="250">
        <f t="shared" si="2"/>
        <v>0</v>
      </c>
    </row>
    <row r="66" spans="1:5" ht="12.75">
      <c r="A66" s="452"/>
      <c r="B66" s="8" t="s">
        <v>186</v>
      </c>
      <c r="C66" s="294"/>
      <c r="D66" s="294"/>
      <c r="E66" s="250">
        <f t="shared" si="2"/>
        <v>0</v>
      </c>
    </row>
    <row r="67" spans="1:5" ht="12.75">
      <c r="A67" s="67"/>
      <c r="B67" s="8" t="s">
        <v>186</v>
      </c>
      <c r="C67" s="294"/>
      <c r="D67" s="294"/>
      <c r="E67" s="250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0">
        <f t="shared" si="2"/>
        <v>0</v>
      </c>
    </row>
    <row r="69" spans="1:5" ht="12.75">
      <c r="A69" s="67"/>
      <c r="B69" s="8" t="s">
        <v>186</v>
      </c>
      <c r="C69" s="294"/>
      <c r="D69" s="294"/>
      <c r="E69" s="250">
        <f t="shared" si="2"/>
        <v>0</v>
      </c>
    </row>
    <row r="70" spans="1:5" ht="12.75">
      <c r="A70" s="485" t="s">
        <v>486</v>
      </c>
      <c r="B70" s="8" t="s">
        <v>186</v>
      </c>
      <c r="C70" s="294">
        <v>22243</v>
      </c>
      <c r="D70" s="294"/>
      <c r="E70" s="250">
        <f t="shared" si="2"/>
        <v>22243</v>
      </c>
    </row>
    <row r="71" spans="1:5" ht="12.75">
      <c r="A71" s="67"/>
      <c r="B71" s="8" t="s">
        <v>186</v>
      </c>
      <c r="C71" s="294"/>
      <c r="D71" s="294"/>
      <c r="E71" s="250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32" t="s">
        <v>380</v>
      </c>
      <c r="B73" s="8" t="s">
        <v>187</v>
      </c>
      <c r="C73" s="250">
        <f>SUM(C51:C72)</f>
        <v>22243</v>
      </c>
      <c r="D73" s="250">
        <f>SUM(D51:D72)</f>
        <v>0</v>
      </c>
      <c r="E73" s="250">
        <f>SUM(E51:E72)</f>
        <v>22243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P28" sqref="P2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9">
        <f>REGINFO!A1</f>
        <v>0</v>
      </c>
      <c r="B1" s="370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105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/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Lakefront Utilities Inc.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394" t="s">
        <v>331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8" t="s">
        <v>463</v>
      </c>
      <c r="B8" s="499"/>
      <c r="C8" s="499"/>
      <c r="D8" s="499"/>
      <c r="E8" s="342"/>
      <c r="F8" s="36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110</v>
      </c>
      <c r="B9" s="326"/>
      <c r="C9" s="359">
        <v>0</v>
      </c>
      <c r="D9" s="359"/>
      <c r="E9" s="359">
        <v>200001</v>
      </c>
      <c r="F9" s="360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451</v>
      </c>
      <c r="B10" s="327"/>
      <c r="C10" s="361" t="s">
        <v>109</v>
      </c>
      <c r="D10" s="361"/>
      <c r="E10" s="361" t="s">
        <v>109</v>
      </c>
      <c r="F10" s="362" t="s">
        <v>467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114</v>
      </c>
      <c r="C11" s="363">
        <v>200000</v>
      </c>
      <c r="D11" s="363"/>
      <c r="E11" s="363">
        <v>700000</v>
      </c>
      <c r="F11" s="364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106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297</v>
      </c>
      <c r="B13" s="393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296</v>
      </c>
      <c r="B14" s="244"/>
      <c r="C14" s="328">
        <v>0.1312</v>
      </c>
      <c r="D14" s="328"/>
      <c r="E14" s="329">
        <v>0.2612</v>
      </c>
      <c r="F14" s="329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300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257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107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108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111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5" t="s">
        <v>326</v>
      </c>
      <c r="B21" s="391" t="s">
        <v>453</v>
      </c>
      <c r="C21" s="351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5" t="s">
        <v>327</v>
      </c>
      <c r="B22" s="392" t="s">
        <v>454</v>
      </c>
      <c r="C22" s="352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4" t="s">
        <v>471</v>
      </c>
      <c r="B23" s="495"/>
      <c r="C23" s="495"/>
      <c r="D23" s="495"/>
      <c r="E23" s="495"/>
      <c r="F23" s="495"/>
      <c r="G23" s="422"/>
      <c r="H23" s="40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5"/>
      <c r="B24" s="396"/>
      <c r="C24" s="396"/>
      <c r="D24" s="396"/>
      <c r="E24" s="396"/>
      <c r="F24" s="39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5"/>
      <c r="B25" s="366"/>
      <c r="C25" s="368"/>
      <c r="D25" s="342"/>
      <c r="E25" s="342"/>
      <c r="F25" s="394" t="s">
        <v>332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00" t="s">
        <v>464</v>
      </c>
      <c r="B26" s="501"/>
      <c r="C26" s="501"/>
      <c r="D26" s="501"/>
      <c r="E26" s="501"/>
      <c r="F26" s="501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110</v>
      </c>
      <c r="B27" s="326"/>
      <c r="C27" s="353">
        <v>0</v>
      </c>
      <c r="D27" s="353"/>
      <c r="E27" s="353">
        <v>200001</v>
      </c>
      <c r="F27" s="354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425</v>
      </c>
      <c r="B28" s="327"/>
      <c r="C28" s="355" t="s">
        <v>109</v>
      </c>
      <c r="D28" s="355"/>
      <c r="E28" s="355" t="s">
        <v>109</v>
      </c>
      <c r="F28" s="356" t="s">
        <v>467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114</v>
      </c>
      <c r="C29" s="357">
        <v>200000</v>
      </c>
      <c r="D29" s="357"/>
      <c r="E29" s="357">
        <v>700000</v>
      </c>
      <c r="F29" s="358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106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113</v>
      </c>
      <c r="B31" s="393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296</v>
      </c>
      <c r="B32" s="393">
        <v>2003</v>
      </c>
      <c r="C32" s="328"/>
      <c r="D32" s="328"/>
      <c r="E32" s="329"/>
      <c r="F32" s="329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28</v>
      </c>
      <c r="B33" s="393">
        <v>2003</v>
      </c>
      <c r="C33" s="330"/>
      <c r="D33" s="330"/>
      <c r="E33" s="331"/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257</v>
      </c>
      <c r="B34" s="393">
        <v>2003</v>
      </c>
      <c r="C34" s="332"/>
      <c r="D34" s="332"/>
      <c r="E34" s="333"/>
      <c r="F34" s="333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107</v>
      </c>
      <c r="B36" s="393">
        <v>2003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108</v>
      </c>
      <c r="B37" s="393">
        <v>2003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111</v>
      </c>
      <c r="B38" s="393">
        <v>2003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5" t="s">
        <v>465</v>
      </c>
      <c r="B39" s="391" t="s">
        <v>453</v>
      </c>
      <c r="C39" s="351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5" t="s">
        <v>466</v>
      </c>
      <c r="B40" s="392" t="s">
        <v>454</v>
      </c>
      <c r="C40" s="352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6" t="s">
        <v>329</v>
      </c>
      <c r="B41" s="495"/>
      <c r="C41" s="495"/>
      <c r="D41" s="495"/>
      <c r="E41" s="495"/>
      <c r="F41" s="495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7"/>
      <c r="B42" s="497"/>
      <c r="C42" s="497"/>
      <c r="D42" s="497"/>
      <c r="E42" s="497"/>
      <c r="F42" s="497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1">
      <selection activeCell="P28" sqref="P2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443</v>
      </c>
      <c r="B2" s="2"/>
    </row>
    <row r="3" spans="1:15" ht="12.75">
      <c r="A3" s="486" t="s">
        <v>485</v>
      </c>
      <c r="O3" s="400" t="str">
        <f>REGINFO!E1</f>
        <v>Version 2009.1</v>
      </c>
    </row>
    <row r="4" spans="1:15" ht="12.75">
      <c r="A4" s="2" t="str">
        <f>REGINFO!A4</f>
        <v>Reporting period:  2003</v>
      </c>
      <c r="E4" s="401" t="s">
        <v>315</v>
      </c>
      <c r="F4" s="383"/>
      <c r="G4" s="383"/>
      <c r="H4" s="383"/>
      <c r="I4" s="383"/>
      <c r="O4" s="40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7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79">
        <v>0</v>
      </c>
      <c r="D11" s="375"/>
      <c r="E11" s="381">
        <f>C22</f>
        <v>0</v>
      </c>
      <c r="F11" s="403"/>
      <c r="G11" s="381">
        <f>E22</f>
        <v>0</v>
      </c>
      <c r="H11" s="403"/>
      <c r="I11" s="381">
        <f>G22</f>
        <v>0</v>
      </c>
      <c r="J11" s="375"/>
      <c r="K11" s="381">
        <f>I22</f>
        <v>0</v>
      </c>
      <c r="L11" s="375"/>
      <c r="M11" s="381">
        <f>K22</f>
        <v>0</v>
      </c>
      <c r="N11" s="375"/>
      <c r="O11" s="381">
        <f>C11</f>
        <v>0</v>
      </c>
    </row>
    <row r="12" spans="1:15" ht="27" customHeight="1">
      <c r="A12" s="81" t="s">
        <v>382</v>
      </c>
      <c r="B12" s="66" t="s">
        <v>188</v>
      </c>
      <c r="C12" s="380"/>
      <c r="D12" s="376"/>
      <c r="E12" s="380"/>
      <c r="F12" s="95"/>
      <c r="G12" s="402">
        <f>C12+E12</f>
        <v>0</v>
      </c>
      <c r="H12" s="95"/>
      <c r="I12" s="402">
        <f>(E12/12*9)+(G12/12*3)</f>
        <v>0</v>
      </c>
      <c r="J12" s="376"/>
      <c r="K12" s="402">
        <f>E12/12*3</f>
        <v>0</v>
      </c>
      <c r="L12" s="376"/>
      <c r="M12" s="402">
        <f>K13/9*12/4</f>
        <v>0</v>
      </c>
      <c r="N12" s="376"/>
      <c r="O12" s="381">
        <f aca="true" t="shared" si="0" ref="O12:O20">SUM(C12:N12)</f>
        <v>0</v>
      </c>
    </row>
    <row r="13" spans="1:15" ht="27" customHeight="1">
      <c r="A13" s="81" t="s">
        <v>424</v>
      </c>
      <c r="B13" s="66"/>
      <c r="C13" s="402"/>
      <c r="D13" s="376"/>
      <c r="E13" s="402"/>
      <c r="F13" s="95"/>
      <c r="G13" s="402"/>
      <c r="H13" s="95"/>
      <c r="I13" s="402"/>
      <c r="J13" s="376"/>
      <c r="K13" s="380"/>
      <c r="L13" s="376"/>
      <c r="M13" s="402"/>
      <c r="N13" s="376"/>
      <c r="O13" s="381">
        <f t="shared" si="0"/>
        <v>0</v>
      </c>
    </row>
    <row r="14" spans="1:15" ht="26.25">
      <c r="A14" s="81" t="s">
        <v>383</v>
      </c>
      <c r="B14" s="66" t="s">
        <v>188</v>
      </c>
      <c r="C14" s="380"/>
      <c r="D14" s="376"/>
      <c r="E14" s="380"/>
      <c r="F14" s="95"/>
      <c r="G14" s="380"/>
      <c r="H14" s="95"/>
      <c r="I14" s="380"/>
      <c r="J14" s="376"/>
      <c r="K14" s="380"/>
      <c r="L14" s="376"/>
      <c r="M14" s="380"/>
      <c r="N14" s="376"/>
      <c r="O14" s="381">
        <f t="shared" si="0"/>
        <v>0</v>
      </c>
    </row>
    <row r="15" spans="1:15" ht="27" customHeight="1">
      <c r="A15" s="81" t="s">
        <v>384</v>
      </c>
      <c r="B15" s="66" t="s">
        <v>188</v>
      </c>
      <c r="C15" s="380"/>
      <c r="D15" s="376"/>
      <c r="E15" s="380"/>
      <c r="F15" s="95"/>
      <c r="G15" s="380"/>
      <c r="H15" s="95"/>
      <c r="I15" s="380"/>
      <c r="J15" s="376"/>
      <c r="K15" s="380"/>
      <c r="L15" s="376"/>
      <c r="M15" s="402"/>
      <c r="N15" s="376"/>
      <c r="O15" s="381">
        <f t="shared" si="0"/>
        <v>0</v>
      </c>
    </row>
    <row r="16" spans="1:15" ht="27" customHeight="1">
      <c r="A16" s="81" t="s">
        <v>385</v>
      </c>
      <c r="B16" s="66"/>
      <c r="C16" s="380"/>
      <c r="D16" s="376"/>
      <c r="E16" s="380"/>
      <c r="F16" s="95"/>
      <c r="G16" s="380"/>
      <c r="H16" s="95"/>
      <c r="I16" s="380"/>
      <c r="J16" s="376"/>
      <c r="K16" s="380"/>
      <c r="L16" s="376"/>
      <c r="M16" s="380"/>
      <c r="N16" s="376"/>
      <c r="O16" s="381">
        <f t="shared" si="0"/>
        <v>0</v>
      </c>
    </row>
    <row r="17" spans="1:15" ht="27.75" customHeight="1">
      <c r="A17" s="81" t="s">
        <v>386</v>
      </c>
      <c r="B17" s="66" t="s">
        <v>188</v>
      </c>
      <c r="C17" s="380"/>
      <c r="D17" s="376"/>
      <c r="E17" s="380"/>
      <c r="F17" s="95"/>
      <c r="G17" s="380"/>
      <c r="H17" s="95"/>
      <c r="I17" s="380"/>
      <c r="J17" s="376"/>
      <c r="K17" s="380"/>
      <c r="L17" s="376"/>
      <c r="M17" s="402"/>
      <c r="N17" s="376"/>
      <c r="O17" s="381">
        <f t="shared" si="0"/>
        <v>0</v>
      </c>
    </row>
    <row r="18" spans="1:15" ht="26.25">
      <c r="A18" s="81" t="s">
        <v>387</v>
      </c>
      <c r="B18" s="66" t="s">
        <v>188</v>
      </c>
      <c r="C18" s="380"/>
      <c r="D18" s="376"/>
      <c r="E18" s="380"/>
      <c r="F18" s="95"/>
      <c r="G18" s="380"/>
      <c r="H18" s="95"/>
      <c r="I18" s="380"/>
      <c r="J18" s="376"/>
      <c r="K18" s="380"/>
      <c r="L18" s="376"/>
      <c r="M18" s="380"/>
      <c r="N18" s="376"/>
      <c r="O18" s="381">
        <f t="shared" si="0"/>
        <v>0</v>
      </c>
    </row>
    <row r="19" spans="1:15" ht="24" customHeight="1">
      <c r="A19" s="416" t="s">
        <v>388</v>
      </c>
      <c r="B19" s="66" t="s">
        <v>188</v>
      </c>
      <c r="C19" s="380"/>
      <c r="D19" s="376"/>
      <c r="E19" s="380"/>
      <c r="F19" s="95"/>
      <c r="G19" s="380"/>
      <c r="H19" s="95"/>
      <c r="I19" s="380"/>
      <c r="J19" s="376"/>
      <c r="K19" s="380"/>
      <c r="L19" s="376"/>
      <c r="M19" s="380"/>
      <c r="N19" s="376"/>
      <c r="O19" s="381">
        <f t="shared" si="0"/>
        <v>0</v>
      </c>
    </row>
    <row r="20" spans="1:15" ht="24.75" customHeight="1">
      <c r="A20" s="81" t="s">
        <v>452</v>
      </c>
      <c r="B20" s="66" t="s">
        <v>186</v>
      </c>
      <c r="C20" s="402">
        <v>0</v>
      </c>
      <c r="D20" s="376"/>
      <c r="E20" s="380"/>
      <c r="F20" s="95"/>
      <c r="G20" s="380"/>
      <c r="H20" s="95"/>
      <c r="I20" s="380"/>
      <c r="J20" s="376"/>
      <c r="K20" s="380"/>
      <c r="L20" s="376"/>
      <c r="M20" s="380"/>
      <c r="N20" s="376"/>
      <c r="O20" s="381">
        <f t="shared" si="0"/>
        <v>0</v>
      </c>
    </row>
    <row r="21" spans="1:15" ht="12.75">
      <c r="A21" s="65"/>
      <c r="C21" s="376"/>
      <c r="D21" s="95"/>
      <c r="E21" s="376"/>
      <c r="F21" s="95"/>
      <c r="G21" s="376"/>
      <c r="H21" s="95"/>
      <c r="I21" s="376"/>
      <c r="J21" s="376"/>
      <c r="K21" s="376"/>
      <c r="L21" s="376"/>
      <c r="M21" s="376"/>
      <c r="N21" s="376"/>
      <c r="O21" s="403"/>
    </row>
    <row r="22" spans="1:15" ht="13.5" thickBot="1">
      <c r="A22" s="81" t="s">
        <v>362</v>
      </c>
      <c r="B22" s="34"/>
      <c r="C22" s="382">
        <f>SUM(C11:C20)</f>
        <v>0</v>
      </c>
      <c r="D22" s="403"/>
      <c r="E22" s="382">
        <f>SUM(E11:E20)</f>
        <v>0</v>
      </c>
      <c r="F22" s="403"/>
      <c r="G22" s="382">
        <f>SUM(G11:G20)</f>
        <v>0</v>
      </c>
      <c r="H22" s="403"/>
      <c r="I22" s="382">
        <f>SUM(I11:I20)</f>
        <v>0</v>
      </c>
      <c r="J22" s="375"/>
      <c r="K22" s="382">
        <f>SUM(K11:K20)</f>
        <v>0</v>
      </c>
      <c r="L22" s="375"/>
      <c r="M22" s="382">
        <f>SUM(M11:M21)</f>
        <v>0</v>
      </c>
      <c r="N22" s="375"/>
      <c r="O22" s="434">
        <f>SUM(O11:O20)</f>
        <v>0</v>
      </c>
    </row>
    <row r="23" spans="1:15" ht="13.5" thickTop="1">
      <c r="A23" s="417"/>
      <c r="B23" s="418"/>
      <c r="C23" s="424"/>
      <c r="D23" s="425"/>
      <c r="E23" s="424"/>
      <c r="F23" s="425"/>
      <c r="G23" s="424"/>
      <c r="H23" s="425"/>
      <c r="I23" s="424"/>
      <c r="J23" s="418"/>
      <c r="K23" s="424"/>
      <c r="L23" s="187"/>
      <c r="M23" s="426"/>
      <c r="N23" s="187"/>
      <c r="O23" s="426"/>
    </row>
    <row r="24" spans="1:15" ht="12.75">
      <c r="A24" s="440"/>
      <c r="B24" s="441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3"/>
    </row>
    <row r="25" spans="1:15" ht="12.75">
      <c r="A25" s="417"/>
      <c r="B25" s="418"/>
      <c r="C25" s="444"/>
      <c r="D25" s="444"/>
      <c r="E25" s="444"/>
      <c r="F25" s="444"/>
      <c r="G25" s="444"/>
      <c r="H25" s="444"/>
      <c r="I25" s="444"/>
      <c r="J25" s="445"/>
      <c r="K25" s="444"/>
      <c r="L25" s="446"/>
      <c r="M25" s="447"/>
      <c r="N25" s="446"/>
      <c r="O25" s="447"/>
    </row>
    <row r="26" spans="1:15" ht="12.75">
      <c r="A26" s="417" t="s">
        <v>389</v>
      </c>
      <c r="B26" s="418"/>
      <c r="C26" s="444"/>
      <c r="D26" s="444"/>
      <c r="E26" s="444"/>
      <c r="F26" s="444"/>
      <c r="G26" s="444"/>
      <c r="H26" s="444"/>
      <c r="I26" s="444"/>
      <c r="J26" s="445"/>
      <c r="K26" s="444"/>
      <c r="L26" s="446"/>
      <c r="M26" s="447"/>
      <c r="N26" s="446"/>
      <c r="O26" s="447"/>
    </row>
    <row r="27" spans="1:15" ht="9" customHeight="1">
      <c r="A27" s="417"/>
      <c r="B27" s="418"/>
      <c r="C27" s="418"/>
      <c r="D27" s="418"/>
      <c r="E27" s="418"/>
      <c r="F27" s="418"/>
      <c r="G27" s="418"/>
      <c r="H27" s="418"/>
      <c r="I27" s="418"/>
      <c r="J27" s="418"/>
      <c r="K27" s="419"/>
      <c r="L27" s="187"/>
      <c r="M27" s="187"/>
      <c r="N27" s="187"/>
      <c r="O27" s="187"/>
    </row>
    <row r="28" spans="1:15" ht="12.75">
      <c r="A28" s="417" t="s">
        <v>390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187"/>
      <c r="M28" s="187"/>
      <c r="N28" s="187"/>
      <c r="O28" s="187"/>
    </row>
    <row r="29" spans="1:15" ht="12.75">
      <c r="A29" s="420" t="s">
        <v>391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187"/>
      <c r="M29" s="187"/>
      <c r="N29" s="187"/>
      <c r="O29" s="187"/>
    </row>
    <row r="30" spans="1:15" ht="9" customHeight="1">
      <c r="A30" s="18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187"/>
      <c r="M30" s="187"/>
      <c r="N30" s="187"/>
      <c r="O30" s="187"/>
    </row>
    <row r="31" spans="1:15" ht="12.75">
      <c r="A31" s="435" t="s">
        <v>392</v>
      </c>
      <c r="B31" s="80"/>
      <c r="C31" s="80"/>
      <c r="D31" s="80"/>
      <c r="E31" s="80"/>
      <c r="F31" s="80"/>
      <c r="G31" s="80"/>
      <c r="H31" s="80"/>
      <c r="I31" s="431"/>
      <c r="J31" s="431"/>
      <c r="K31" s="431"/>
      <c r="L31" s="431"/>
      <c r="M31" s="431"/>
      <c r="N31" s="431"/>
      <c r="O31" s="431"/>
    </row>
    <row r="32" spans="1:15" ht="9" customHeight="1">
      <c r="A32" s="436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</row>
    <row r="33" spans="1:19" ht="12.75">
      <c r="A33" s="503" t="s">
        <v>393</v>
      </c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404"/>
      <c r="Q33" s="404"/>
      <c r="R33" s="404"/>
      <c r="S33" s="404"/>
    </row>
    <row r="34" spans="1:19" ht="12.75">
      <c r="A34" s="502" t="s">
        <v>394</v>
      </c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404"/>
      <c r="Q34" s="404"/>
      <c r="R34" s="404"/>
      <c r="S34" s="404"/>
    </row>
    <row r="35" spans="1:19" ht="12.75">
      <c r="A35" s="502" t="s">
        <v>415</v>
      </c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404"/>
      <c r="Q35" s="404"/>
      <c r="R35" s="404"/>
      <c r="S35" s="404"/>
    </row>
    <row r="36" spans="1:19" ht="12.75">
      <c r="A36" s="502" t="s">
        <v>395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404"/>
      <c r="Q36" s="404"/>
      <c r="R36" s="404"/>
      <c r="S36" s="404"/>
    </row>
    <row r="37" spans="1:19" ht="12.75">
      <c r="A37" s="421" t="s">
        <v>359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04"/>
      <c r="Q37" s="404"/>
      <c r="R37" s="404"/>
      <c r="S37" s="404"/>
    </row>
    <row r="38" spans="1:19" ht="12.75">
      <c r="A38" s="421" t="s">
        <v>360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04"/>
      <c r="Q38" s="404"/>
      <c r="R38" s="404"/>
      <c r="S38" s="404"/>
    </row>
    <row r="39" spans="1:19" ht="12.75">
      <c r="A39" s="421" t="s">
        <v>396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04"/>
      <c r="Q39" s="404"/>
      <c r="R39" s="404"/>
      <c r="S39" s="404"/>
    </row>
    <row r="40" spans="1:19" ht="12.75">
      <c r="A40" s="421" t="s">
        <v>397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04"/>
      <c r="Q40" s="404"/>
      <c r="R40" s="404"/>
      <c r="S40" s="404"/>
    </row>
    <row r="41" spans="2:19" ht="9" customHeight="1"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04"/>
      <c r="Q41" s="404"/>
      <c r="R41" s="404"/>
      <c r="S41" s="404"/>
    </row>
    <row r="42" spans="1:15" ht="12.75">
      <c r="A42" s="423" t="s">
        <v>398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187"/>
      <c r="M42" s="187"/>
      <c r="N42" s="187"/>
      <c r="O42" s="187"/>
    </row>
    <row r="43" spans="1:15" ht="12.75">
      <c r="A43" s="418" t="s">
        <v>399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187"/>
      <c r="M43" s="187"/>
      <c r="N43" s="187"/>
      <c r="O43" s="187"/>
    </row>
    <row r="44" spans="1:15" ht="9" customHeight="1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187"/>
      <c r="M44" s="187"/>
      <c r="N44" s="187"/>
      <c r="O44" s="187"/>
    </row>
    <row r="45" spans="1:15" ht="12.75">
      <c r="A45" s="423" t="s">
        <v>400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187"/>
      <c r="M45" s="187"/>
      <c r="N45" s="187"/>
      <c r="O45" s="187"/>
    </row>
    <row r="46" spans="1:15" ht="12.75">
      <c r="A46" s="418" t="s">
        <v>401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187"/>
      <c r="M46" s="187"/>
      <c r="N46" s="187"/>
      <c r="O46" s="187"/>
    </row>
    <row r="47" spans="1:15" ht="9" customHeight="1">
      <c r="A47" s="418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187"/>
      <c r="M47" s="187"/>
      <c r="N47" s="187"/>
      <c r="O47" s="187"/>
    </row>
    <row r="48" spans="1:15" ht="12.75">
      <c r="A48" s="423" t="s">
        <v>402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187"/>
      <c r="M48" s="187"/>
      <c r="N48" s="187"/>
      <c r="O48" s="187"/>
    </row>
    <row r="49" spans="1:15" ht="12.75">
      <c r="A49" s="418" t="s">
        <v>403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187"/>
      <c r="M49" s="187"/>
      <c r="N49" s="187"/>
      <c r="O49" s="187"/>
    </row>
    <row r="50" spans="1:15" ht="9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187"/>
      <c r="M50" s="187"/>
      <c r="N50" s="187"/>
      <c r="O50" s="187"/>
    </row>
    <row r="51" spans="1:15" ht="12.75">
      <c r="A51" s="423" t="s">
        <v>404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187"/>
      <c r="M51" s="187"/>
      <c r="N51" s="187"/>
      <c r="O51" s="187"/>
    </row>
    <row r="52" spans="1:15" ht="12.75">
      <c r="A52" s="418" t="s">
        <v>401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187"/>
      <c r="M52" s="187"/>
      <c r="N52" s="187"/>
      <c r="O52" s="187"/>
    </row>
    <row r="53" spans="1:15" ht="9" customHeight="1">
      <c r="A53" s="423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187"/>
      <c r="M53" s="187"/>
      <c r="N53" s="187"/>
      <c r="O53" s="187"/>
    </row>
    <row r="54" spans="1:15" ht="12.75">
      <c r="A54" s="418" t="s">
        <v>405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187"/>
      <c r="M54" s="187"/>
      <c r="N54" s="187"/>
      <c r="O54" s="187"/>
    </row>
    <row r="55" spans="1:15" ht="9" customHeight="1">
      <c r="A55" s="418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187"/>
      <c r="M55" s="187"/>
      <c r="N55" s="187"/>
      <c r="O55" s="187"/>
    </row>
    <row r="56" spans="1:15" ht="12.75" customHeight="1">
      <c r="A56" s="423" t="s">
        <v>406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187"/>
      <c r="M56" s="187"/>
      <c r="N56" s="187"/>
      <c r="O56" s="187"/>
    </row>
    <row r="57" spans="1:15" ht="9" customHeight="1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187"/>
      <c r="M57" s="187"/>
      <c r="N57" s="187"/>
      <c r="O57" s="187"/>
    </row>
    <row r="58" spans="1:15" ht="12.75">
      <c r="A58" s="418" t="s">
        <v>407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187"/>
      <c r="M58" s="187"/>
      <c r="N58" s="187"/>
      <c r="O58" s="187"/>
    </row>
    <row r="59" spans="1:15" ht="12.75">
      <c r="A59" s="418" t="s">
        <v>408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187"/>
      <c r="M59" s="187"/>
      <c r="N59" s="187"/>
      <c r="O59" s="187"/>
    </row>
    <row r="60" spans="1:15" ht="12.75">
      <c r="A60" s="418" t="s">
        <v>409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187"/>
      <c r="M60" s="187"/>
      <c r="N60" s="187"/>
      <c r="O60" s="187"/>
    </row>
    <row r="61" spans="1:15" ht="12.75">
      <c r="A61" s="418" t="s">
        <v>369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187"/>
      <c r="M61" s="187"/>
      <c r="N61" s="187"/>
      <c r="O61" s="187"/>
    </row>
    <row r="62" spans="1:15" ht="9" customHeight="1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187"/>
      <c r="M62" s="187"/>
      <c r="N62" s="187"/>
      <c r="O62" s="187"/>
    </row>
    <row r="63" spans="1:15" ht="12.75">
      <c r="A63" s="418" t="s">
        <v>410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187"/>
      <c r="M63" s="187"/>
      <c r="N63" s="187"/>
      <c r="O63" s="187"/>
    </row>
    <row r="64" spans="1:15" ht="12.75">
      <c r="A64" s="418" t="s">
        <v>411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187"/>
      <c r="M64" s="187"/>
      <c r="N64" s="187"/>
      <c r="O64" s="187"/>
    </row>
    <row r="65" spans="1:15" ht="12.75">
      <c r="A65" s="418" t="s">
        <v>371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187"/>
      <c r="M65" s="187"/>
      <c r="N65" s="187"/>
      <c r="O65" s="187"/>
    </row>
    <row r="66" spans="1:15" ht="3.75" customHeight="1">
      <c r="A66" s="418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187"/>
      <c r="M66" s="187"/>
      <c r="N66" s="187"/>
      <c r="O66" s="187"/>
    </row>
    <row r="67" spans="1:15" ht="12.75">
      <c r="A67" s="418" t="s">
        <v>370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187"/>
      <c r="M67" s="187"/>
      <c r="N67" s="187"/>
      <c r="O67" s="187"/>
    </row>
    <row r="68" spans="1:15" ht="12.75">
      <c r="A68" s="418" t="s">
        <v>372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187"/>
      <c r="M68" s="187"/>
      <c r="N68" s="187"/>
      <c r="O68" s="187"/>
    </row>
    <row r="69" spans="1:15" ht="3.75" customHeight="1">
      <c r="A69" s="418"/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187"/>
      <c r="M69" s="187"/>
      <c r="N69" s="187"/>
      <c r="O69" s="187"/>
    </row>
    <row r="70" spans="1:15" ht="12.75">
      <c r="A70" s="418" t="s">
        <v>412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187"/>
      <c r="M70" s="187"/>
      <c r="N70" s="187"/>
      <c r="O70" s="187"/>
    </row>
    <row r="71" spans="1:15" ht="12.75">
      <c r="A71" s="418" t="s">
        <v>413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187"/>
      <c r="M71" s="187"/>
      <c r="N71" s="187"/>
      <c r="O71" s="187"/>
    </row>
    <row r="72" spans="1:15" ht="12.75">
      <c r="A72" s="418" t="s">
        <v>414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187"/>
      <c r="M72" s="187"/>
      <c r="N72" s="187"/>
      <c r="O72" s="187"/>
    </row>
    <row r="73" spans="1:15" ht="9" customHeight="1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187"/>
      <c r="M73" s="187"/>
      <c r="N73" s="187"/>
      <c r="O73" s="187"/>
    </row>
    <row r="74" spans="1:15" ht="12.75" customHeight="1">
      <c r="A74" s="502" t="s">
        <v>444</v>
      </c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</row>
    <row r="75" spans="1:15" ht="12.75">
      <c r="A75" s="418" t="s">
        <v>361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187"/>
      <c r="M75" s="187"/>
      <c r="N75" s="187"/>
      <c r="O75" s="187"/>
    </row>
    <row r="76" spans="1:15" ht="12.75">
      <c r="A76" s="187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187"/>
      <c r="M76" s="187"/>
      <c r="N76" s="187"/>
      <c r="O76" s="187"/>
    </row>
    <row r="77" spans="1:15" ht="12.75">
      <c r="A77" s="187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187"/>
      <c r="M77" s="187"/>
      <c r="N77" s="187"/>
      <c r="O77" s="187"/>
    </row>
    <row r="78" spans="1:17" ht="12.75">
      <c r="A78" s="187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187"/>
      <c r="O78" s="187"/>
      <c r="P78" s="187"/>
      <c r="Q78" s="187"/>
    </row>
    <row r="79" spans="1:17" ht="12.75">
      <c r="A79" s="18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187"/>
      <c r="O79" s="187"/>
      <c r="P79" s="187"/>
      <c r="Q79" s="187"/>
    </row>
    <row r="80" spans="1:17" ht="12.75">
      <c r="A80" s="18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187"/>
      <c r="O80" s="187"/>
      <c r="P80" s="187"/>
      <c r="Q80" s="187"/>
    </row>
    <row r="81" spans="1:17" ht="12.75">
      <c r="A81" s="418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187"/>
      <c r="O81" s="187"/>
      <c r="P81" s="187"/>
      <c r="Q81" s="187"/>
    </row>
    <row r="82" spans="1:17" ht="12.75">
      <c r="A82" s="187"/>
      <c r="B82" s="187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187"/>
      <c r="O82" s="187"/>
      <c r="P82" s="187"/>
      <c r="Q82" s="187"/>
    </row>
    <row r="83" spans="1:17" ht="12.75">
      <c r="A83" s="187"/>
      <c r="B83" s="187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187"/>
      <c r="O83" s="187"/>
      <c r="P83" s="187"/>
      <c r="Q83" s="187"/>
    </row>
    <row r="84" spans="1:17" ht="12.75">
      <c r="A84" s="418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187"/>
      <c r="O84" s="187"/>
      <c r="P84" s="187"/>
      <c r="Q84" s="187"/>
    </row>
    <row r="85" spans="1:17" ht="12.75">
      <c r="A85" s="187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187"/>
      <c r="O85" s="187"/>
      <c r="P85" s="187"/>
      <c r="Q85" s="187"/>
    </row>
    <row r="86" spans="1:17" ht="12.75">
      <c r="A86" s="187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187"/>
      <c r="O86" s="187"/>
      <c r="P86" s="187"/>
      <c r="Q86" s="187"/>
    </row>
    <row r="87" spans="1:17" ht="12.75">
      <c r="A87" s="187"/>
      <c r="B87" s="187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187"/>
      <c r="O87" s="187"/>
      <c r="P87" s="187"/>
      <c r="Q87" s="187"/>
    </row>
    <row r="88" spans="1:17" ht="12.75">
      <c r="A88" s="187"/>
      <c r="B88" s="187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187"/>
      <c r="O88" s="187"/>
      <c r="P88" s="187"/>
      <c r="Q88" s="187"/>
    </row>
    <row r="89" spans="1:17" ht="12.75">
      <c r="A89" s="187"/>
      <c r="B89" s="18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187"/>
      <c r="O89" s="187"/>
      <c r="P89" s="187"/>
      <c r="Q89" s="187"/>
    </row>
    <row r="90" spans="1:17" ht="12.75">
      <c r="A90" s="187"/>
      <c r="B90" s="18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187"/>
      <c r="O90" s="187"/>
      <c r="P90" s="187"/>
      <c r="Q90" s="187"/>
    </row>
    <row r="91" spans="1:17" ht="12.75">
      <c r="A91" s="187"/>
      <c r="B91" s="187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187"/>
      <c r="O91" s="187"/>
      <c r="P91" s="187"/>
      <c r="Q91" s="187"/>
    </row>
    <row r="92" spans="1:17" ht="12.75">
      <c r="A92" s="187"/>
      <c r="B92" s="187"/>
      <c r="C92" s="502"/>
      <c r="D92" s="502"/>
      <c r="E92" s="502"/>
      <c r="F92" s="502"/>
      <c r="G92" s="502"/>
      <c r="H92" s="502"/>
      <c r="I92" s="502"/>
      <c r="J92" s="502"/>
      <c r="K92" s="502"/>
      <c r="L92" s="502"/>
      <c r="M92" s="502"/>
      <c r="N92" s="502"/>
      <c r="O92" s="502"/>
      <c r="P92" s="502"/>
      <c r="Q92" s="502"/>
    </row>
    <row r="93" spans="1:17" ht="12.75">
      <c r="A93" s="187"/>
      <c r="B93" s="187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9" r:id="rId1"/>
  <headerFooter alignWithMargins="0">
    <oddHeader>&amp;C&amp;"Arial,Bold"&amp;KC00000SEE MONTHLY PILS CONTINUITY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Jenn Theoret</cp:lastModifiedBy>
  <cp:lastPrinted>2011-07-07T17:50:16Z</cp:lastPrinted>
  <dcterms:created xsi:type="dcterms:W3CDTF">2001-11-07T16:15:53Z</dcterms:created>
  <dcterms:modified xsi:type="dcterms:W3CDTF">2012-02-16T18:58:04Z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