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5480" windowHeight="65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<sst xmlns="http://schemas.openxmlformats.org/spreadsheetml/2006/main" count="25" uniqueCount="20">
  <si>
    <t>Revenue Requirement for the Historical Years</t>
  </si>
  <si>
    <t>Total</t>
  </si>
  <si>
    <t>ID and Factors</t>
  </si>
  <si>
    <t>Explanation Allocator</t>
  </si>
  <si>
    <t>Allocated per Class</t>
  </si>
  <si>
    <t>Revenue Requirement allocated to each Class before PILs</t>
  </si>
  <si>
    <t>Revenue Generated from Smart Meter Funding Adder</t>
  </si>
  <si>
    <t>Number of Metered Customers</t>
  </si>
  <si>
    <t>GUELPH HYDRO - 2012 COS - EB-2011-0123</t>
  </si>
  <si>
    <t>Number of Smart Meters Installed for each Class</t>
  </si>
  <si>
    <t>Total 2009 to 2011</t>
  </si>
  <si>
    <t>Note (1): The Operating Expenses were reduced by $89,067 to reflect the SH&amp;ED Tax Credit - Energy Probe TCQ # 21 c</t>
  </si>
  <si>
    <t>Total Return on Capital</t>
  </si>
  <si>
    <t>Amortization and interest Expense</t>
  </si>
  <si>
    <t>Operating Expenses (Note 1)</t>
  </si>
  <si>
    <t>Grossed-up Taxes/PILs</t>
  </si>
  <si>
    <t>TOTAL REVENUE REQUIREMENT</t>
  </si>
  <si>
    <t>Percentage of costs allocated to customer classes</t>
  </si>
  <si>
    <t>Smart Meter Disposition Rate Rider</t>
  </si>
  <si>
    <t>Net Deferred Revenue Requirement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</si>
</sst>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* #,##0_-;\-* #,##0_-;_-* &quot;-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wrapText="1"/>
    </xf>
    <xf numFmtId="164" fontId="36" fillId="0" borderId="0" xfId="0" applyNumberFormat="1" applyFont="1" applyAlignment="1">
      <alignment/>
    </xf>
    <xf numFmtId="164" fontId="36" fillId="13" borderId="0" xfId="0" applyNumberFormat="1" applyFont="1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164" fontId="36" fillId="0" borderId="11" xfId="0" applyNumberFormat="1" applyFont="1" applyBorder="1" applyAlignment="1">
      <alignment/>
    </xf>
    <xf numFmtId="10" fontId="0" fillId="33" borderId="0" xfId="0" applyNumberFormat="1" applyFill="1" applyAlignment="1">
      <alignment/>
    </xf>
    <xf numFmtId="164" fontId="0" fillId="33" borderId="11" xfId="0" applyNumberFormat="1" applyFill="1" applyBorder="1" applyAlignment="1">
      <alignment/>
    </xf>
    <xf numFmtId="9" fontId="4" fillId="34" borderId="12" xfId="57" applyFont="1" applyFill="1" applyBorder="1" applyAlignment="1">
      <alignment horizontal="center" vertical="center"/>
    </xf>
    <xf numFmtId="0" fontId="0" fillId="13" borderId="13" xfId="0" applyFill="1" applyBorder="1" applyAlignment="1">
      <alignment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 wrapText="1"/>
    </xf>
    <xf numFmtId="164" fontId="0" fillId="33" borderId="13" xfId="0" applyNumberFormat="1" applyFill="1" applyBorder="1" applyAlignment="1">
      <alignment/>
    </xf>
    <xf numFmtId="3" fontId="0" fillId="0" borderId="13" xfId="0" applyNumberFormat="1" applyBorder="1" applyAlignment="1">
      <alignment wrapText="1"/>
    </xf>
    <xf numFmtId="164" fontId="0" fillId="0" borderId="13" xfId="0" applyNumberFormat="1" applyFill="1" applyBorder="1" applyAlignment="1">
      <alignment/>
    </xf>
    <xf numFmtId="9" fontId="4" fillId="34" borderId="14" xfId="57" applyFont="1" applyFill="1" applyBorder="1" applyAlignment="1">
      <alignment horizontal="center" vertical="center"/>
    </xf>
    <xf numFmtId="165" fontId="3" fillId="34" borderId="12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3" fillId="34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wrapText="1"/>
      <protection/>
    </xf>
    <xf numFmtId="0" fontId="0" fillId="0" borderId="15" xfId="0" applyBorder="1" applyAlignment="1">
      <alignment horizontal="center"/>
    </xf>
    <xf numFmtId="164" fontId="0" fillId="13" borderId="13" xfId="0" applyNumberFormat="1" applyFill="1" applyBorder="1" applyAlignment="1">
      <alignment/>
    </xf>
    <xf numFmtId="164" fontId="0" fillId="0" borderId="13" xfId="0" applyNumberFormat="1" applyBorder="1" applyAlignment="1">
      <alignment wrapText="1"/>
    </xf>
    <xf numFmtId="164" fontId="0" fillId="0" borderId="13" xfId="0" applyNumberFormat="1" applyBorder="1" applyAlignment="1" applyProtection="1">
      <alignment/>
      <protection/>
    </xf>
    <xf numFmtId="164" fontId="0" fillId="0" borderId="13" xfId="0" applyNumberFormat="1" applyFont="1" applyFill="1" applyBorder="1" applyAlignment="1">
      <alignment/>
    </xf>
    <xf numFmtId="164" fontId="36" fillId="0" borderId="16" xfId="0" applyNumberFormat="1" applyFont="1" applyFill="1" applyBorder="1" applyAlignment="1">
      <alignment/>
    </xf>
    <xf numFmtId="164" fontId="36" fillId="13" borderId="13" xfId="0" applyNumberFormat="1" applyFont="1" applyFill="1" applyBorder="1" applyAlignment="1">
      <alignment/>
    </xf>
    <xf numFmtId="164" fontId="36" fillId="4" borderId="13" xfId="0" applyNumberFormat="1" applyFont="1" applyFill="1" applyBorder="1" applyAlignment="1">
      <alignment/>
    </xf>
    <xf numFmtId="164" fontId="36" fillId="0" borderId="17" xfId="0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 wrapText="1"/>
    </xf>
    <xf numFmtId="0" fontId="36" fillId="13" borderId="13" xfId="0" applyFont="1" applyFill="1" applyBorder="1" applyAlignment="1">
      <alignment wrapText="1"/>
    </xf>
    <xf numFmtId="0" fontId="36" fillId="0" borderId="13" xfId="0" applyFont="1" applyBorder="1" applyAlignment="1">
      <alignment wrapText="1"/>
    </xf>
    <xf numFmtId="164" fontId="5" fillId="2" borderId="19" xfId="0" applyNumberFormat="1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0" fontId="6" fillId="2" borderId="10" xfId="0" applyFont="1" applyFill="1" applyBorder="1" applyAlignment="1">
      <alignment/>
    </xf>
    <xf numFmtId="10" fontId="0" fillId="0" borderId="15" xfId="0" applyNumberFormat="1" applyBorder="1" applyAlignment="1">
      <alignment/>
    </xf>
    <xf numFmtId="0" fontId="36" fillId="4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36" fillId="0" borderId="20" xfId="0" applyNumberFormat="1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36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Cost%20Allocation\CA%20New%20Model\Guelph_APPL_CA_Model_v2_July%2028_201108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Submissions\2012%20Rate%20-%20Rebasing%20Process\Smart%20meters\New%20SM%20Model%20sent%20Oct%2028\Guelph_2012%20smart%20meter%20model_V21_2_20111108%20Ver%20B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Models\Weather%20Normalization%20Regression%20Model%20-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Guelph_APPL_CA_Model_v2_July 28"/>
    </sheetNames>
    <sheetDataSet>
      <sheetData sheetId="2">
        <row r="20">
          <cell r="C20" t="str">
            <v>Residential</v>
          </cell>
          <cell r="D20" t="str">
            <v>Residential</v>
          </cell>
        </row>
        <row r="21">
          <cell r="C21" t="str">
            <v>GS &lt;50</v>
          </cell>
          <cell r="D21" t="str">
            <v>General Service Less than 50 kW</v>
          </cell>
        </row>
      </sheetData>
      <sheetData sheetId="29">
        <row r="93">
          <cell r="A93" t="str">
            <v>Weighted Meter -Capital </v>
          </cell>
          <cell r="B93" t="str">
            <v>CWMC</v>
          </cell>
          <cell r="D93">
            <v>0.7402843419047436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NOTES"/>
    </sheetNames>
    <sheetDataSet>
      <sheetData sheetId="4">
        <row r="48">
          <cell r="M48">
            <v>45429.247169820555</v>
          </cell>
          <cell r="O48">
            <v>275990.10957052966</v>
          </cell>
          <cell r="Q48">
            <v>454228.7810036204</v>
          </cell>
        </row>
        <row r="51">
          <cell r="M51">
            <v>0</v>
          </cell>
          <cell r="O51">
            <v>84834</v>
          </cell>
          <cell r="Q51">
            <v>527410</v>
          </cell>
        </row>
        <row r="60">
          <cell r="M60">
            <v>70482.76666666666</v>
          </cell>
          <cell r="O60">
            <v>353394.65</v>
          </cell>
          <cell r="Q60">
            <v>628954.2583333333</v>
          </cell>
        </row>
        <row r="70">
          <cell r="M70">
            <v>-73392.99533366923</v>
          </cell>
          <cell r="O70">
            <v>-181030.55445099543</v>
          </cell>
          <cell r="Q70">
            <v>10278.250483445578</v>
          </cell>
        </row>
      </sheetData>
      <sheetData sheetId="10">
        <row r="30">
          <cell r="M30">
            <v>42519.018502818</v>
          </cell>
          <cell r="O30">
            <v>533188.2051195343</v>
          </cell>
          <cell r="Q30">
            <v>1620871.2898203994</v>
          </cell>
        </row>
        <row r="32">
          <cell r="M32">
            <v>32.39682875</v>
          </cell>
          <cell r="O32">
            <v>2193.028928750001</v>
          </cell>
          <cell r="Q32">
            <v>14116.960172</v>
          </cell>
        </row>
        <row r="62">
          <cell r="G62">
            <v>2420885.7789010275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historical comparison sales"/>
      <sheetName val="Summary"/>
      <sheetName val="HDD CDD trend"/>
      <sheetName val="Purchased Power Model"/>
      <sheetName val="Rate Class Energy Model"/>
      <sheetName val="Rate Class Customer Model"/>
      <sheetName val="Rate Class Load Model"/>
      <sheetName val="Chart3"/>
      <sheetName val="Purchased vs Forecast after adj"/>
      <sheetName val="Chart4"/>
      <sheetName val="Customer growth"/>
      <sheetName val="Statistics"/>
      <sheetName val="Customer Load Pie Graphs"/>
      <sheetName val="Load Charts"/>
    </sheetNames>
    <sheetDataSet>
      <sheetData sheetId="2">
        <row r="12">
          <cell r="L12">
            <v>47848.117662265744</v>
          </cell>
        </row>
        <row r="16">
          <cell r="L16">
            <v>3787.813776381449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4.140625" style="0" customWidth="1"/>
    <col min="2" max="2" width="42.7109375" style="47" customWidth="1"/>
    <col min="3" max="3" width="12.00390625" style="0" customWidth="1"/>
    <col min="4" max="4" width="14.7109375" style="0" customWidth="1"/>
    <col min="5" max="5" width="12.7109375" style="0" bestFit="1" customWidth="1"/>
    <col min="6" max="6" width="4.140625" style="0" customWidth="1"/>
    <col min="7" max="7" width="12.7109375" style="2" bestFit="1" customWidth="1"/>
    <col min="8" max="8" width="14.57421875" style="3" customWidth="1"/>
    <col min="10" max="11" width="12.7109375" style="0" bestFit="1" customWidth="1"/>
    <col min="12" max="12" width="11.140625" style="0" bestFit="1" customWidth="1"/>
  </cols>
  <sheetData>
    <row r="1" ht="15">
      <c r="B1" s="47" t="s">
        <v>8</v>
      </c>
    </row>
    <row r="2" ht="15.75" thickBot="1"/>
    <row r="3" spans="2:12" ht="51">
      <c r="B3" s="39"/>
      <c r="C3" s="26">
        <v>2009</v>
      </c>
      <c r="D3" s="26">
        <v>2010</v>
      </c>
      <c r="E3" s="26">
        <v>2011</v>
      </c>
      <c r="F3" s="26"/>
      <c r="G3" s="46" t="s">
        <v>10</v>
      </c>
      <c r="H3" s="35" t="s">
        <v>3</v>
      </c>
      <c r="I3" s="36" t="s">
        <v>2</v>
      </c>
      <c r="J3" s="13" t="s">
        <v>1</v>
      </c>
      <c r="K3" s="21" t="str">
        <f>IF('[1]I2 LDC class'!$D$20="",'[1]I2 LDC class'!$C$20,'[1]I2 LDC class'!$D$20)</f>
        <v>Residential</v>
      </c>
      <c r="L3" s="21" t="str">
        <f>IF('[1]I2 LDC class'!$D$21="",'[1]I2 LDC class'!$C$21,'[1]I2 LDC class'!$D$21)</f>
        <v>General Service Less than 50 kW</v>
      </c>
    </row>
    <row r="4" spans="2:12" ht="15">
      <c r="B4" s="40" t="s">
        <v>0</v>
      </c>
      <c r="C4" s="27">
        <f>'[2]9. SMFA_SMDR_SMIRR'!$M$30+'[2]9. SMFA_SMDR_SMIRR'!$M$32</f>
        <v>42551.415331568</v>
      </c>
      <c r="D4" s="27">
        <f>'[2]9. SMFA_SMDR_SMIRR'!$O$30+'[2]9. SMFA_SMDR_SMIRR'!$O$32</f>
        <v>535381.2340482842</v>
      </c>
      <c r="E4" s="27">
        <f>'[2]9. SMFA_SMDR_SMIRR'!$Q$30+'[2]9. SMFA_SMDR_SMIRR'!$Q$32</f>
        <v>1634988.2499923995</v>
      </c>
      <c r="F4" s="27"/>
      <c r="G4" s="32">
        <f>SUM(C4:E4)</f>
        <v>2212920.8993722517</v>
      </c>
      <c r="H4" s="7"/>
      <c r="I4" s="14"/>
      <c r="J4" s="14"/>
      <c r="K4" s="14"/>
      <c r="L4" s="14"/>
    </row>
    <row r="5" spans="2:12" ht="15">
      <c r="B5" s="37"/>
      <c r="C5" s="22"/>
      <c r="D5" s="22"/>
      <c r="E5" s="22"/>
      <c r="F5" s="22"/>
      <c r="G5" s="33"/>
      <c r="I5" s="15"/>
      <c r="J5" s="15"/>
      <c r="K5" s="15"/>
      <c r="L5" s="15"/>
    </row>
    <row r="6" spans="2:12" s="3" customFormat="1" ht="30">
      <c r="B6" s="25" t="s">
        <v>12</v>
      </c>
      <c r="C6" s="28">
        <f>'[2]5. SM_Rev_Reqt'!$M$48</f>
        <v>45429.247169820555</v>
      </c>
      <c r="D6" s="28">
        <f>'[2]5. SM_Rev_Reqt'!$O$48</f>
        <v>275990.10957052966</v>
      </c>
      <c r="E6" s="28">
        <f>'[2]5. SM_Rev_Reqt'!$Q$48</f>
        <v>454228.7810036204</v>
      </c>
      <c r="F6" s="28"/>
      <c r="G6" s="32">
        <f>SUM(C6:E6)</f>
        <v>775648.1377439706</v>
      </c>
      <c r="H6" s="3" t="str">
        <f>'[1]E2 Allocators'!A93</f>
        <v>Weighted Meter -Capital </v>
      </c>
      <c r="I6" s="37" t="str">
        <f>'[1]E2 Allocators'!B93</f>
        <v>CWMC</v>
      </c>
      <c r="J6" s="16">
        <f aca="true" t="shared" si="0" ref="J6:J13">SUM(K6:L6)</f>
        <v>1</v>
      </c>
      <c r="K6" s="16">
        <f>'[1]E2 Allocators'!D93</f>
        <v>0.7402843419047436</v>
      </c>
      <c r="L6" s="16">
        <f>100%-K6</f>
        <v>0.25971565809525643</v>
      </c>
    </row>
    <row r="7" spans="2:12" ht="15">
      <c r="B7" s="37"/>
      <c r="C7" s="22"/>
      <c r="D7" s="22"/>
      <c r="E7" s="22"/>
      <c r="F7" s="22"/>
      <c r="G7" s="32" t="s">
        <v>4</v>
      </c>
      <c r="H7" s="7"/>
      <c r="I7" s="15"/>
      <c r="J7" s="17">
        <f t="shared" si="0"/>
        <v>775648.1377439706</v>
      </c>
      <c r="K7" s="22">
        <f>K6*$G$6</f>
        <v>574200.1711994351</v>
      </c>
      <c r="L7" s="22">
        <f>L6*$G$6</f>
        <v>201447.96654453545</v>
      </c>
    </row>
    <row r="8" spans="2:12" ht="30">
      <c r="B8" s="41" t="s">
        <v>13</v>
      </c>
      <c r="C8" s="22">
        <f>'[2]5. SM_Rev_Reqt'!$M$60+'[2]9. SMFA_SMDR_SMIRR'!$M$32</f>
        <v>70515.16349541667</v>
      </c>
      <c r="D8" s="22">
        <f>'[2]5. SM_Rev_Reqt'!$O$60+'[2]9. SMFA_SMDR_SMIRR'!$O$32</f>
        <v>355587.67892875004</v>
      </c>
      <c r="E8" s="19">
        <f>'[2]5. SM_Rev_Reqt'!$Q$60+'[2]9. SMFA_SMDR_SMIRR'!$Q$32</f>
        <v>643071.2185053333</v>
      </c>
      <c r="F8" s="22"/>
      <c r="G8" s="32">
        <f>SUM(C8:E8)</f>
        <v>1069174.0609295</v>
      </c>
      <c r="H8" s="3" t="str">
        <f>H6</f>
        <v>Weighted Meter -Capital </v>
      </c>
      <c r="I8" s="37" t="str">
        <f>I6</f>
        <v>CWMC</v>
      </c>
      <c r="J8" s="16">
        <f t="shared" si="0"/>
        <v>1</v>
      </c>
      <c r="K8" s="16">
        <f>K6</f>
        <v>0.7402843419047436</v>
      </c>
      <c r="L8" s="16">
        <f>L6</f>
        <v>0.25971565809525643</v>
      </c>
    </row>
    <row r="9" spans="2:12" ht="15">
      <c r="B9" s="37"/>
      <c r="C9" s="22"/>
      <c r="D9" s="22"/>
      <c r="E9" s="22"/>
      <c r="F9" s="22"/>
      <c r="G9" s="32" t="s">
        <v>4</v>
      </c>
      <c r="H9" s="7"/>
      <c r="I9" s="15"/>
      <c r="J9" s="17">
        <f t="shared" si="0"/>
        <v>1069174.0609295</v>
      </c>
      <c r="K9" s="22">
        <f>$G$8*K8</f>
        <v>791492.8160768171</v>
      </c>
      <c r="L9" s="22">
        <f>$G$8*L8</f>
        <v>277681.2448526829</v>
      </c>
    </row>
    <row r="10" spans="2:12" ht="60">
      <c r="B10" s="25" t="s">
        <v>14</v>
      </c>
      <c r="C10" s="22">
        <f>'[2]5. SM_Rev_Reqt'!$M$51</f>
        <v>0</v>
      </c>
      <c r="D10" s="22">
        <f>'[2]5. SM_Rev_Reqt'!$O$51</f>
        <v>84834</v>
      </c>
      <c r="E10" s="30">
        <f>'[2]5. SM_Rev_Reqt'!$Q$51</f>
        <v>527410</v>
      </c>
      <c r="F10" s="22"/>
      <c r="G10" s="32">
        <f>SUM(C10:E10)</f>
        <v>612244</v>
      </c>
      <c r="H10" s="3" t="s">
        <v>9</v>
      </c>
      <c r="I10" s="15"/>
      <c r="J10" s="18">
        <f t="shared" si="0"/>
        <v>49033</v>
      </c>
      <c r="K10" s="23">
        <v>46027</v>
      </c>
      <c r="L10" s="23">
        <v>3006</v>
      </c>
    </row>
    <row r="11" spans="2:12" ht="15">
      <c r="B11" s="37"/>
      <c r="C11" s="22"/>
      <c r="D11" s="22"/>
      <c r="E11" s="22"/>
      <c r="F11" s="22"/>
      <c r="G11" s="32" t="s">
        <v>4</v>
      </c>
      <c r="H11" s="7"/>
      <c r="I11" s="15"/>
      <c r="J11" s="17">
        <f t="shared" si="0"/>
        <v>612244</v>
      </c>
      <c r="K11" s="22">
        <f>$G$10/$J$10*K10</f>
        <v>574709.9828278914</v>
      </c>
      <c r="L11" s="22">
        <f>$G$10/$J$10*L10</f>
        <v>37534.01717210858</v>
      </c>
    </row>
    <row r="12" spans="2:12" ht="75">
      <c r="B12" s="25" t="s">
        <v>15</v>
      </c>
      <c r="C12" s="29">
        <f>'[2]5. SM_Rev_Reqt'!$M$70</f>
        <v>-73392.99533366923</v>
      </c>
      <c r="D12" s="29">
        <f>'[2]5. SM_Rev_Reqt'!$O$70</f>
        <v>-181030.55445099543</v>
      </c>
      <c r="E12" s="30">
        <f>'[2]5. SM_Rev_Reqt'!$Q$70</f>
        <v>10278.250483445578</v>
      </c>
      <c r="F12" s="22"/>
      <c r="G12" s="32">
        <f>SUM(C12:E12)</f>
        <v>-244145.29930121906</v>
      </c>
      <c r="H12" s="3" t="s">
        <v>5</v>
      </c>
      <c r="I12" s="15"/>
      <c r="J12" s="19">
        <f t="shared" si="0"/>
        <v>2457066.198673471</v>
      </c>
      <c r="K12" s="22">
        <f>K7+K9+K11</f>
        <v>1940402.9701041437</v>
      </c>
      <c r="L12" s="22">
        <f>L7+L9+L11</f>
        <v>516663.228569327</v>
      </c>
    </row>
    <row r="13" spans="2:12" ht="15">
      <c r="B13" s="37"/>
      <c r="C13" s="22"/>
      <c r="D13" s="22"/>
      <c r="E13" s="22"/>
      <c r="F13" s="22"/>
      <c r="G13" s="32" t="s">
        <v>4</v>
      </c>
      <c r="H13" s="7"/>
      <c r="I13" s="15"/>
      <c r="J13" s="17">
        <f t="shared" si="0"/>
        <v>-244145.29930121903</v>
      </c>
      <c r="K13" s="22">
        <f>$G$12/$J$12*K12</f>
        <v>-192807.28543529476</v>
      </c>
      <c r="L13" s="22">
        <f>$G$12/$J$12*L12</f>
        <v>-51338.01386592427</v>
      </c>
    </row>
    <row r="14" spans="2:12" ht="51.75" thickBot="1">
      <c r="B14" s="37"/>
      <c r="C14" s="22"/>
      <c r="D14" s="22"/>
      <c r="E14" s="22"/>
      <c r="F14" s="22"/>
      <c r="G14" s="34"/>
      <c r="I14" s="38"/>
      <c r="J14" s="20" t="s">
        <v>1</v>
      </c>
      <c r="K14" s="24" t="str">
        <f>IF('[1]I2 LDC class'!$D$20="",'[1]I2 LDC class'!$C$20,'[1]I2 LDC class'!$D$20)</f>
        <v>Residential</v>
      </c>
      <c r="L14" s="24" t="str">
        <f>IF('[1]I2 LDC class'!$D$21="",'[1]I2 LDC class'!$C$21,'[1]I2 LDC class'!$D$21)</f>
        <v>General Service Less than 50 kW</v>
      </c>
    </row>
    <row r="15" spans="2:12" s="2" customFormat="1" ht="15.75" thickBot="1">
      <c r="B15" s="50" t="s">
        <v>16</v>
      </c>
      <c r="C15" s="51"/>
      <c r="D15" s="51"/>
      <c r="E15" s="51"/>
      <c r="F15" s="52"/>
      <c r="G15" s="31">
        <f>G6+G8+G10+G12</f>
        <v>2212920.8993722517</v>
      </c>
      <c r="H15" s="8"/>
      <c r="I15" s="9"/>
      <c r="J15" s="10">
        <f>+J7+J9+J11+J13</f>
        <v>2212920.8993722517</v>
      </c>
      <c r="K15" s="10">
        <f>+K7+K9+K11+K13</f>
        <v>1747595.684668849</v>
      </c>
      <c r="L15" s="10">
        <f>+L7+L9+L11+L13</f>
        <v>465325.2147034027</v>
      </c>
    </row>
    <row r="16" spans="3:12" ht="28.5" customHeight="1">
      <c r="C16" s="1"/>
      <c r="D16" s="1"/>
      <c r="E16" s="1"/>
      <c r="F16" s="1"/>
      <c r="G16" s="48" t="s">
        <v>17</v>
      </c>
      <c r="H16" s="49"/>
      <c r="I16" s="49"/>
      <c r="J16" s="11">
        <f>SUM(K16:L16)</f>
        <v>1</v>
      </c>
      <c r="K16" s="45">
        <f>K15/J15</f>
        <v>0.7897235211455577</v>
      </c>
      <c r="L16" s="45">
        <f>L15/J15</f>
        <v>0.21027647885444228</v>
      </c>
    </row>
    <row r="17" spans="2:12" ht="15">
      <c r="B17" s="53" t="s">
        <v>6</v>
      </c>
      <c r="C17" s="53"/>
      <c r="D17" s="53"/>
      <c r="E17" s="53"/>
      <c r="F17" s="53"/>
      <c r="G17" s="4">
        <f>'[2]9. SMFA_SMDR_SMIRR'!$G$62</f>
        <v>2420885.7789010275</v>
      </c>
      <c r="K17" s="22"/>
      <c r="L17" s="22"/>
    </row>
    <row r="18" spans="2:12" ht="15">
      <c r="B18" s="54" t="s">
        <v>19</v>
      </c>
      <c r="C18" s="53"/>
      <c r="D18" s="53"/>
      <c r="E18" s="53"/>
      <c r="F18" s="53"/>
      <c r="G18" s="4">
        <f>G15-G17</f>
        <v>-207964.8795287758</v>
      </c>
      <c r="K18" s="15"/>
      <c r="L18" s="15"/>
    </row>
    <row r="19" spans="3:12" ht="15">
      <c r="C19" s="1"/>
      <c r="D19" s="1"/>
      <c r="E19" s="1"/>
      <c r="F19" s="1"/>
      <c r="G19" s="5" t="s">
        <v>4</v>
      </c>
      <c r="H19" s="7"/>
      <c r="I19" s="6"/>
      <c r="K19" s="22">
        <f>$G$18*K16</f>
        <v>-164234.75693607653</v>
      </c>
      <c r="L19" s="22">
        <f>$G$18*L16</f>
        <v>-43730.12259269926</v>
      </c>
    </row>
    <row r="20" spans="3:12" ht="15.75" thickBot="1">
      <c r="C20" s="1"/>
      <c r="D20" s="1"/>
      <c r="E20" s="1"/>
      <c r="F20" s="1"/>
      <c r="G20" s="4" t="s">
        <v>7</v>
      </c>
      <c r="K20" s="23">
        <f>'[3]Summary'!$L$12</f>
        <v>47848.117662265744</v>
      </c>
      <c r="L20" s="23">
        <f>'[3]Summary'!$L$16</f>
        <v>3787.813776381449</v>
      </c>
    </row>
    <row r="21" spans="3:12" ht="15.75" thickBot="1">
      <c r="C21" s="1"/>
      <c r="D21" s="1"/>
      <c r="E21" s="1"/>
      <c r="F21" s="42" t="s">
        <v>18</v>
      </c>
      <c r="G21" s="43"/>
      <c r="H21" s="44"/>
      <c r="I21" s="44"/>
      <c r="J21" s="44"/>
      <c r="K21" s="12">
        <f>K19/K20/12</f>
        <v>-0.2860348622547038</v>
      </c>
      <c r="L21" s="12">
        <f>L19/L20/12</f>
        <v>-0.962079209238811</v>
      </c>
    </row>
    <row r="22" spans="3:7" ht="15">
      <c r="C22" s="1"/>
      <c r="D22" s="1"/>
      <c r="E22" s="1"/>
      <c r="F22" s="1"/>
      <c r="G22" s="4"/>
    </row>
    <row r="23" spans="2:7" ht="29.25" customHeight="1">
      <c r="B23" s="55" t="s">
        <v>11</v>
      </c>
      <c r="C23" s="55"/>
      <c r="D23" s="55"/>
      <c r="E23" s="55"/>
      <c r="F23" s="1"/>
      <c r="G23" s="4"/>
    </row>
    <row r="24" spans="3:7" ht="15">
      <c r="C24" s="1"/>
      <c r="D24" s="1"/>
      <c r="E24" s="1"/>
      <c r="F24" s="1"/>
      <c r="G24" s="4"/>
    </row>
    <row r="25" spans="3:7" ht="15">
      <c r="C25" s="1"/>
      <c r="D25" s="1"/>
      <c r="E25" s="1"/>
      <c r="F25" s="1"/>
      <c r="G25" s="4"/>
    </row>
    <row r="26" spans="3:7" ht="15">
      <c r="C26" s="1"/>
      <c r="D26" s="1"/>
      <c r="E26" s="1"/>
      <c r="F26" s="1"/>
      <c r="G26" s="4"/>
    </row>
  </sheetData>
  <sheetProtection/>
  <mergeCells count="5">
    <mergeCell ref="G16:I16"/>
    <mergeCell ref="B15:F15"/>
    <mergeCell ref="B17:F17"/>
    <mergeCell ref="B18:F18"/>
    <mergeCell ref="B23:E23"/>
  </mergeCells>
  <printOptions/>
  <pageMargins left="0.7" right="0.7" top="0.75" bottom="0.75" header="0.3" footer="0.3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birceanu</dc:creator>
  <cp:keywords/>
  <dc:description/>
  <cp:lastModifiedBy>Cristina</cp:lastModifiedBy>
  <cp:lastPrinted>2012-02-23T16:52:08Z</cp:lastPrinted>
  <dcterms:created xsi:type="dcterms:W3CDTF">2011-11-02T13:19:14Z</dcterms:created>
  <dcterms:modified xsi:type="dcterms:W3CDTF">2012-02-29T16:12:01Z</dcterms:modified>
  <cp:category/>
  <cp:version/>
  <cp:contentType/>
  <cp:contentStatus/>
</cp:coreProperties>
</file>