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<sst xmlns="http://schemas.openxmlformats.org/spreadsheetml/2006/main" count="884" uniqueCount="507">
  <si>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</si>
  <si>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</si>
  <si>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</si>
  <si>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</si>
  <si>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</si>
  <si>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</si>
  <si>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</si>
  <si>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</si>
  <si>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</si>
  <si>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</si>
  <si>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</si>
  <si>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</si>
  <si>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</si>
  <si>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</si>
  <si>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</si>
  <si>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</si>
  <si>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</si>
  <si>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</si>
  <si>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</si>
  <si>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</si>
  <si>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</si>
  <si>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</si>
  <si>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</si>
  <si>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</si>
  <si>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</si>
  <si>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</si>
  <si>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</si>
  <si>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</si>
  <si>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</si>
  <si>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</si>
  <si>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</si>
  <si>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</si>
  <si>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</si>
  <si>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</si>
  <si>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</si>
  <si>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</si>
  <si>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</si>
  <si>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</si>
  <si>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</si>
  <si>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</si>
  <si>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</si>
  <si>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</si>
  <si>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</si>
  <si>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</si>
  <si>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</si>
  <si>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</si>
  <si>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</si>
  <si>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</si>
  <si>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</si>
  <si>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</si>
  <si>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</si>
  <si>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</si>
  <si>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</si>
  <si>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</si>
  <si>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</si>
  <si>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</si>
  <si>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</si>
  <si>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</si>
  <si>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</si>
  <si>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</si>
  <si>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</si>
  <si>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</si>
  <si>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</si>
  <si>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</si>
  <si>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</si>
  <si>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</si>
  <si>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</si>
  <si>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</si>
  <si>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</si>
  <si>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</si>
  <si>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</si>
  <si>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</si>
  <si>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</si>
  <si>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</si>
  <si>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</si>
  <si>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</si>
  <si>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</si>
  <si>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</si>
  <si>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</si>
  <si>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</si>
  <si>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</si>
  <si>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</si>
  <si>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</si>
  <si>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</si>
  <si>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</si>
  <si>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</si>
  <si>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</si>
  <si>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</si>
  <si>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</si>
  <si>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</si>
  <si>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</si>
  <si>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</si>
  <si>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</si>
  <si>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</si>
  <si>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</si>
  <si>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</si>
  <si>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</si>
  <si>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</si>
  <si>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</si>
  <si>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</si>
  <si>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</si>
  <si>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</si>
  <si>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</si>
  <si>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</si>
  <si>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</si>
  <si>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</si>
  <si>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</si>
  <si>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</si>
  <si>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</si>
  <si>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</si>
  <si>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</si>
  <si>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</si>
  <si>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</si>
  <si>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</si>
  <si>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</si>
  <si>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</si>
  <si>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</si>
  <si>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</si>
  <si>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</si>
  <si>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</si>
  <si>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</si>
  <si>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</si>
  <si>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</si>
  <si>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</si>
  <si>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</si>
  <si>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</si>
  <si>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</si>
  <si>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</si>
  <si>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</si>
  <si>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</si>
  <si>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</si>
  <si>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</si>
  <si>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</si>
  <si>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</si>
  <si>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</si>
  <si>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</si>
  <si>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</si>
  <si>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</si>
  <si>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</si>
  <si>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</si>
  <si>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</si>
  <si>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</si>
  <si>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</si>
  <si>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</si>
  <si>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</si>
  <si>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</si>
  <si>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</si>
  <si>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</si>
  <si>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</si>
  <si>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</si>
  <si>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</si>
  <si>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</si>
  <si>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</si>
  <si>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</si>
  <si>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</si>
  <si>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</si>
  <si>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</si>
  <si>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</si>
  <si>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</si>
  <si>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</si>
  <si>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</si>
  <si>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</si>
  <si>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</si>
  <si>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</si>
  <si>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</si>
  <si>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</si>
  <si>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</si>
  <si>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</si>
  <si>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</si>
  <si>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</si>
  <si>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</si>
  <si>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</si>
  <si>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</si>
  <si>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</si>
  <si>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</si>
  <si>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</si>
  <si>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</si>
  <si>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</si>
  <si>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</si>
  <si>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</si>
  <si>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</si>
  <si>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</si>
  <si>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</si>
  <si>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</si>
  <si>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</si>
  <si>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</si>
  <si>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</si>
  <si>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</si>
  <si>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</si>
  <si>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</si>
  <si>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</si>
  <si>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</si>
  <si>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</si>
  <si>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</si>
  <si>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</si>
  <si>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</si>
  <si>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</si>
  <si>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</si>
  <si>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</si>
  <si>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</si>
  <si>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</si>
  <si>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</si>
  <si>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</si>
  <si>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</si>
  <si>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</si>
  <si>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</si>
  <si>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</si>
  <si>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</si>
  <si>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</si>
  <si>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</si>
  <si>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</si>
  <si>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</si>
  <si>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</si>
  <si>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</si>
  <si>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</si>
  <si>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</si>
  <si>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</si>
  <si>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</si>
  <si>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</si>
  <si>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</si>
  <si>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</si>
  <si>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</si>
  <si>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</si>
  <si>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</si>
  <si>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</si>
  <si>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</si>
  <si>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</si>
  <si>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</si>
  <si>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</si>
  <si>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</si>
  <si>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</si>
  <si>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</si>
  <si>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</si>
  <si>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</si>
  <si>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</si>
  <si>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</si>
  <si>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</si>
  <si>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</si>
  <si>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</si>
  <si>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</si>
  <si>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</si>
  <si>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</si>
  <si>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</si>
  <si>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</si>
  <si>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</si>
  <si>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</si>
  <si>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</si>
  <si>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</si>
  <si>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</si>
  <si>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</si>
  <si>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</si>
  <si>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</si>
  <si>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</si>
  <si>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</si>
  <si>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</si>
  <si>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</si>
  <si>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</si>
  <si>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</si>
  <si>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</si>
  <si>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</si>
  <si>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</si>
  <si>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</si>
  <si>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</si>
  <si>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</si>
  <si>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</si>
  <si>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</si>
  <si>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</si>
  <si>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</si>
  <si>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</si>
  <si>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</si>
  <si>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</si>
  <si>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</si>
  <si>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</si>
  <si>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</si>
  <si>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</si>
  <si>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</si>
  <si>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</si>
  <si>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</si>
  <si>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</si>
  <si>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</si>
  <si>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</si>
  <si>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</si>
  <si>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</si>
  <si>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</si>
  <si>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</si>
  <si>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</si>
  <si>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</si>
  <si>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</si>
  <si>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</si>
  <si>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</si>
  <si>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</si>
  <si>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</si>
  <si>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</si>
  <si>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</si>
  <si>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</si>
  <si>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</si>
  <si>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</si>
  <si>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</si>
  <si>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</si>
  <si>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</si>
  <si>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</si>
  <si>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</si>
  <si>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</si>
  <si>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</si>
  <si>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</si>
  <si>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</si>
  <si>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</si>
  <si>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</si>
  <si>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</si>
  <si>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</si>
  <si>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</si>
  <si>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</si>
  <si>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</si>
  <si>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</si>
  <si>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</si>
  <si>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</si>
  <si>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</si>
  <si>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</si>
  <si>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</si>
  <si>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</si>
  <si>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</si>
  <si>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</si>
  <si>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</si>
  <si>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</si>
  <si>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</si>
  <si>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</si>
  <si>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</si>
  <si>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</si>
  <si>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</si>
  <si>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</si>
  <si>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</si>
  <si>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</si>
  <si>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</si>
  <si>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</si>
  <si>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</si>
  <si>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</si>
  <si>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</si>
  <si>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</si>
  <si>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</si>
  <si>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</si>
  <si>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</si>
  <si>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</si>
  <si>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</si>
  <si>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</si>
  <si>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</si>
  <si>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</si>
  <si>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</si>
  <si>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</si>
  <si>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</si>
  <si>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</si>
  <si>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</si>
  <si>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</si>
  <si>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</si>
  <si>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</si>
  <si>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</si>
  <si>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</si>
  <si>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</si>
  <si>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</si>
  <si>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</si>
  <si>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</si>
  <si>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</si>
  <si>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</si>
  <si>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</si>
  <si>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</si>
  <si>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</si>
  <si>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</si>
  <si>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</si>
  <si>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</si>
  <si>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</si>
  <si>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</si>
  <si>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</si>
  <si>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</si>
  <si>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</si>
  <si>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</si>
  <si>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</si>
  <si>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</si>
  <si>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</si>
  <si>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</si>
  <si>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</si>
  <si>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</si>
  <si>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</si>
  <si>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</si>
  <si>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</si>
  <si>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</si>
  <si>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</si>
  <si>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</si>
  <si>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</si>
  <si>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</si>
  <si>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</si>
  <si>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</si>
  <si>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</si>
  <si>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</si>
  <si>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</si>
  <si>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</si>
  <si>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</si>
  <si>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</si>
  <si>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</si>
  <si>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</si>
  <si>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</si>
  <si>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</si>
  <si>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</si>
  <si>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</si>
  <si>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</si>
  <si>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</si>
  <si>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</si>
  <si>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</si>
  <si>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</si>
  <si>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</si>
  <si>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</si>
  <si>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</si>
  <si>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</si>
  <si>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</si>
  <si>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</si>
  <si>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</si>
  <si>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</si>
  <si>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</si>
  <si>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</si>
  <si>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</si>
  <si>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</si>
  <si>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</si>
  <si>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</si>
  <si>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</si>
  <si>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</si>
  <si>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</si>
  <si>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</si>
  <si>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</si>
  <si>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</si>
  <si>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</si>
  <si>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</si>
  <si>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</si>
  <si>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</si>
  <si>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</si>
  <si>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</si>
  <si>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</si>
  <si>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</si>
  <si>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</si>
  <si>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</si>
  <si>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</si>
  <si>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</si>
  <si>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</si>
  <si>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</si>
  <si>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</si>
  <si>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</si>
  <si>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</si>
  <si>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</si>
  <si>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</si>
  <si>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</si>
  <si>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</si>
  <si>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</si>
  <si>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</si>
  <si>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</si>
  <si>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</si>
  <si>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</si>
  <si>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</si>
  <si>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</si>
  <si>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</si>
  <si>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</si>
  <si>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</si>
  <si>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</si>
  <si>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</si>
  <si>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</si>
  <si>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</si>
  <si>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</si>
  <si>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</si>
  <si>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</si>
  <si>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</si>
  <si>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</si>
  <si>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</si>
  <si>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</si>
  <si>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</si>
  <si>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</si>
  <si>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</si>
  <si>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</si>
  <si>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</si>
  <si>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</si>
  <si>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</si>
  <si>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</si>
  <si>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</si>
  <si>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</si>
  <si>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</si>
  <si>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</si>
  <si>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</si>
  <si>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</si>
  <si>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</si>
  <si>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</si>
  <si>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</si>
  <si>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</si>
  <si>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</si>
  <si>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</si>
  <si>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</si>
  <si>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</si>
  <si>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</si>
  <si>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</si>
  <si>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</si>
  <si>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</si>
  <si>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</si>
  <si>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</si>
  <si>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COLLUS Power</t>
  </si>
  <si>
    <t>Y</t>
  </si>
  <si>
    <t>N</t>
  </si>
  <si>
    <t>&lt;$0 in C for HH but form had this</t>
  </si>
  <si>
    <t>&lt;0 in C for HH but form had this</t>
  </si>
  <si>
    <t>Non-deductible meals and entertainment</t>
  </si>
  <si>
    <t>Allowable amortization of restructuring costs</t>
  </si>
  <si>
    <t>Employee Future Benefits</t>
  </si>
  <si>
    <t xml:space="preserve">&lt;5.5% in form </t>
  </si>
  <si>
    <t>PILs TAXES - EB-????-??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</si>
</sst>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1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19" fillId="0" borderId="18" xfId="0" applyNumberFormat="1" applyFont="1" applyBorder="1" applyAlignment="1">
      <alignment horizontal="left"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7" fontId="0" fillId="27" borderId="14" xfId="0" applyNumberFormat="1" applyFill="1" applyBorder="1" applyAlignment="1">
      <alignment vertical="top"/>
    </xf>
    <xf numFmtId="3" fontId="0" fillId="30" borderId="17" xfId="0" applyNumberFormat="1" applyFill="1" applyBorder="1" applyAlignment="1" applyProtection="1">
      <alignment horizontal="center" vertical="top"/>
      <protection locked="0"/>
    </xf>
    <xf numFmtId="3" fontId="0" fillId="30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26" borderId="0" xfId="63" applyFont="1" applyFill="1" applyBorder="1" applyAlignment="1" applyProtection="1">
      <alignment vertical="top"/>
      <protection locked="0"/>
    </xf>
    <xf numFmtId="0" fontId="0" fillId="17" borderId="0" xfId="0" applyFill="1" applyBorder="1" applyAlignment="1">
      <alignment vertical="top"/>
    </xf>
    <xf numFmtId="0" fontId="0" fillId="0" borderId="0" xfId="0" applyFont="1" applyAlignment="1">
      <alignment vertical="top" wrapText="1"/>
    </xf>
    <xf numFmtId="3" fontId="0" fillId="4" borderId="14" xfId="0" applyNumberFormat="1" applyFont="1" applyFill="1" applyBorder="1" applyAlignment="1">
      <alignment horizontal="right" vertical="top"/>
    </xf>
    <xf numFmtId="37" fontId="3" fillId="31" borderId="0" xfId="0" applyNumberFormat="1" applyFont="1" applyFill="1" applyAlignment="1">
      <alignment vertical="top"/>
    </xf>
    <xf numFmtId="3" fontId="0" fillId="31" borderId="14" xfId="0" applyNumberForma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5">
      <selection activeCell="E70" sqref="E70:F7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506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497</v>
      </c>
      <c r="C3" s="8"/>
      <c r="D3" s="456" t="s">
        <v>447</v>
      </c>
      <c r="E3" s="8"/>
      <c r="F3" s="8"/>
      <c r="G3" s="8"/>
      <c r="H3" s="8"/>
    </row>
    <row r="4" spans="1:8" ht="12.75">
      <c r="A4" s="2" t="s">
        <v>484</v>
      </c>
      <c r="C4" s="8"/>
      <c r="D4" s="455" t="s">
        <v>442</v>
      </c>
      <c r="E4" s="429"/>
      <c r="H4" s="8"/>
    </row>
    <row r="5" spans="1:8" ht="12.75">
      <c r="A5" s="52"/>
      <c r="C5" s="8"/>
      <c r="D5" s="454" t="s">
        <v>443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499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499</v>
      </c>
    </row>
    <row r="18" spans="1:4" ht="15" customHeight="1">
      <c r="A18" s="390" t="s">
        <v>315</v>
      </c>
      <c r="C18" s="8"/>
      <c r="D18" s="8"/>
    </row>
    <row r="19" spans="1:4" ht="15" customHeight="1">
      <c r="A19" s="500" t="s">
        <v>316</v>
      </c>
      <c r="B19" s="8" t="s">
        <v>313</v>
      </c>
      <c r="C19" s="8" t="s">
        <v>64</v>
      </c>
      <c r="D19" s="389" t="s">
        <v>498</v>
      </c>
    </row>
    <row r="20" spans="1:4" ht="13.5" thickBot="1">
      <c r="A20" s="501"/>
      <c r="B20" s="8" t="s">
        <v>314</v>
      </c>
      <c r="C20" s="8" t="s">
        <v>64</v>
      </c>
      <c r="D20" s="258" t="s">
        <v>499</v>
      </c>
    </row>
    <row r="21" spans="1:4" ht="12.75">
      <c r="A21" s="500" t="s">
        <v>312</v>
      </c>
      <c r="B21" s="8" t="s">
        <v>313</v>
      </c>
      <c r="C21" s="8"/>
      <c r="D21" s="424">
        <v>0.99</v>
      </c>
    </row>
    <row r="22" spans="1:4" ht="12.75">
      <c r="A22" s="500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485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13535678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1159330.8207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30182</v>
      </c>
      <c r="E43" s="388">
        <f>D43</f>
        <v>30182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1129148.8207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376383</v>
      </c>
      <c r="E47" s="388">
        <f aca="true" t="shared" si="0" ref="E47:E53">D47</f>
        <v>376383</v>
      </c>
      <c r="H47" s="40"/>
      <c r="J47" s="5"/>
      <c r="K47" s="5"/>
    </row>
    <row r="48" spans="1:11" ht="12.75">
      <c r="A48" t="s">
        <v>290</v>
      </c>
      <c r="D48" s="427">
        <v>376383</v>
      </c>
      <c r="E48" s="388">
        <f>D48</f>
        <v>376383</v>
      </c>
      <c r="F48" s="22"/>
      <c r="H48" s="40"/>
      <c r="J48" s="5"/>
      <c r="K48" s="5"/>
    </row>
    <row r="49" spans="1:11" ht="12.75">
      <c r="A49" t="s">
        <v>291</v>
      </c>
      <c r="D49" s="428">
        <v>376383</v>
      </c>
      <c r="E49" s="388">
        <v>0</v>
      </c>
      <c r="F49" s="40"/>
      <c r="G49" s="34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439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462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782948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6767839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668662.4932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6767839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490668.32749999996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172072.1687098657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331370.2860478692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331370.2860478692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490668.32749999996</v>
      </c>
      <c r="E70" s="34"/>
      <c r="F70" s="32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126">
      <selection activeCell="G88" sqref="G88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EB-????-??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COLLUS Power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782948</v>
      </c>
      <c r="D16" s="17"/>
      <c r="E16" s="267">
        <f>G16-C16</f>
        <v>-160483</v>
      </c>
      <c r="F16" s="3"/>
      <c r="G16" s="267">
        <f>TAXREC!E50</f>
        <v>622465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770854</v>
      </c>
      <c r="D20" s="18"/>
      <c r="E20" s="267">
        <f>G20-C20</f>
        <v>28178</v>
      </c>
      <c r="F20" s="6"/>
      <c r="G20" s="267">
        <f>TAXREC!E61</f>
        <v>799032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>
        <v>12792</v>
      </c>
      <c r="D24" s="18"/>
      <c r="E24" s="267">
        <f>G24-C24</f>
        <v>-12792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7725</v>
      </c>
      <c r="F29" s="6"/>
      <c r="G29" s="267">
        <f>TAXREC!E68</f>
        <v>7725</v>
      </c>
      <c r="H29" s="151"/>
    </row>
    <row r="30" spans="1:8" ht="15.75">
      <c r="A30" s="481" t="s">
        <v>395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657583</v>
      </c>
      <c r="D33" s="132"/>
      <c r="E33" s="267">
        <f aca="true" t="shared" si="0" ref="E33:E42">G33-C33</f>
        <v>3522</v>
      </c>
      <c r="F33" s="6"/>
      <c r="G33" s="267">
        <f>TAXREC!E97+TAXREC!E98</f>
        <v>661105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28841</v>
      </c>
      <c r="F34" s="6"/>
      <c r="G34" s="267">
        <f>TAXREC!E99</f>
        <v>28841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>
        <v>0</v>
      </c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331370.2860478692</v>
      </c>
      <c r="D37" s="132"/>
      <c r="E37" s="267">
        <f t="shared" si="0"/>
        <v>-10578.286047869187</v>
      </c>
      <c r="F37" s="6"/>
      <c r="G37" s="267">
        <f>TAXREC!E51</f>
        <v>320792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1" t="s">
        <v>395</v>
      </c>
      <c r="B48" s="127"/>
      <c r="C48" s="259"/>
      <c r="D48" s="132"/>
      <c r="E48" s="267">
        <f>G48-C48</f>
        <v>68735</v>
      </c>
      <c r="F48" s="6"/>
      <c r="G48" s="251">
        <f>TAXREC!E108</f>
        <v>68735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577640.7139521309</v>
      </c>
      <c r="D50" s="102"/>
      <c r="E50" s="263">
        <f>E16+SUM(E20:E30)-SUM(E33:E48)</f>
        <v>-227891.7139521308</v>
      </c>
      <c r="F50" s="432" t="s">
        <v>367</v>
      </c>
      <c r="G50" s="263">
        <f>G16+SUM(G20:G30)-SUM(G33:G48)</f>
        <v>349749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10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0.3412</v>
      </c>
      <c r="D53" s="102"/>
      <c r="E53" s="268">
        <f>+G53-C53</f>
        <v>-0.09927507669786048</v>
      </c>
      <c r="F53" s="114"/>
      <c r="G53" s="474">
        <f>G55/G50</f>
        <v>0.24192492330213952</v>
      </c>
      <c r="H53" s="151"/>
      <c r="I53" s="496"/>
      <c r="J53" s="34"/>
    </row>
    <row r="54" spans="1:10" ht="12.75">
      <c r="A54" s="158"/>
      <c r="B54" s="127"/>
      <c r="C54" s="105"/>
      <c r="D54" s="132"/>
      <c r="E54" s="139"/>
      <c r="F54" s="6"/>
      <c r="G54" s="139"/>
      <c r="H54" s="151"/>
      <c r="I54" s="34"/>
      <c r="J54" s="34"/>
    </row>
    <row r="55" spans="1:10" ht="12.75">
      <c r="A55" s="158" t="s">
        <v>28</v>
      </c>
      <c r="B55" s="127"/>
      <c r="C55" s="264">
        <f>IF(C50&gt;0,C50*C53,0)</f>
        <v>197091.01160046706</v>
      </c>
      <c r="D55" s="102"/>
      <c r="E55" s="267">
        <f>G55-C55</f>
        <v>-112478.01160046706</v>
      </c>
      <c r="F55" s="432" t="s">
        <v>368</v>
      </c>
      <c r="G55" s="264">
        <f>TAXREC!E144</f>
        <v>84613</v>
      </c>
      <c r="H55" s="161"/>
      <c r="I55" s="34"/>
      <c r="J55" s="34"/>
    </row>
    <row r="56" spans="1:10" ht="12.75">
      <c r="A56" s="158"/>
      <c r="B56" s="127"/>
      <c r="C56" s="105"/>
      <c r="D56" s="132"/>
      <c r="E56" s="139"/>
      <c r="F56" s="114"/>
      <c r="G56" s="139"/>
      <c r="H56" s="151"/>
      <c r="I56" s="34"/>
      <c r="J56" s="34"/>
    </row>
    <row r="57" spans="1:10" ht="12.75">
      <c r="A57" s="158"/>
      <c r="B57" s="127"/>
      <c r="C57" s="105"/>
      <c r="D57" s="132"/>
      <c r="E57" s="139"/>
      <c r="F57" s="6"/>
      <c r="G57" s="139"/>
      <c r="H57" s="151"/>
      <c r="I57" s="34"/>
      <c r="J57" s="34"/>
    </row>
    <row r="58" spans="1:10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368</v>
      </c>
      <c r="G58" s="270">
        <f>TAXREC!E145</f>
        <v>0</v>
      </c>
      <c r="H58" s="151"/>
      <c r="I58" s="34"/>
      <c r="J58" s="34"/>
    </row>
    <row r="59" spans="1:10" ht="13.5" thickBot="1">
      <c r="A59" s="158"/>
      <c r="B59" s="127"/>
      <c r="C59" s="105"/>
      <c r="D59" s="18"/>
      <c r="E59" s="139"/>
      <c r="F59" s="6"/>
      <c r="G59" s="139"/>
      <c r="H59" s="151"/>
      <c r="I59" s="34"/>
      <c r="J59" s="34"/>
    </row>
    <row r="60" spans="1:10" ht="13.5" thickBot="1">
      <c r="A60" s="150" t="s">
        <v>37</v>
      </c>
      <c r="B60" s="134"/>
      <c r="C60" s="266">
        <f>+C55-C58</f>
        <v>197091.01160046706</v>
      </c>
      <c r="D60" s="133"/>
      <c r="E60" s="269">
        <f>+E55-E58</f>
        <v>-112478.01160046706</v>
      </c>
      <c r="F60" s="432" t="s">
        <v>368</v>
      </c>
      <c r="G60" s="269">
        <f>+G55-G58</f>
        <v>84613</v>
      </c>
      <c r="H60" s="135"/>
      <c r="I60" s="34"/>
      <c r="J60" s="34"/>
    </row>
    <row r="61" spans="1:10" ht="12.75">
      <c r="A61" s="158"/>
      <c r="B61" s="127"/>
      <c r="C61" s="105"/>
      <c r="D61" s="18"/>
      <c r="E61" s="139"/>
      <c r="F61" s="6"/>
      <c r="G61" s="139"/>
      <c r="H61" s="151"/>
      <c r="I61" s="34"/>
      <c r="J61" s="34"/>
    </row>
    <row r="62" spans="1:10" ht="12.75">
      <c r="A62" s="158"/>
      <c r="B62" s="123"/>
      <c r="C62" s="105"/>
      <c r="D62" s="18"/>
      <c r="E62" s="139"/>
      <c r="F62" s="6"/>
      <c r="G62" s="139"/>
      <c r="H62" s="151"/>
      <c r="I62" s="34"/>
      <c r="J62" s="34"/>
    </row>
    <row r="63" spans="1:10" ht="12.75">
      <c r="A63" s="154" t="s">
        <v>31</v>
      </c>
      <c r="B63" s="128"/>
      <c r="C63" s="105"/>
      <c r="D63" s="18"/>
      <c r="E63" s="139"/>
      <c r="F63" s="6"/>
      <c r="G63" s="139"/>
      <c r="H63" s="151"/>
      <c r="I63" s="34"/>
      <c r="J63" s="34"/>
    </row>
    <row r="64" spans="1:10" ht="12.75">
      <c r="A64" s="158"/>
      <c r="B64" s="127"/>
      <c r="C64" s="105"/>
      <c r="D64" s="18"/>
      <c r="E64" s="139"/>
      <c r="F64" s="6"/>
      <c r="G64" s="139"/>
      <c r="H64" s="151"/>
      <c r="I64" s="34"/>
      <c r="J64" s="34"/>
    </row>
    <row r="65" spans="1:10" ht="12.75">
      <c r="A65" s="156" t="s">
        <v>29</v>
      </c>
      <c r="B65" s="126"/>
      <c r="C65" s="105"/>
      <c r="D65" s="18"/>
      <c r="E65" s="139"/>
      <c r="F65" s="6"/>
      <c r="G65" s="139"/>
      <c r="H65" s="151"/>
      <c r="I65" s="34"/>
      <c r="J65" s="34"/>
    </row>
    <row r="66" spans="1:10" ht="12.75">
      <c r="A66" s="152" t="s">
        <v>17</v>
      </c>
      <c r="B66" s="125">
        <v>15</v>
      </c>
      <c r="C66" s="264">
        <f>Ratebase</f>
        <v>13535678</v>
      </c>
      <c r="D66" s="102"/>
      <c r="E66" s="267">
        <f>G66-C66</f>
        <v>-2850689</v>
      </c>
      <c r="F66" s="6"/>
      <c r="G66" s="476">
        <v>10684989</v>
      </c>
      <c r="H66" s="151"/>
      <c r="I66" s="497"/>
      <c r="J66" s="34"/>
    </row>
    <row r="67" spans="1:10" ht="12.75">
      <c r="A67" s="152" t="s">
        <v>360</v>
      </c>
      <c r="B67" s="125">
        <v>16</v>
      </c>
      <c r="C67" s="260">
        <f>IF(C66&gt;0,'Tax Rates'!C21,0)</f>
        <v>5000000</v>
      </c>
      <c r="D67" s="102"/>
      <c r="E67" s="267">
        <f>G67-C67</f>
        <v>-34979</v>
      </c>
      <c r="F67" s="6"/>
      <c r="G67" s="267">
        <f>'Tax Rates'!C57</f>
        <v>4965021</v>
      </c>
      <c r="H67" s="151"/>
      <c r="I67" s="497"/>
      <c r="J67" s="498"/>
    </row>
    <row r="68" spans="1:10" ht="12.75">
      <c r="A68" s="152" t="s">
        <v>42</v>
      </c>
      <c r="B68" s="125"/>
      <c r="C68" s="264">
        <f>IF((C66-C67)&gt;0,C66-C67,0)</f>
        <v>8535678</v>
      </c>
      <c r="D68" s="102"/>
      <c r="E68" s="267">
        <f>SUM(E66:E67)</f>
        <v>-2885668</v>
      </c>
      <c r="F68" s="114"/>
      <c r="G68" s="264">
        <f>G66-G67</f>
        <v>5719968</v>
      </c>
      <c r="H68" s="160"/>
      <c r="I68" s="34"/>
      <c r="J68" s="34"/>
    </row>
    <row r="69" spans="1:10" ht="12.75">
      <c r="A69" s="152"/>
      <c r="B69" s="125"/>
      <c r="C69" s="110"/>
      <c r="D69" s="18"/>
      <c r="E69" s="139"/>
      <c r="F69" s="6"/>
      <c r="G69" s="139"/>
      <c r="H69" s="151"/>
      <c r="I69" s="34"/>
      <c r="J69" s="34"/>
    </row>
    <row r="70" spans="1:10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  <c r="I70" s="34"/>
      <c r="J70" s="34"/>
    </row>
    <row r="71" spans="1:10" ht="12.75">
      <c r="A71" s="152"/>
      <c r="B71" s="125"/>
      <c r="C71" s="185"/>
      <c r="D71" s="18"/>
      <c r="E71" s="140"/>
      <c r="F71" s="6"/>
      <c r="G71" s="185"/>
      <c r="H71" s="151"/>
      <c r="I71" s="34"/>
      <c r="J71" s="34"/>
    </row>
    <row r="72" spans="1:10" ht="12.75">
      <c r="A72" s="152" t="s">
        <v>317</v>
      </c>
      <c r="B72" s="125"/>
      <c r="C72" s="264">
        <f>IF(C68&gt;0,C68*C70,0)*REGINFO!$B$6/REGINFO!$B$7</f>
        <v>25607.034</v>
      </c>
      <c r="D72" s="101"/>
      <c r="E72" s="267">
        <f>+G72-C72</f>
        <v>-8447.130000000001</v>
      </c>
      <c r="F72" s="477"/>
      <c r="G72" s="264">
        <f>IF(G68&gt;0,G68*G70,0)*REGINFO!$B$6/REGINFO!$B$7</f>
        <v>17159.904</v>
      </c>
      <c r="H72" s="161"/>
      <c r="I72" s="34"/>
      <c r="J72" s="34"/>
    </row>
    <row r="73" spans="1:10" ht="12.75">
      <c r="A73" s="150"/>
      <c r="B73" s="129"/>
      <c r="C73" s="110"/>
      <c r="D73" s="136"/>
      <c r="E73" s="139"/>
      <c r="F73" s="6"/>
      <c r="G73" s="139"/>
      <c r="H73" s="151"/>
      <c r="I73" s="34"/>
      <c r="J73" s="34"/>
    </row>
    <row r="74" spans="1:10" ht="12.75">
      <c r="A74" s="156" t="s">
        <v>218</v>
      </c>
      <c r="B74" s="126"/>
      <c r="C74" s="110"/>
      <c r="D74" s="18"/>
      <c r="E74" s="139"/>
      <c r="F74" s="6"/>
      <c r="G74" s="139"/>
      <c r="H74" s="151"/>
      <c r="I74" s="34"/>
      <c r="J74" s="34"/>
    </row>
    <row r="75" spans="1:10" ht="12.75">
      <c r="A75" s="152" t="s">
        <v>17</v>
      </c>
      <c r="B75" s="125">
        <v>18</v>
      </c>
      <c r="C75" s="264">
        <f>Ratebase</f>
        <v>13535678</v>
      </c>
      <c r="D75" s="102"/>
      <c r="E75" s="267">
        <f>+G75-C75</f>
        <v>-2850709</v>
      </c>
      <c r="F75" s="6"/>
      <c r="G75" s="476">
        <v>10684969</v>
      </c>
      <c r="H75" s="151"/>
      <c r="I75" s="497"/>
      <c r="J75" s="499"/>
    </row>
    <row r="76" spans="1:10" ht="12.75">
      <c r="A76" s="152" t="s">
        <v>360</v>
      </c>
      <c r="B76" s="125">
        <v>19</v>
      </c>
      <c r="C76" s="260">
        <f>IF(C75&gt;0,'Tax Rates'!C22,0)</f>
        <v>10000000</v>
      </c>
      <c r="D76" s="18"/>
      <c r="E76" s="267">
        <f>+G76-C76</f>
        <v>40000000</v>
      </c>
      <c r="F76" s="6"/>
      <c r="G76" s="267">
        <f>'Tax Rates'!C58</f>
        <v>50000000</v>
      </c>
      <c r="H76" s="151"/>
      <c r="I76" s="497"/>
      <c r="J76" s="34"/>
    </row>
    <row r="77" spans="1:10" ht="12.75">
      <c r="A77" s="152" t="s">
        <v>42</v>
      </c>
      <c r="B77" s="125"/>
      <c r="C77" s="264">
        <f>IF((C75-C76)&gt;0,C75-C76,0)</f>
        <v>3535678</v>
      </c>
      <c r="D77" s="19"/>
      <c r="E77" s="267">
        <f>SUM(E75:E76)</f>
        <v>37149291</v>
      </c>
      <c r="F77" s="114"/>
      <c r="G77" s="264">
        <f>IF(G76&gt;G75,0,G75-G76)</f>
        <v>0</v>
      </c>
      <c r="H77" s="160"/>
      <c r="I77" s="34"/>
      <c r="J77" s="34"/>
    </row>
    <row r="78" spans="1:10" ht="12.75">
      <c r="A78" s="152"/>
      <c r="B78" s="125"/>
      <c r="C78" s="110"/>
      <c r="D78" s="18"/>
      <c r="E78" s="139"/>
      <c r="F78" s="6"/>
      <c r="G78" s="139"/>
      <c r="H78" s="151"/>
      <c r="I78" s="34"/>
      <c r="J78" s="34"/>
    </row>
    <row r="79" spans="1:10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  <c r="I79" s="34"/>
      <c r="J79" s="34"/>
    </row>
    <row r="80" spans="1:10" ht="12.75">
      <c r="A80" s="152"/>
      <c r="B80" s="125"/>
      <c r="C80" s="110"/>
      <c r="D80" s="18"/>
      <c r="E80" s="139"/>
      <c r="F80" s="6"/>
      <c r="G80" s="139"/>
      <c r="H80" s="151"/>
      <c r="I80" s="34"/>
      <c r="J80" s="34"/>
    </row>
    <row r="81" spans="1:10" ht="12.75">
      <c r="A81" s="152" t="s">
        <v>318</v>
      </c>
      <c r="B81" s="125"/>
      <c r="C81" s="264">
        <f>IF(C77&gt;0,C77*C79,0)*REGINFO!$B$6/REGINFO!$B$7</f>
        <v>7955.275500000001</v>
      </c>
      <c r="D81" s="102"/>
      <c r="E81" s="267">
        <f>+G81-C81</f>
        <v>-7955.275500000001</v>
      </c>
      <c r="F81" s="6"/>
      <c r="G81" s="264">
        <f>G77*G79*B9/B10</f>
        <v>0</v>
      </c>
      <c r="H81" s="151"/>
      <c r="I81" s="34"/>
      <c r="J81" s="34"/>
    </row>
    <row r="82" spans="1:10" ht="12.75">
      <c r="A82" s="152" t="s">
        <v>319</v>
      </c>
      <c r="B82" s="125">
        <v>21</v>
      </c>
      <c r="C82" s="300">
        <f>IF(C77&gt;0,IF(C60&gt;0,C50*'Tax Rates'!C20,0),0)</f>
        <v>6469.575996263866</v>
      </c>
      <c r="D82" s="102"/>
      <c r="E82" s="267">
        <f>+G82-C82</f>
        <v>-6469.575996263866</v>
      </c>
      <c r="F82" s="6"/>
      <c r="G82" s="300">
        <f>IF(G77&gt;0,IF(G60&gt;0,G50*'Tax Rates'!G20,0),0)</f>
        <v>0</v>
      </c>
      <c r="H82" s="151"/>
      <c r="I82" s="34"/>
      <c r="J82" s="34"/>
    </row>
    <row r="83" spans="1:10" ht="12.75">
      <c r="A83" s="152"/>
      <c r="B83" s="125"/>
      <c r="C83" s="110"/>
      <c r="D83" s="18"/>
      <c r="E83" s="139"/>
      <c r="F83" s="6"/>
      <c r="G83" s="139"/>
      <c r="H83" s="151"/>
      <c r="I83" s="34"/>
      <c r="J83" s="34"/>
    </row>
    <row r="84" spans="1:12" ht="12.75">
      <c r="A84" s="152" t="s">
        <v>32</v>
      </c>
      <c r="B84" s="125"/>
      <c r="C84" s="264">
        <f>C81-C82</f>
        <v>1485.6995037361348</v>
      </c>
      <c r="D84" s="16"/>
      <c r="E84" s="267">
        <f>E81-E82</f>
        <v>-1485.6995037361348</v>
      </c>
      <c r="F84" s="103"/>
      <c r="G84" s="264">
        <f>G81-G82</f>
        <v>0</v>
      </c>
      <c r="H84" s="161"/>
      <c r="I84" s="34"/>
      <c r="J84" s="34"/>
      <c r="L84" s="22"/>
    </row>
    <row r="85" spans="1:10" ht="12.75">
      <c r="A85" s="152"/>
      <c r="B85" s="125"/>
      <c r="C85" s="105"/>
      <c r="D85" s="11"/>
      <c r="E85" s="141"/>
      <c r="F85" s="6"/>
      <c r="G85" s="141"/>
      <c r="H85" s="163"/>
      <c r="I85" s="34"/>
      <c r="J85" s="34"/>
    </row>
    <row r="86" spans="1:10" ht="12.75">
      <c r="A86" s="154" t="s">
        <v>118</v>
      </c>
      <c r="B86" s="128"/>
      <c r="C86" s="105"/>
      <c r="D86" s="11"/>
      <c r="E86" s="115"/>
      <c r="F86" s="3"/>
      <c r="G86" s="123"/>
      <c r="H86" s="151"/>
      <c r="I86" s="34"/>
      <c r="J86" s="34"/>
    </row>
    <row r="87" spans="1:10" ht="12.75">
      <c r="A87" s="154"/>
      <c r="B87" s="128"/>
      <c r="C87" s="105"/>
      <c r="D87" s="11"/>
      <c r="E87" s="114"/>
      <c r="F87" s="6"/>
      <c r="G87" s="198"/>
      <c r="H87" s="151"/>
      <c r="I87" s="34"/>
      <c r="J87" s="34"/>
    </row>
    <row r="88" spans="1:10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H88" s="151"/>
      <c r="I88" s="34"/>
      <c r="J88" s="34"/>
    </row>
    <row r="89" spans="1:10" ht="12.75">
      <c r="A89" s="150"/>
      <c r="B89" s="129"/>
      <c r="C89" s="110"/>
      <c r="D89" s="11"/>
      <c r="E89" s="114"/>
      <c r="F89" s="6"/>
      <c r="G89" s="198"/>
      <c r="H89" s="151"/>
      <c r="I89" s="34"/>
      <c r="J89" s="34"/>
    </row>
    <row r="90" spans="1:10" ht="12.75">
      <c r="A90" s="158" t="s">
        <v>369</v>
      </c>
      <c r="B90" s="127">
        <v>22</v>
      </c>
      <c r="C90" s="264">
        <f>C60/(1-C88)</f>
        <v>294165.68895592104</v>
      </c>
      <c r="D90" s="20"/>
      <c r="E90" s="139"/>
      <c r="F90" s="431" t="s">
        <v>487</v>
      </c>
      <c r="G90" s="270">
        <f>TAXREC!E156</f>
        <v>84613</v>
      </c>
      <c r="H90" s="151"/>
      <c r="I90" s="34"/>
      <c r="J90" s="34"/>
    </row>
    <row r="91" spans="1:10" ht="12.75">
      <c r="A91" s="158" t="s">
        <v>370</v>
      </c>
      <c r="B91" s="127">
        <v>23</v>
      </c>
      <c r="C91" s="264">
        <f>C84/(1-C88)</f>
        <v>2217.4619458748284</v>
      </c>
      <c r="D91" s="20"/>
      <c r="E91" s="139"/>
      <c r="F91" s="431" t="s">
        <v>487</v>
      </c>
      <c r="G91" s="270">
        <f>TAXREC!E158</f>
        <v>0</v>
      </c>
      <c r="H91" s="151"/>
      <c r="I91" s="34"/>
      <c r="J91" s="34"/>
    </row>
    <row r="92" spans="1:10" ht="12.75">
      <c r="A92" s="158" t="s">
        <v>348</v>
      </c>
      <c r="B92" s="127">
        <v>24</v>
      </c>
      <c r="C92" s="264">
        <f>C72</f>
        <v>25607.034</v>
      </c>
      <c r="D92" s="20"/>
      <c r="E92" s="139"/>
      <c r="F92" s="431" t="s">
        <v>487</v>
      </c>
      <c r="G92" s="270">
        <f>TAXREC!E157</f>
        <v>17160</v>
      </c>
      <c r="H92" s="151"/>
      <c r="I92" s="34"/>
      <c r="J92" s="34"/>
    </row>
    <row r="93" spans="1:10" ht="12.75">
      <c r="A93" s="158"/>
      <c r="B93" s="127"/>
      <c r="C93" s="110"/>
      <c r="D93" s="11"/>
      <c r="E93" s="139"/>
      <c r="F93" s="6"/>
      <c r="G93" s="139"/>
      <c r="H93" s="151"/>
      <c r="I93" s="34"/>
      <c r="J93" s="34"/>
    </row>
    <row r="94" spans="1:10" ht="13.5" thickBot="1">
      <c r="A94" s="158"/>
      <c r="B94" s="127"/>
      <c r="C94" s="110"/>
      <c r="D94" s="11"/>
      <c r="E94" s="139"/>
      <c r="F94" s="6"/>
      <c r="G94" s="139"/>
      <c r="H94" s="151"/>
      <c r="I94" s="34"/>
      <c r="J94" s="34"/>
    </row>
    <row r="95" spans="1:10" ht="13.5" thickBot="1">
      <c r="A95" s="156" t="s">
        <v>477</v>
      </c>
      <c r="B95" s="125">
        <v>25</v>
      </c>
      <c r="C95" s="269">
        <f>SUM(C90:C93)</f>
        <v>321990.1849017959</v>
      </c>
      <c r="D95" s="6"/>
      <c r="E95" s="139"/>
      <c r="F95" s="431" t="s">
        <v>487</v>
      </c>
      <c r="G95" s="414">
        <f>SUM(G90:G94)</f>
        <v>101773</v>
      </c>
      <c r="H95" s="164"/>
      <c r="I95" s="34"/>
      <c r="J95" s="34"/>
    </row>
    <row r="96" spans="1:10" ht="12.75">
      <c r="A96" s="404" t="s">
        <v>308</v>
      </c>
      <c r="B96" s="125"/>
      <c r="C96" s="105"/>
      <c r="D96" s="6"/>
      <c r="E96" s="109"/>
      <c r="F96" s="6"/>
      <c r="G96" s="139"/>
      <c r="H96" s="164"/>
      <c r="I96" s="499"/>
      <c r="J96" s="34"/>
    </row>
    <row r="97" spans="1:10" ht="13.5" thickBot="1">
      <c r="A97" s="152"/>
      <c r="B97" s="125"/>
      <c r="C97" s="105"/>
      <c r="D97" s="6"/>
      <c r="E97" s="109"/>
      <c r="F97" s="6"/>
      <c r="G97" s="139"/>
      <c r="H97" s="182"/>
      <c r="I97" s="34"/>
      <c r="J97" s="34"/>
    </row>
    <row r="98" spans="1:10" ht="13.5" thickTop="1">
      <c r="A98" s="165"/>
      <c r="B98" s="124"/>
      <c r="C98" s="111"/>
      <c r="D98" s="7"/>
      <c r="E98" s="142"/>
      <c r="F98" s="7"/>
      <c r="G98" s="199"/>
      <c r="H98" s="164"/>
      <c r="I98" s="34"/>
      <c r="J98" s="34"/>
    </row>
    <row r="99" spans="1:10" ht="12.75">
      <c r="A99" s="156" t="s">
        <v>305</v>
      </c>
      <c r="B99" s="123"/>
      <c r="C99" s="112"/>
      <c r="D99" s="3"/>
      <c r="E99" s="112"/>
      <c r="F99" s="3"/>
      <c r="G99" s="200"/>
      <c r="H99" s="164"/>
      <c r="I99" s="34"/>
      <c r="J99" s="34"/>
    </row>
    <row r="100" spans="1:10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  <c r="I100" s="34"/>
      <c r="J100" s="34"/>
    </row>
    <row r="101" spans="1:10" ht="12.75">
      <c r="A101" s="156" t="s">
        <v>346</v>
      </c>
      <c r="B101" s="123"/>
      <c r="C101" s="112"/>
      <c r="D101" s="3"/>
      <c r="E101" s="112"/>
      <c r="F101" s="37"/>
      <c r="G101" s="200"/>
      <c r="H101" s="164"/>
      <c r="I101" s="34"/>
      <c r="J101" s="34"/>
    </row>
    <row r="102" spans="1:10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  <c r="I102" s="34"/>
      <c r="J102" s="34"/>
    </row>
    <row r="103" spans="1:10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  <c r="I103" s="34"/>
      <c r="J103" s="34"/>
    </row>
    <row r="104" spans="1:10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  <c r="I104" s="34"/>
      <c r="J104" s="34"/>
    </row>
    <row r="105" spans="1:10" ht="12.75">
      <c r="A105" s="158" t="s">
        <v>44</v>
      </c>
      <c r="B105" s="127">
        <v>5</v>
      </c>
      <c r="C105" s="112"/>
      <c r="D105" s="3"/>
      <c r="E105" s="251">
        <f>E24</f>
        <v>-12792</v>
      </c>
      <c r="F105" s="37"/>
      <c r="G105" s="201"/>
      <c r="H105" s="164"/>
      <c r="I105" s="34"/>
      <c r="J105" s="34"/>
    </row>
    <row r="106" spans="1:10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  <c r="I106" s="34"/>
      <c r="J106" s="34"/>
    </row>
    <row r="107" spans="1:10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  <c r="I107" s="34"/>
      <c r="J107" s="34"/>
    </row>
    <row r="108" spans="1:10" ht="12.75">
      <c r="A108" s="156" t="s">
        <v>362</v>
      </c>
      <c r="B108" s="127"/>
      <c r="C108" s="112"/>
      <c r="D108" s="3"/>
      <c r="E108" s="30"/>
      <c r="F108" s="37"/>
      <c r="G108" s="201"/>
      <c r="H108" s="164"/>
      <c r="I108" s="34"/>
      <c r="J108" s="34"/>
    </row>
    <row r="109" spans="1:10" ht="12.75">
      <c r="A109" s="158" t="s">
        <v>57</v>
      </c>
      <c r="B109" s="127">
        <v>8</v>
      </c>
      <c r="C109" s="112"/>
      <c r="D109" s="3"/>
      <c r="E109" s="251">
        <f>E34</f>
        <v>28841</v>
      </c>
      <c r="F109" s="37"/>
      <c r="G109" s="201"/>
      <c r="H109" s="164"/>
      <c r="I109" s="34"/>
      <c r="J109" s="34"/>
    </row>
    <row r="110" spans="1:10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  <c r="I110" s="34"/>
      <c r="J110" s="3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482</v>
      </c>
      <c r="B112" s="127">
        <v>11</v>
      </c>
      <c r="C112" s="112"/>
      <c r="D112" s="3"/>
      <c r="E112" s="473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-41633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486</v>
      </c>
      <c r="B122" s="127"/>
      <c r="C122" s="112"/>
      <c r="D122" s="3" t="s">
        <v>231</v>
      </c>
      <c r="E122" s="470">
        <f>G53</f>
        <v>0.24192492330213952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-10072.060331837974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-10072.060331837974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E122-0.0112</f>
        <v>0.23072492330213953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5">
        <f>E128/(1-E130)</f>
        <v>-13092.924282784044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577640.7139521309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E122</f>
        <v>0.24192492330213952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139745.68541906239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139745.68541906239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197091.01160046706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-57345.32618140467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13535678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8535678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25607.034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25607.034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13535678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-36464322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1485.6995037361348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-1485.6995037361348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0">
        <f>E122-0.0112</f>
        <v>0.23072492330213953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-74544.63028694683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-2217.4619458748284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4">
        <f>SUM(E177:E179)</f>
        <v>-76762.09223282167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481</v>
      </c>
      <c r="B183" s="130"/>
      <c r="C183" s="112"/>
      <c r="D183" s="119" t="s">
        <v>187</v>
      </c>
      <c r="E183" s="484">
        <f>E132</f>
        <v>-13092.924282784044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4">
        <f>E181+E183</f>
        <v>-89855.01651560572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490668.32749999996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331370.2860478692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159298.04145213077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9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320792</v>
      </c>
      <c r="F201" s="3"/>
      <c r="G201" s="489"/>
      <c r="H201" s="164"/>
    </row>
    <row r="202" spans="1:8" ht="12.75">
      <c r="A202" s="155" t="s">
        <v>224</v>
      </c>
      <c r="B202" s="127"/>
      <c r="C202" s="112"/>
      <c r="D202" s="120"/>
      <c r="E202" s="495">
        <f>E193</f>
        <v>490668.32749999996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483</v>
      </c>
      <c r="B206" s="127"/>
      <c r="C206" s="112"/>
      <c r="D206" s="120"/>
      <c r="E206" s="47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159298.04145213077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7" r:id="rId1"/>
  <headerFooter alignWithMargins="0">
    <oddHeader>&amp;R&amp;9COLLUS Power Corp.
EB-2011-0161
Revised 2004 SIMPIL Model
Appendix M
Page &amp;P of &amp;N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23">
      <selection activeCell="G61" sqref="G61:I6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EB-????-??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COLLUS Power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7">
        <v>16920</v>
      </c>
      <c r="D13" s="83" t="s">
        <v>186</v>
      </c>
      <c r="E13" s="25"/>
      <c r="F13" s="20"/>
      <c r="G13" s="491" t="s">
        <v>500</v>
      </c>
      <c r="H13" s="3"/>
      <c r="I13" s="3"/>
    </row>
    <row r="14" spans="1:9" ht="12.75">
      <c r="A14" s="2" t="s">
        <v>120</v>
      </c>
      <c r="B14" s="20" t="s">
        <v>64</v>
      </c>
      <c r="C14" s="8" t="s">
        <v>498</v>
      </c>
      <c r="D14" s="25"/>
      <c r="E14" s="25"/>
      <c r="F14" s="20"/>
      <c r="G14" s="491" t="s">
        <v>501</v>
      </c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7" ht="12.75">
      <c r="A17" s="2" t="s">
        <v>285</v>
      </c>
      <c r="B17" s="20" t="s">
        <v>64</v>
      </c>
      <c r="C17" s="8" t="s">
        <v>498</v>
      </c>
      <c r="E17" s="26"/>
      <c r="F17" s="8"/>
      <c r="G17" s="491" t="s">
        <v>501</v>
      </c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26570304</v>
      </c>
      <c r="D31" s="286"/>
      <c r="E31" s="284">
        <f>C31-D31</f>
        <v>26570304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3514227</v>
      </c>
      <c r="D32" s="286"/>
      <c r="E32" s="284">
        <f>C32-D32</f>
        <v>3514227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585337</v>
      </c>
      <c r="D33" s="286">
        <v>0</v>
      </c>
      <c r="E33" s="284">
        <f>C33-D33</f>
        <v>585337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26570304</v>
      </c>
      <c r="D39" s="286"/>
      <c r="E39" s="284">
        <f>C39-D39</f>
        <v>26570304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93">
        <f>1142343-C51</f>
        <v>821551</v>
      </c>
      <c r="D40" s="286">
        <v>0</v>
      </c>
      <c r="E40" s="284">
        <f aca="true" t="shared" si="0" ref="E40:E48">C40-D40</f>
        <v>821551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624297</v>
      </c>
      <c r="D41" s="286"/>
      <c r="E41" s="284">
        <f t="shared" si="0"/>
        <v>624297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1190458</v>
      </c>
      <c r="D42" s="286"/>
      <c r="E42" s="284">
        <f t="shared" si="0"/>
        <v>1190458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840793</v>
      </c>
      <c r="D43" s="286">
        <v>0</v>
      </c>
      <c r="E43" s="284">
        <f t="shared" si="0"/>
        <v>840793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0</v>
      </c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495</v>
      </c>
      <c r="B45" s="23" t="s">
        <v>188</v>
      </c>
      <c r="C45" s="285">
        <v>0</v>
      </c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622465</v>
      </c>
      <c r="D50" s="281">
        <f>SUM(D31:D36)-SUM(D39:D49)</f>
        <v>0</v>
      </c>
      <c r="E50" s="281">
        <f>SUM(E31:E35)-SUM(E39:E48)</f>
        <v>622465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320792</v>
      </c>
      <c r="D51" s="285"/>
      <c r="E51" s="282">
        <f>+C51-D51</f>
        <v>320792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89924</v>
      </c>
      <c r="D52" s="285"/>
      <c r="E52" s="283">
        <f>+C52-D52</f>
        <v>89924</v>
      </c>
      <c r="F52" s="8"/>
      <c r="G52" s="416" t="s">
        <v>479</v>
      </c>
    </row>
    <row r="53" spans="1:6" ht="12.75">
      <c r="A53" s="2" t="s">
        <v>131</v>
      </c>
      <c r="B53" s="8" t="s">
        <v>189</v>
      </c>
      <c r="C53" s="281">
        <f>C50-C51-C52</f>
        <v>211749</v>
      </c>
      <c r="D53" s="281">
        <f>D50-D51-D52</f>
        <v>0</v>
      </c>
      <c r="E53" s="281">
        <f>E50-E51-E52</f>
        <v>211749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89924</v>
      </c>
      <c r="D59" s="287">
        <f>D52</f>
        <v>0</v>
      </c>
      <c r="E59" s="272">
        <f>+C59-D59</f>
        <v>89924</v>
      </c>
      <c r="F59" s="8"/>
      <c r="G59" s="416" t="s">
        <v>479</v>
      </c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9" ht="12.75">
      <c r="A61" t="s">
        <v>4</v>
      </c>
      <c r="B61" s="8" t="s">
        <v>187</v>
      </c>
      <c r="C61" s="287">
        <v>799032</v>
      </c>
      <c r="D61" s="287">
        <f>D43</f>
        <v>0</v>
      </c>
      <c r="E61" s="272">
        <f>+C61-D61</f>
        <v>799032</v>
      </c>
      <c r="F61" s="8"/>
      <c r="G61" s="35"/>
      <c r="H61" s="34"/>
      <c r="I61" s="34"/>
    </row>
    <row r="62" spans="1:6" ht="12.75">
      <c r="A62" t="s">
        <v>6</v>
      </c>
      <c r="B62" s="8" t="s">
        <v>187</v>
      </c>
      <c r="C62" s="318">
        <v>0</v>
      </c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395</v>
      </c>
      <c r="B66" s="8"/>
      <c r="C66" s="447">
        <f>'TAXREC 3 No True-up'!C47</f>
        <v>0</v>
      </c>
      <c r="D66" s="447">
        <f>'TAXREC 3 No True-up'!D47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7725</v>
      </c>
      <c r="D68" s="251">
        <f>'TAXREC 2'!D78</f>
        <v>0</v>
      </c>
      <c r="E68" s="272">
        <f>+C68-D68</f>
        <v>7725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896681</v>
      </c>
      <c r="D70" s="272">
        <f>SUM(D59:D68)</f>
        <v>0</v>
      </c>
      <c r="E70" s="272">
        <f>SUM(E59:E68)</f>
        <v>896681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2">
        <v>0</v>
      </c>
      <c r="D76" s="294"/>
      <c r="E76" s="47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896681</v>
      </c>
      <c r="D82" s="251">
        <f>D70+D80</f>
        <v>0</v>
      </c>
      <c r="E82" s="251">
        <f>E70+E80</f>
        <v>896681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593320</v>
      </c>
      <c r="D97" s="294"/>
      <c r="E97" s="272">
        <f>+C97-D97</f>
        <v>593320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67785</v>
      </c>
      <c r="D98" s="294"/>
      <c r="E98" s="272">
        <f>+C98-D98</f>
        <v>67785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28841</v>
      </c>
      <c r="D99" s="294"/>
      <c r="E99" s="272">
        <f>+C99-D99</f>
        <v>28841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395</v>
      </c>
      <c r="B108" s="8"/>
      <c r="C108" s="254">
        <f>'TAXREC 3 No True-up'!C73</f>
        <v>68735</v>
      </c>
      <c r="D108" s="254">
        <f>'TAXREC 3 No True-up'!D73</f>
        <v>0</v>
      </c>
      <c r="E108" s="272">
        <f t="shared" si="5"/>
        <v>68735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758681</v>
      </c>
      <c r="D113" s="251">
        <f>SUM(D97:D111)</f>
        <v>0</v>
      </c>
      <c r="E113" s="251">
        <f>SUM(E97:E111)</f>
        <v>758681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758681</v>
      </c>
      <c r="D122" s="251">
        <f>D113+D120</f>
        <v>0</v>
      </c>
      <c r="E122" s="251">
        <f>+E113+E120</f>
        <v>758681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349749</v>
      </c>
      <c r="D134" s="251">
        <f>D53+D82-D122</f>
        <v>0</v>
      </c>
      <c r="E134" s="251">
        <f>E53+E82-E122</f>
        <v>349749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0">
        <v>5530</v>
      </c>
      <c r="D137" s="310"/>
      <c r="E137" s="394">
        <f>C137-D137</f>
        <v>5530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344219</v>
      </c>
      <c r="D139" s="252">
        <f>D134-D136-D137-D138</f>
        <v>0</v>
      </c>
      <c r="E139" s="252">
        <f>E134-E136-E137-E138</f>
        <v>344219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65681</v>
      </c>
      <c r="D142" s="486">
        <f>D139*C149</f>
        <v>0</v>
      </c>
      <c r="E142" s="252">
        <f>C142-D142</f>
        <v>65681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18932</v>
      </c>
      <c r="D143" s="486">
        <f>D139*C150</f>
        <v>0</v>
      </c>
      <c r="E143" s="292">
        <f>C143-D143</f>
        <v>18932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84613</v>
      </c>
      <c r="D144" s="252">
        <f>D142+D143</f>
        <v>0</v>
      </c>
      <c r="E144" s="252">
        <f>E142+E143</f>
        <v>84613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486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84613</v>
      </c>
      <c r="D146" s="252">
        <f>D144-D145</f>
        <v>0</v>
      </c>
      <c r="E146" s="252">
        <f>E144-E145</f>
        <v>84613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C142/C139</f>
        <v>0.19081166350491982</v>
      </c>
      <c r="D149" s="5"/>
      <c r="E149" s="406">
        <f>C149</f>
        <v>0.19081166350491982</v>
      </c>
      <c r="F149" s="8"/>
      <c r="G149" s="483" t="s">
        <v>469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C143/C139</f>
        <v>0.05499986926927334</v>
      </c>
      <c r="D150" s="494" t="s">
        <v>505</v>
      </c>
      <c r="E150" s="406">
        <f>C150</f>
        <v>0.05499986926927334</v>
      </c>
      <c r="F150" s="8"/>
      <c r="G150" s="483" t="s">
        <v>470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0.24581153277419315</v>
      </c>
      <c r="D151" s="5"/>
      <c r="E151" s="406">
        <f>SUM(E149:E150)</f>
        <v>0.24581153277419315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476</v>
      </c>
      <c r="B155" s="8"/>
    </row>
    <row r="156" spans="1:5" ht="12.75">
      <c r="A156" t="s">
        <v>219</v>
      </c>
      <c r="B156" s="86" t="s">
        <v>187</v>
      </c>
      <c r="C156" s="251">
        <f>C146</f>
        <v>84613</v>
      </c>
      <c r="D156" s="251">
        <f>D146</f>
        <v>0</v>
      </c>
      <c r="E156" s="251">
        <f>E146</f>
        <v>84613</v>
      </c>
    </row>
    <row r="157" spans="1:5" ht="12.75">
      <c r="A157" t="s">
        <v>20</v>
      </c>
      <c r="B157" s="86" t="s">
        <v>187</v>
      </c>
      <c r="C157" s="479">
        <v>17160</v>
      </c>
      <c r="D157" s="251"/>
      <c r="E157" s="251">
        <f>C157+D157</f>
        <v>17160</v>
      </c>
    </row>
    <row r="158" spans="1:5" ht="12.75">
      <c r="A158" t="s">
        <v>218</v>
      </c>
      <c r="B158" s="86" t="s">
        <v>187</v>
      </c>
      <c r="C158" s="479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101773</v>
      </c>
      <c r="D160" s="251">
        <f>D156+D157+D158</f>
        <v>0</v>
      </c>
      <c r="E160" s="251">
        <f>E156+E157+E158</f>
        <v>101773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6">
      <selection activeCell="A12" sqref="A1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EB-????-??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COLLUS Power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449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449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97" sqref="C9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EB-????-??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466</v>
      </c>
      <c r="B5" s="8"/>
      <c r="C5" s="8" t="s">
        <v>2</v>
      </c>
      <c r="D5" s="8"/>
      <c r="E5" s="8"/>
      <c r="F5" s="8"/>
    </row>
    <row r="6" spans="1:6" ht="12.75">
      <c r="A6" s="416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COLLUS Power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8">
        <f>TAXREC!C13</f>
        <v>16920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>
        <v>5530</v>
      </c>
      <c r="D21" s="295"/>
      <c r="E21" s="313">
        <f t="shared" si="0"/>
        <v>5530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474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92" t="s">
        <v>502</v>
      </c>
      <c r="B41" t="s">
        <v>187</v>
      </c>
      <c r="C41" s="294">
        <v>2195</v>
      </c>
      <c r="D41" s="294"/>
      <c r="E41" s="251">
        <f t="shared" si="0"/>
        <v>2195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7725</v>
      </c>
      <c r="D46" s="251">
        <f>SUM(D17:D45)</f>
        <v>0</v>
      </c>
      <c r="E46" s="251">
        <f>SUM(E17:E45)</f>
        <v>7725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7725</v>
      </c>
      <c r="D78" s="315">
        <f>D46-D77</f>
        <v>0</v>
      </c>
      <c r="E78" s="315">
        <f>E46-E77</f>
        <v>7725</v>
      </c>
    </row>
    <row r="79" spans="1:5" ht="12.75">
      <c r="A79" s="276" t="s">
        <v>170</v>
      </c>
      <c r="B79" s="277"/>
      <c r="C79" s="315">
        <f>C77+C78</f>
        <v>7725</v>
      </c>
      <c r="D79" s="315">
        <f>D77+D78</f>
        <v>0</v>
      </c>
      <c r="E79" s="315">
        <f>E77+E78</f>
        <v>7725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>
        <v>0</v>
      </c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475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492" t="s">
        <v>503</v>
      </c>
      <c r="B97" s="8" t="s">
        <v>188</v>
      </c>
      <c r="C97" s="294">
        <v>0</v>
      </c>
      <c r="D97" s="294"/>
      <c r="E97" s="251">
        <f t="shared" si="5"/>
        <v>0</v>
      </c>
    </row>
    <row r="98" spans="1:5" ht="12.75">
      <c r="A98" s="492" t="s">
        <v>504</v>
      </c>
      <c r="B98" s="8" t="s">
        <v>188</v>
      </c>
      <c r="C98" s="294">
        <v>0</v>
      </c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48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70" sqref="C7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EB-????-??</v>
      </c>
    </row>
    <row r="3" spans="1:5" ht="12.75">
      <c r="A3" s="2" t="s">
        <v>385</v>
      </c>
      <c r="E3" s="92"/>
    </row>
    <row r="4" spans="1:6" ht="15.75">
      <c r="A4" s="465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COLLUS Power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455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438</v>
      </c>
      <c r="B27" t="s">
        <v>187</v>
      </c>
      <c r="C27" s="295">
        <v>0</v>
      </c>
      <c r="D27" s="295">
        <v>0</v>
      </c>
      <c r="E27" s="313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433</v>
      </c>
      <c r="B32" t="s">
        <v>187</v>
      </c>
      <c r="C32" s="295">
        <v>0</v>
      </c>
      <c r="D32" s="295"/>
      <c r="E32" s="313">
        <f t="shared" si="0"/>
        <v>0</v>
      </c>
    </row>
    <row r="33" spans="1:5" ht="12.75">
      <c r="A33" s="67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452</v>
      </c>
      <c r="C35" s="295">
        <v>0</v>
      </c>
      <c r="D35" s="295"/>
      <c r="E35" s="313">
        <f t="shared" si="0"/>
        <v>0</v>
      </c>
    </row>
    <row r="36" spans="1:5" ht="12.75">
      <c r="A36" s="67" t="s">
        <v>435</v>
      </c>
      <c r="C36" s="295"/>
      <c r="D36" s="295"/>
      <c r="E36" s="313">
        <f t="shared" si="0"/>
        <v>0</v>
      </c>
    </row>
    <row r="37" spans="1:5" ht="12.75">
      <c r="A37" s="67" t="s">
        <v>436</v>
      </c>
      <c r="C37" s="295"/>
      <c r="D37" s="295"/>
      <c r="E37" s="313">
        <f t="shared" si="0"/>
        <v>0</v>
      </c>
    </row>
    <row r="38" spans="1:5" ht="12.75">
      <c r="A38" s="81" t="s">
        <v>393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387</v>
      </c>
      <c r="B40" t="s">
        <v>187</v>
      </c>
      <c r="C40" s="295">
        <v>0</v>
      </c>
      <c r="D40" s="295"/>
      <c r="E40" s="313">
        <f t="shared" si="0"/>
        <v>0</v>
      </c>
    </row>
    <row r="41" spans="1:5" ht="12.75">
      <c r="A41" s="67" t="s">
        <v>458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397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>
        <v>29260</v>
      </c>
      <c r="D54" s="294"/>
      <c r="E54" s="251">
        <f t="shared" si="1"/>
        <v>29260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>
        <v>0</v>
      </c>
      <c r="D57" s="294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9" t="s">
        <v>394</v>
      </c>
      <c r="B60" s="8" t="s">
        <v>188</v>
      </c>
      <c r="C60" s="294">
        <v>0</v>
      </c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9" t="s">
        <v>387</v>
      </c>
      <c r="B62" s="8" t="s">
        <v>188</v>
      </c>
      <c r="C62" s="294">
        <v>0</v>
      </c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496</v>
      </c>
      <c r="B64" s="8" t="s">
        <v>188</v>
      </c>
      <c r="C64" s="294">
        <v>0</v>
      </c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492" t="s">
        <v>503</v>
      </c>
      <c r="B69" s="8" t="s">
        <v>188</v>
      </c>
      <c r="C69" s="294">
        <v>39475</v>
      </c>
      <c r="D69" s="294"/>
      <c r="E69" s="251">
        <f t="shared" si="2"/>
        <v>39475</v>
      </c>
    </row>
    <row r="70" spans="1:5" ht="12.75">
      <c r="A70" s="492" t="s">
        <v>504</v>
      </c>
      <c r="B70" s="8" t="s">
        <v>188</v>
      </c>
      <c r="C70" s="294">
        <v>0</v>
      </c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396</v>
      </c>
      <c r="B73" s="8" t="s">
        <v>189</v>
      </c>
      <c r="C73" s="251">
        <f>SUM(C51:C72)</f>
        <v>68735</v>
      </c>
      <c r="D73" s="251">
        <f>SUM(D51:D72)</f>
        <v>0</v>
      </c>
      <c r="E73" s="251">
        <f>SUM(E51:E72)</f>
        <v>68735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7">
      <selection activeCell="A59" sqref="A59:F6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2.710937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EB-????-??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COLLUS Power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8" t="s">
        <v>478</v>
      </c>
      <c r="B8" s="509"/>
      <c r="C8" s="509"/>
      <c r="D8" s="509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468</v>
      </c>
      <c r="B10" s="327"/>
      <c r="C10" s="376" t="s">
        <v>111</v>
      </c>
      <c r="D10" s="376"/>
      <c r="E10" s="376" t="s">
        <v>111</v>
      </c>
      <c r="F10" s="377" t="s">
        <v>480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472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473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2" t="s">
        <v>494</v>
      </c>
      <c r="B23" s="503"/>
      <c r="C23" s="503"/>
      <c r="D23" s="503"/>
      <c r="E23" s="503"/>
      <c r="F23" s="503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8" t="s">
        <v>490</v>
      </c>
      <c r="B26" s="509"/>
      <c r="C26" s="509"/>
      <c r="D26" s="509"/>
      <c r="E26" s="509"/>
      <c r="F26" s="509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441</v>
      </c>
      <c r="B28" s="327"/>
      <c r="C28" s="370" t="s">
        <v>111</v>
      </c>
      <c r="D28" s="370" t="s">
        <v>111</v>
      </c>
      <c r="E28" s="370" t="s">
        <v>111</v>
      </c>
      <c r="F28" s="371" t="s">
        <v>493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491</v>
      </c>
      <c r="B39" s="407" t="s">
        <v>472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492</v>
      </c>
      <c r="B40" s="408" t="s">
        <v>489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4" t="s">
        <v>335</v>
      </c>
      <c r="B41" s="503"/>
      <c r="C41" s="503"/>
      <c r="D41" s="503"/>
      <c r="E41" s="503"/>
      <c r="F41" s="50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5"/>
      <c r="B42" s="505"/>
      <c r="C42" s="505"/>
      <c r="D42" s="505"/>
      <c r="E42" s="505"/>
      <c r="F42" s="50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488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0.2229</v>
      </c>
      <c r="F50" s="353">
        <v>0.2212</v>
      </c>
      <c r="G50" s="194"/>
      <c r="H50" s="490">
        <v>0.2212</v>
      </c>
      <c r="I50" s="490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355">
        <v>0.14</v>
      </c>
      <c r="G51" s="194"/>
      <c r="H51" s="490">
        <v>0.14</v>
      </c>
      <c r="I51" s="490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490">
        <f>+H50+H51</f>
        <v>0.3612</v>
      </c>
      <c r="I52" s="490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472</v>
      </c>
      <c r="C57" s="362">
        <v>4965021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489</v>
      </c>
      <c r="C58" s="363">
        <v>50000000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2" t="s">
        <v>351</v>
      </c>
      <c r="B59" s="506"/>
      <c r="C59" s="506"/>
      <c r="D59" s="506"/>
      <c r="E59" s="506"/>
      <c r="F59" s="50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7"/>
      <c r="B60" s="507"/>
      <c r="C60" s="507"/>
      <c r="D60" s="507"/>
      <c r="E60" s="507"/>
      <c r="F60" s="50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0">
      <selection activeCell="L37" sqref="L3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EB-????-??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COLLUS Power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398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440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399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400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-13092.924282784044</v>
      </c>
      <c r="N15" s="392"/>
      <c r="O15" s="397">
        <f t="shared" si="0"/>
        <v>-13092.924282784044</v>
      </c>
    </row>
    <row r="16" spans="1:15" ht="27" customHeight="1">
      <c r="A16" s="81" t="s">
        <v>401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402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-76762.09223282167</v>
      </c>
      <c r="N17" s="392"/>
      <c r="O17" s="397">
        <f t="shared" si="0"/>
        <v>-76762.09223282167</v>
      </c>
    </row>
    <row r="18" spans="1:15" ht="25.5">
      <c r="A18" s="81" t="s">
        <v>403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404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471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374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-89855.01651560572</v>
      </c>
      <c r="N22" s="391"/>
      <c r="O22" s="451">
        <f>SUM(O11:O20)</f>
        <v>-89855.01651560572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405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406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407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408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11" t="s">
        <v>409</v>
      </c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421"/>
      <c r="Q33" s="421"/>
      <c r="R33" s="421"/>
      <c r="S33" s="421"/>
    </row>
    <row r="34" spans="1:19" ht="12.75">
      <c r="A34" s="510" t="s">
        <v>410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421"/>
      <c r="Q34" s="421"/>
      <c r="R34" s="421"/>
      <c r="S34" s="421"/>
    </row>
    <row r="35" spans="1:19" ht="12.75">
      <c r="A35" s="510" t="s">
        <v>431</v>
      </c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421"/>
      <c r="Q35" s="421"/>
      <c r="R35" s="421"/>
      <c r="S35" s="421"/>
    </row>
    <row r="36" spans="1:19" ht="12.75">
      <c r="A36" s="510" t="s">
        <v>411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421"/>
      <c r="Q36" s="421"/>
      <c r="R36" s="421"/>
      <c r="S36" s="421"/>
    </row>
    <row r="37" spans="1:19" ht="12.75">
      <c r="A37" s="438" t="s">
        <v>371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412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413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414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415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416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417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418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419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420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417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421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422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423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424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425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381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426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427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383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382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384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428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429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430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10" t="s">
        <v>460</v>
      </c>
      <c r="B74" s="510"/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</row>
    <row r="75" spans="1:15" ht="12.75">
      <c r="A75" s="435" t="s">
        <v>373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10"/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9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habashmo</cp:lastModifiedBy>
  <cp:lastPrinted>2012-02-02T20:59:35Z</cp:lastPrinted>
  <dcterms:created xsi:type="dcterms:W3CDTF">2001-11-07T16:15:53Z</dcterms:created>
  <dcterms:modified xsi:type="dcterms:W3CDTF">2012-03-02T17:21:28Z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