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<sst xmlns="http://schemas.openxmlformats.org/spreadsheetml/2006/main" count="880" uniqueCount="504">
  <si>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</si>
  <si>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</si>
  <si>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</si>
  <si>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</si>
  <si>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</si>
  <si>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</si>
  <si>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</si>
  <si>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</si>
  <si>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</si>
  <si>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</si>
  <si>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</si>
  <si>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</si>
  <si>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</si>
  <si>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</si>
  <si>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</si>
  <si>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</si>
  <si>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</si>
  <si>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</si>
  <si>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</si>
  <si>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</si>
  <si>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</si>
  <si>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</si>
  <si>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</si>
  <si>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</si>
  <si>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</si>
  <si>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</si>
  <si>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</si>
  <si>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</si>
  <si>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</si>
  <si>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</si>
  <si>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</si>
  <si>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</si>
  <si>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</si>
  <si>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</si>
  <si>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</si>
  <si>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</si>
  <si>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</si>
  <si>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</si>
  <si>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</si>
  <si>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</si>
  <si>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</si>
  <si>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</si>
  <si>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</si>
  <si>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</si>
  <si>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</si>
  <si>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</si>
  <si>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</si>
  <si>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</si>
  <si>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</si>
  <si>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</si>
  <si>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</si>
  <si>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</si>
  <si>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</si>
  <si>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</si>
  <si>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</si>
  <si>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</si>
  <si>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</si>
  <si>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</si>
  <si>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</si>
  <si>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</si>
  <si>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</si>
  <si>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</si>
  <si>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</si>
  <si>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</si>
  <si>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</si>
  <si>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</si>
  <si>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</si>
  <si>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</si>
  <si>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</si>
  <si>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</si>
  <si>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</si>
  <si>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</si>
  <si>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</si>
  <si>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</si>
  <si>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</si>
  <si>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</si>
  <si>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</si>
  <si>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</si>
  <si>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</si>
  <si>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</si>
  <si>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</si>
  <si>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</si>
  <si>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</si>
  <si>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</si>
  <si>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</si>
  <si>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</si>
  <si>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</si>
  <si>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</si>
  <si>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</si>
  <si>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</si>
  <si>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</si>
  <si>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</si>
  <si>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</si>
  <si>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</si>
  <si>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</si>
  <si>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</si>
  <si>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</si>
  <si>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</si>
  <si>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</si>
  <si>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</si>
  <si>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</si>
  <si>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</si>
  <si>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</si>
  <si>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</si>
  <si>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</si>
  <si>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</si>
  <si>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</si>
  <si>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</si>
  <si>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</si>
  <si>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</si>
  <si>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</si>
  <si>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</si>
  <si>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</si>
  <si>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</si>
  <si>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</si>
  <si>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</si>
  <si>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</si>
  <si>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</si>
  <si>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</si>
  <si>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</si>
  <si>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</si>
  <si>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</si>
  <si>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</si>
  <si>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</si>
  <si>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</si>
  <si>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</si>
  <si>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</si>
  <si>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</si>
  <si>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</si>
  <si>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</si>
  <si>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</si>
  <si>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</si>
  <si>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</si>
  <si>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</si>
  <si>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</si>
  <si>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</si>
  <si>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</si>
  <si>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</si>
  <si>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</si>
  <si>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</si>
  <si>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</si>
  <si>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</si>
  <si>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</si>
  <si>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</si>
  <si>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</si>
  <si>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</si>
  <si>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</si>
  <si>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</si>
  <si>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</si>
  <si>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</si>
  <si>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</si>
  <si>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</si>
  <si>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</si>
  <si>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</si>
  <si>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</si>
  <si>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</si>
  <si>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</si>
  <si>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</si>
  <si>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</si>
  <si>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</si>
  <si>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</si>
  <si>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</si>
  <si>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</si>
  <si>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</si>
  <si>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</si>
  <si>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</si>
  <si>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</si>
  <si>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</si>
  <si>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</si>
  <si>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</si>
  <si>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</si>
  <si>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</si>
  <si>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</si>
  <si>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</si>
  <si>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</si>
  <si>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</si>
  <si>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</si>
  <si>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</si>
  <si>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</si>
  <si>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</si>
  <si>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</si>
  <si>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</si>
  <si>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</si>
  <si>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</si>
  <si>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</si>
  <si>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</si>
  <si>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</si>
  <si>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</si>
  <si>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</si>
  <si>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</si>
  <si>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</si>
  <si>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</si>
  <si>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</si>
  <si>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</si>
  <si>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</si>
  <si>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</si>
  <si>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</si>
  <si>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</si>
  <si>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</si>
  <si>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</si>
  <si>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</si>
  <si>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</si>
  <si>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</si>
  <si>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</si>
  <si>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</si>
  <si>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</si>
  <si>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</si>
  <si>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</si>
  <si>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</si>
  <si>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</si>
  <si>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</si>
  <si>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</si>
  <si>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</si>
  <si>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</si>
  <si>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</si>
  <si>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</si>
  <si>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</si>
  <si>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</si>
  <si>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</si>
  <si>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</si>
  <si>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</si>
  <si>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</si>
  <si>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</si>
  <si>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</si>
  <si>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</si>
  <si>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</si>
  <si>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</si>
  <si>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</si>
  <si>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</si>
  <si>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</si>
  <si>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</si>
  <si>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</si>
  <si>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</si>
  <si>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</si>
  <si>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</si>
  <si>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</si>
  <si>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</si>
  <si>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</si>
  <si>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</si>
  <si>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</si>
  <si>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</si>
  <si>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</si>
  <si>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</si>
  <si>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</si>
  <si>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</si>
  <si>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</si>
  <si>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</si>
  <si>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</si>
  <si>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</si>
  <si>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</si>
  <si>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</si>
  <si>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</si>
  <si>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</si>
  <si>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</si>
  <si>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</si>
  <si>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</si>
  <si>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</si>
  <si>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</si>
  <si>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</si>
  <si>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</si>
  <si>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</si>
  <si>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</si>
  <si>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</si>
  <si>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</si>
  <si>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</si>
  <si>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</si>
  <si>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</si>
  <si>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</si>
  <si>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</si>
  <si>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</si>
  <si>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</si>
  <si>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</si>
  <si>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</si>
  <si>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</si>
  <si>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</si>
  <si>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</si>
  <si>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</si>
  <si>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</si>
  <si>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</si>
  <si>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</si>
  <si>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</si>
  <si>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</si>
  <si>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</si>
  <si>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</si>
  <si>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</si>
  <si>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</si>
  <si>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</si>
  <si>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</si>
  <si>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</si>
  <si>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</si>
  <si>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</si>
  <si>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</si>
  <si>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</si>
  <si>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</si>
  <si>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</si>
  <si>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</si>
  <si>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</si>
  <si>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</si>
  <si>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</si>
  <si>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</si>
  <si>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</si>
  <si>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</si>
  <si>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</si>
  <si>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</si>
  <si>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</si>
  <si>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</si>
  <si>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</si>
  <si>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</si>
  <si>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</si>
  <si>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</si>
  <si>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</si>
  <si>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</si>
  <si>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</si>
  <si>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</si>
  <si>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</si>
  <si>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</si>
  <si>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</si>
  <si>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</si>
  <si>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</si>
  <si>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</si>
  <si>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</si>
  <si>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</si>
  <si>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</si>
  <si>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</si>
  <si>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</si>
  <si>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</si>
  <si>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</si>
  <si>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</si>
  <si>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</si>
  <si>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</si>
  <si>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</si>
  <si>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</si>
  <si>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</si>
  <si>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</si>
  <si>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</si>
  <si>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</si>
  <si>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</si>
  <si>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</si>
  <si>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</si>
  <si>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</si>
  <si>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</si>
  <si>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</si>
  <si>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</si>
  <si>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</si>
  <si>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</si>
  <si>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</si>
  <si>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</si>
  <si>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</si>
  <si>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</si>
  <si>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</si>
  <si>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</si>
  <si>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</si>
  <si>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</si>
  <si>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</si>
  <si>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</si>
  <si>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</si>
  <si>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</si>
  <si>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</si>
  <si>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</si>
  <si>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</si>
  <si>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</si>
  <si>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</si>
  <si>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</si>
  <si>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</si>
  <si>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</si>
  <si>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</si>
  <si>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</si>
  <si>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</si>
  <si>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</si>
  <si>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</si>
  <si>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</si>
  <si>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</si>
  <si>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</si>
  <si>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</si>
  <si>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</si>
  <si>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</si>
  <si>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</si>
  <si>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</si>
  <si>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</si>
  <si>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</si>
  <si>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</si>
  <si>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</si>
  <si>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</si>
  <si>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</si>
  <si>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</si>
  <si>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</si>
  <si>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</si>
  <si>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</si>
  <si>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</si>
  <si>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</si>
  <si>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</si>
  <si>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</si>
  <si>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</si>
  <si>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</si>
  <si>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</si>
  <si>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</si>
  <si>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</si>
  <si>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</si>
  <si>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</si>
  <si>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</si>
  <si>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</si>
  <si>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</si>
  <si>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</si>
  <si>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</si>
  <si>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</si>
  <si>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</si>
  <si>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</si>
  <si>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</si>
  <si>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</si>
  <si>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</si>
  <si>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</si>
  <si>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</si>
  <si>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</si>
  <si>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</si>
  <si>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</si>
  <si>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</si>
  <si>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</si>
  <si>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</si>
  <si>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</si>
  <si>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</si>
  <si>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</si>
  <si>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</si>
  <si>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</si>
  <si>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</si>
  <si>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</si>
  <si>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</si>
  <si>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</si>
  <si>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</si>
  <si>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</si>
  <si>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</si>
  <si>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</si>
  <si>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</si>
  <si>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</si>
  <si>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</si>
  <si>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</si>
  <si>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</si>
  <si>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</si>
  <si>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</si>
  <si>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</si>
  <si>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</si>
  <si>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</si>
  <si>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</si>
  <si>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</si>
  <si>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</si>
  <si>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</si>
  <si>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</si>
  <si>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</si>
  <si>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</si>
  <si>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</si>
  <si>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</si>
  <si>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</si>
  <si>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</si>
  <si>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</si>
  <si>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</si>
  <si>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</si>
  <si>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</si>
  <si>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</si>
  <si>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</si>
  <si>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</si>
  <si>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</si>
  <si>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</si>
  <si>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</si>
  <si>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</si>
  <si>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</si>
  <si>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</si>
  <si>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</si>
  <si>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</si>
  <si>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</si>
  <si>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</si>
  <si>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</si>
  <si>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</si>
  <si>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</si>
  <si>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</si>
  <si>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</si>
  <si>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</si>
  <si>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</si>
  <si>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</si>
  <si>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</si>
  <si>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</si>
  <si>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</si>
  <si>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</si>
  <si>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</si>
  <si>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</si>
  <si>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</si>
  <si>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</si>
  <si>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</si>
  <si>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</si>
  <si>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</si>
  <si>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</si>
  <si>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</si>
  <si>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</si>
  <si>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</si>
  <si>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</si>
  <si>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</si>
  <si>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</si>
  <si>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Utility Name: COLLUS Power Corp</t>
  </si>
  <si>
    <t>Y</t>
  </si>
  <si>
    <t>N</t>
  </si>
  <si>
    <t>Recapture of capital cost allowance</t>
  </si>
  <si>
    <t>Non-Deductible meals and entertainment</t>
  </si>
  <si>
    <t>Amortization in other expenses</t>
  </si>
  <si>
    <t>3rd Tranche MARR remainder for spending on CDM programs</t>
  </si>
  <si>
    <t>PILs TAXES - EB-????-??</t>
  </si>
  <si>
    <t>Total Deemed Interest (REGINFO)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</si>
</sst>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4" applyNumberFormat="0" applyFill="0" applyAlignment="0" applyProtection="0"/>
    <xf numFmtId="0" fontId="41" fillId="22" borderId="0" applyNumberFormat="0" applyBorder="0" applyAlignment="0" applyProtection="0"/>
    <xf numFmtId="0" fontId="0" fillId="23" borderId="5" applyNumberFormat="0" applyFont="0" applyAlignment="0" applyProtection="0"/>
    <xf numFmtId="0" fontId="42" fillId="20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30" borderId="14" xfId="0" applyNumberFormat="1" applyFill="1" applyBorder="1" applyAlignment="1" applyProtection="1" quotePrefix="1">
      <alignment/>
      <protection/>
    </xf>
    <xf numFmtId="3" fontId="0" fillId="31" borderId="14" xfId="0" applyNumberFormat="1" applyFill="1" applyBorder="1" applyAlignment="1" applyProtection="1">
      <alignment vertical="top"/>
      <protection/>
    </xf>
    <xf numFmtId="10" fontId="0" fillId="30" borderId="14" xfId="0" applyNumberFormat="1" applyFill="1" applyBorder="1" applyAlignment="1" applyProtection="1" quotePrefix="1">
      <alignment vertical="top"/>
      <protection/>
    </xf>
    <xf numFmtId="37" fontId="0" fillId="30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31" borderId="17" xfId="0" applyNumberFormat="1" applyFont="1" applyFill="1" applyBorder="1" applyAlignment="1" applyProtection="1">
      <alignment horizontal="center" vertical="top"/>
      <protection locked="0"/>
    </xf>
    <xf numFmtId="3" fontId="0" fillId="31" borderId="14" xfId="0" applyNumberFormat="1" applyFill="1" applyBorder="1" applyAlignment="1" applyProtection="1">
      <alignment horizontal="right" vertical="top"/>
      <protection/>
    </xf>
    <xf numFmtId="3" fontId="0" fillId="27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31" borderId="0" xfId="63" applyFont="1" applyFill="1" applyAlignment="1" applyProtection="1">
      <alignment vertical="top"/>
      <protection locked="0"/>
    </xf>
    <xf numFmtId="3" fontId="0" fillId="24" borderId="0" xfId="0" applyNumberFormat="1" applyFill="1" applyAlignment="1">
      <alignment/>
    </xf>
    <xf numFmtId="0" fontId="0" fillId="29" borderId="17" xfId="0" applyFont="1" applyFill="1" applyBorder="1" applyAlignment="1">
      <alignment horizontal="center" vertical="top"/>
    </xf>
    <xf numFmtId="0" fontId="0" fillId="29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17" borderId="24" xfId="0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0" fontId="0" fillId="30" borderId="0" xfId="0" applyFont="1" applyFill="1" applyAlignment="1">
      <alignment vertical="top" wrapText="1"/>
    </xf>
    <xf numFmtId="180" fontId="0" fillId="29" borderId="0" xfId="0" applyNumberFormat="1" applyFill="1" applyAlignment="1">
      <alignment horizontal="center" vertical="top"/>
    </xf>
    <xf numFmtId="3" fontId="0" fillId="31" borderId="14" xfId="0" applyNumberForma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30" borderId="24" xfId="0" applyFon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Alignment="1">
      <alignment vertical="top" wrapText="1"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9" borderId="0" xfId="0" applyNumberFormat="1" applyFont="1" applyFill="1" applyAlignment="1">
      <alignment/>
    </xf>
    <xf numFmtId="0" fontId="0" fillId="29" borderId="0" xfId="0" applyFill="1" applyAlignment="1">
      <alignment vertical="top"/>
    </xf>
    <xf numFmtId="0" fontId="0" fillId="0" borderId="0" xfId="0" applyFont="1" applyFill="1" applyAlignment="1">
      <alignment vertical="top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3" fontId="0" fillId="0" borderId="18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0" fontId="0" fillId="10" borderId="44" xfId="0" applyNumberFormat="1" applyFill="1" applyBorder="1" applyAlignment="1" applyProtection="1">
      <alignment horizontal="center" vertical="top"/>
      <protection locked="0"/>
    </xf>
    <xf numFmtId="10" fontId="0" fillId="10" borderId="18" xfId="0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4">
      <selection activeCell="I51" sqref="I51:J5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5742187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502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1" t="s">
        <v>447</v>
      </c>
      <c r="E3" s="8"/>
      <c r="F3" s="8"/>
      <c r="G3" s="8"/>
      <c r="H3" s="8"/>
    </row>
    <row r="4" spans="1:8" ht="12.75">
      <c r="A4" s="2" t="s">
        <v>480</v>
      </c>
      <c r="C4" s="8"/>
      <c r="D4" s="450" t="s">
        <v>442</v>
      </c>
      <c r="E4" s="425"/>
      <c r="H4" s="8"/>
    </row>
    <row r="5" spans="1:8" ht="12.75">
      <c r="A5" s="52"/>
      <c r="C5" s="8"/>
      <c r="D5" s="449" t="s">
        <v>443</v>
      </c>
      <c r="E5" s="395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8" t="s">
        <v>496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8" t="s">
        <v>497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8" t="s">
        <v>497</v>
      </c>
    </row>
    <row r="18" spans="1:4" ht="15" customHeight="1">
      <c r="A18" s="388" t="s">
        <v>315</v>
      </c>
      <c r="C18" s="8"/>
      <c r="D18" s="8"/>
    </row>
    <row r="19" spans="1:4" ht="15" customHeight="1">
      <c r="A19" s="515" t="s">
        <v>316</v>
      </c>
      <c r="B19" s="8" t="s">
        <v>313</v>
      </c>
      <c r="C19" s="8" t="s">
        <v>64</v>
      </c>
      <c r="D19" s="489" t="s">
        <v>497</v>
      </c>
    </row>
    <row r="20" spans="1:4" ht="13.5" thickBot="1">
      <c r="A20" s="516"/>
      <c r="B20" s="8" t="s">
        <v>314</v>
      </c>
      <c r="C20" s="8" t="s">
        <v>64</v>
      </c>
      <c r="D20" s="488" t="s">
        <v>497</v>
      </c>
    </row>
    <row r="21" spans="1:4" ht="12.75">
      <c r="A21" s="515" t="s">
        <v>312</v>
      </c>
      <c r="B21" s="8" t="s">
        <v>313</v>
      </c>
      <c r="C21" s="8"/>
      <c r="D21" s="494">
        <v>0.988</v>
      </c>
    </row>
    <row r="22" spans="1:4" ht="12.75">
      <c r="A22" s="515"/>
      <c r="B22" s="8" t="s">
        <v>314</v>
      </c>
      <c r="C22" s="8"/>
      <c r="D22" s="420">
        <v>1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1" t="s">
        <v>481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297</v>
      </c>
    </row>
    <row r="27" spans="1:5" ht="12.75">
      <c r="A27" s="256" t="s">
        <v>68</v>
      </c>
      <c r="C27" s="8"/>
      <c r="E27" s="441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18">
        <v>13535678</v>
      </c>
      <c r="H31" s="5"/>
    </row>
    <row r="32" ht="6" customHeight="1"/>
    <row r="33" spans="1:8" ht="12.75">
      <c r="A33" t="s">
        <v>71</v>
      </c>
      <c r="D33" s="419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9">
        <v>0.0988</v>
      </c>
      <c r="H37" s="41"/>
    </row>
    <row r="38" ht="4.5" customHeight="1">
      <c r="H38" s="34"/>
    </row>
    <row r="39" spans="1:8" ht="12.75">
      <c r="A39" t="s">
        <v>74</v>
      </c>
      <c r="D39" s="419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1159330.8207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30182</v>
      </c>
      <c r="E43" s="386">
        <f>D43</f>
        <v>30182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1129148.8207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3">
        <v>376383</v>
      </c>
      <c r="E47" s="386">
        <f aca="true" t="shared" si="0" ref="E47:E53">D47</f>
        <v>376383</v>
      </c>
      <c r="H47" s="40"/>
      <c r="J47" s="5"/>
      <c r="K47" s="5"/>
    </row>
    <row r="48" spans="1:11" ht="12.75">
      <c r="A48" t="s">
        <v>290</v>
      </c>
      <c r="D48" s="423">
        <v>376383</v>
      </c>
      <c r="E48" s="386">
        <f>D48</f>
        <v>376383</v>
      </c>
      <c r="F48" s="22"/>
      <c r="H48" s="40"/>
      <c r="J48" s="5"/>
      <c r="K48" s="5"/>
    </row>
    <row r="49" spans="1:11" ht="12.75">
      <c r="A49" t="s">
        <v>291</v>
      </c>
      <c r="D49" s="424"/>
      <c r="E49" s="386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5">
        <v>376000</v>
      </c>
      <c r="E50" s="386">
        <f t="shared" si="0"/>
        <v>376000</v>
      </c>
      <c r="H50" s="40"/>
      <c r="J50" s="5"/>
      <c r="K50" s="5"/>
    </row>
    <row r="51" spans="1:11" ht="12.75">
      <c r="A51" t="s">
        <v>439</v>
      </c>
      <c r="B51" s="504"/>
      <c r="C51" s="486">
        <v>1</v>
      </c>
      <c r="D51" s="425">
        <v>102834</v>
      </c>
      <c r="E51" s="386">
        <f>+C51*D51+1</f>
        <v>102835</v>
      </c>
      <c r="G51" s="3"/>
      <c r="H51" s="40"/>
      <c r="I51" s="504"/>
      <c r="J51" s="32"/>
      <c r="K51" s="5"/>
    </row>
    <row r="52" spans="1:11" ht="12.75">
      <c r="A52" t="s">
        <v>462</v>
      </c>
      <c r="D52" s="425"/>
      <c r="E52" s="386">
        <v>0</v>
      </c>
      <c r="G52" s="485"/>
      <c r="H52" s="40"/>
      <c r="J52" s="5"/>
      <c r="K52" s="5"/>
    </row>
    <row r="53" spans="4:11" ht="12.75">
      <c r="D53" s="425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1261783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6767839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668662.4932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6767839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490668.32749999996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172072.1687098657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331370.2860478692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331370.2860478692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490668.32749999996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37">
      <selection activeCell="E123" sqref="E12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EB-????-??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COLLUS Power Corp</v>
      </c>
      <c r="B6" s="115"/>
      <c r="D6" s="137"/>
      <c r="E6" s="115"/>
      <c r="G6" s="115"/>
      <c r="H6" s="461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1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1261783</v>
      </c>
      <c r="D16" s="17"/>
      <c r="E16" s="266">
        <f>G16-C16</f>
        <v>-480099</v>
      </c>
      <c r="F16" s="3"/>
      <c r="G16" s="266">
        <f>TAXREC!E50</f>
        <v>781684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770854</v>
      </c>
      <c r="D20" s="18"/>
      <c r="E20" s="266">
        <f>G20-C20</f>
        <v>8249</v>
      </c>
      <c r="F20" s="6"/>
      <c r="G20" s="266">
        <f>TAXREC!E61</f>
        <v>779103</v>
      </c>
      <c r="H20" s="151"/>
    </row>
    <row r="21" spans="1:8" ht="12.75">
      <c r="A21" s="158" t="s">
        <v>56</v>
      </c>
      <c r="B21" s="127">
        <v>3</v>
      </c>
      <c r="C21" s="260">
        <v>0</v>
      </c>
      <c r="D21" s="18"/>
      <c r="E21" s="266">
        <f>G21-C21</f>
        <v>13250</v>
      </c>
      <c r="F21" s="6"/>
      <c r="G21" s="266">
        <f>TAXREC!E62</f>
        <v>13250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>
        <v>0</v>
      </c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947</v>
      </c>
      <c r="F29" s="6"/>
      <c r="G29" s="266">
        <f>TAXREC!E68</f>
        <v>947</v>
      </c>
      <c r="H29" s="151"/>
    </row>
    <row r="30" spans="1:8" ht="15.75">
      <c r="A30" s="475" t="s">
        <v>395</v>
      </c>
      <c r="B30" s="127"/>
      <c r="C30" s="258"/>
      <c r="D30" s="18"/>
      <c r="E30" s="266">
        <f>G30-C30</f>
        <v>37333</v>
      </c>
      <c r="F30" s="6"/>
      <c r="G30" s="266">
        <f>TAXREC!E66</f>
        <v>37333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657583</v>
      </c>
      <c r="D33" s="132"/>
      <c r="E33" s="266">
        <f aca="true" t="shared" si="0" ref="E33:E42">G33-C33</f>
        <v>41176</v>
      </c>
      <c r="F33" s="6"/>
      <c r="G33" s="266">
        <f>TAXREC!E97+TAXREC!E98</f>
        <v>698759</v>
      </c>
      <c r="H33" s="151"/>
    </row>
    <row r="34" spans="1:8" ht="12.75">
      <c r="A34" s="158" t="s">
        <v>57</v>
      </c>
      <c r="B34" s="127">
        <v>8</v>
      </c>
      <c r="C34" s="260">
        <v>0</v>
      </c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490668.32749999996</v>
      </c>
      <c r="D37" s="132"/>
      <c r="E37" s="266">
        <f t="shared" si="0"/>
        <v>-208650.32749999996</v>
      </c>
      <c r="F37" s="6"/>
      <c r="G37" s="495">
        <f>TAXREC!E51</f>
        <v>282018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>
        <v>0</v>
      </c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>
        <v>0</v>
      </c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2015</v>
      </c>
      <c r="F47" s="6"/>
      <c r="G47" s="251">
        <f>TAXREC!E111</f>
        <v>2015</v>
      </c>
      <c r="H47" s="151"/>
    </row>
    <row r="48" spans="1:11" ht="15.75">
      <c r="A48" s="491" t="s">
        <v>395</v>
      </c>
      <c r="B48" s="127"/>
      <c r="C48" s="258">
        <v>125334</v>
      </c>
      <c r="D48" s="132"/>
      <c r="E48" s="266">
        <f>G48-C48</f>
        <v>65579</v>
      </c>
      <c r="F48" s="6"/>
      <c r="G48" s="251">
        <f>TAXREC!E108</f>
        <v>190913</v>
      </c>
      <c r="H48" s="151"/>
      <c r="I48" s="504"/>
      <c r="J48" s="34"/>
      <c r="K48" s="34"/>
    </row>
    <row r="49" spans="1:11" ht="12.75">
      <c r="A49" s="158"/>
      <c r="B49" s="127"/>
      <c r="C49" s="105"/>
      <c r="D49" s="132"/>
      <c r="E49" s="139"/>
      <c r="F49" s="6"/>
      <c r="G49" s="139"/>
      <c r="H49" s="151"/>
      <c r="I49" s="34"/>
      <c r="J49" s="34"/>
      <c r="K49" s="34"/>
    </row>
    <row r="50" spans="1:11" ht="12.75">
      <c r="A50" s="152" t="s">
        <v>328</v>
      </c>
      <c r="B50" s="125"/>
      <c r="C50" s="262">
        <f>C16+SUM(C20:C30)-SUM(C33:C48)</f>
        <v>759051.6725000001</v>
      </c>
      <c r="D50" s="102"/>
      <c r="E50" s="262">
        <f>E16+SUM(E20:E30)-SUM(E33:E48)</f>
        <v>-320439.67250000004</v>
      </c>
      <c r="F50" s="428" t="s">
        <v>367</v>
      </c>
      <c r="G50" s="262">
        <f>G16+SUM(G20:G30)-SUM(G33:G48)</f>
        <v>438612</v>
      </c>
      <c r="H50" s="160"/>
      <c r="I50" s="34"/>
      <c r="J50" s="34"/>
      <c r="K50" s="34"/>
    </row>
    <row r="51" spans="1:11" ht="12.75">
      <c r="A51" s="159"/>
      <c r="B51" s="125"/>
      <c r="C51" s="107"/>
      <c r="D51" s="132"/>
      <c r="E51" s="107"/>
      <c r="F51" s="6"/>
      <c r="G51" s="107"/>
      <c r="H51" s="151"/>
      <c r="I51" s="116"/>
      <c r="J51" s="34"/>
      <c r="K51" s="34"/>
    </row>
    <row r="52" spans="1:11" ht="12.75">
      <c r="A52" s="158" t="s">
        <v>336</v>
      </c>
      <c r="B52" s="127"/>
      <c r="C52" s="108"/>
      <c r="D52" s="132"/>
      <c r="E52" s="139"/>
      <c r="F52" s="6"/>
      <c r="G52" s="139"/>
      <c r="H52" s="151"/>
      <c r="I52" s="34"/>
      <c r="J52" s="34"/>
      <c r="K52" s="34"/>
    </row>
    <row r="53" spans="1:11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0.275</v>
      </c>
      <c r="D53" s="102"/>
      <c r="E53" s="267">
        <f>+G53-C53</f>
        <v>-0.01673301232068436</v>
      </c>
      <c r="F53" s="114"/>
      <c r="G53" s="468">
        <f>G55/G50</f>
        <v>0.25826698767931566</v>
      </c>
      <c r="H53" s="151"/>
      <c r="I53" s="507"/>
      <c r="J53" s="34"/>
      <c r="K53" s="34"/>
    </row>
    <row r="54" spans="1:11" ht="12.75">
      <c r="A54" s="158"/>
      <c r="B54" s="127"/>
      <c r="C54" s="105"/>
      <c r="D54" s="132"/>
      <c r="E54" s="139"/>
      <c r="F54" s="6"/>
      <c r="G54" s="139"/>
      <c r="H54" s="151"/>
      <c r="I54" s="34"/>
      <c r="J54" s="34"/>
      <c r="K54" s="34"/>
    </row>
    <row r="55" spans="1:11" ht="12.75">
      <c r="A55" s="158" t="s">
        <v>28</v>
      </c>
      <c r="B55" s="127"/>
      <c r="C55" s="263">
        <f>IF(C50&gt;0,C50*C53,0)</f>
        <v>208739.20993750004</v>
      </c>
      <c r="D55" s="102"/>
      <c r="E55" s="266">
        <f>G55-C55</f>
        <v>-95460.20993750004</v>
      </c>
      <c r="F55" s="428" t="s">
        <v>368</v>
      </c>
      <c r="G55" s="263">
        <f>TAXREC!E144</f>
        <v>113279</v>
      </c>
      <c r="H55" s="161"/>
      <c r="I55" s="34"/>
      <c r="J55" s="34"/>
      <c r="K55" s="34"/>
    </row>
    <row r="56" spans="1:11" ht="12.75">
      <c r="A56" s="158"/>
      <c r="B56" s="127"/>
      <c r="C56" s="105"/>
      <c r="D56" s="132"/>
      <c r="E56" s="139"/>
      <c r="F56" s="114"/>
      <c r="G56" s="139"/>
      <c r="H56" s="151"/>
      <c r="I56" s="34"/>
      <c r="J56" s="34"/>
      <c r="K56" s="34"/>
    </row>
    <row r="57" spans="1:11" ht="12.75">
      <c r="A57" s="158"/>
      <c r="B57" s="127"/>
      <c r="C57" s="105"/>
      <c r="D57" s="132"/>
      <c r="E57" s="139"/>
      <c r="F57" s="6"/>
      <c r="G57" s="139"/>
      <c r="H57" s="151"/>
      <c r="I57" s="34"/>
      <c r="J57" s="34"/>
      <c r="K57" s="34"/>
    </row>
    <row r="58" spans="1:11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28" t="s">
        <v>368</v>
      </c>
      <c r="G58" s="269">
        <f>TAXREC!E145</f>
        <v>0</v>
      </c>
      <c r="H58" s="151"/>
      <c r="I58" s="34"/>
      <c r="J58" s="34"/>
      <c r="K58" s="34"/>
    </row>
    <row r="59" spans="1:11" ht="13.5" thickBot="1">
      <c r="A59" s="158"/>
      <c r="B59" s="127"/>
      <c r="C59" s="105"/>
      <c r="D59" s="18"/>
      <c r="E59" s="139"/>
      <c r="F59" s="6"/>
      <c r="G59" s="139"/>
      <c r="H59" s="151"/>
      <c r="I59" s="34"/>
      <c r="J59" s="34"/>
      <c r="K59" s="34"/>
    </row>
    <row r="60" spans="1:11" ht="13.5" thickBot="1">
      <c r="A60" s="150" t="s">
        <v>37</v>
      </c>
      <c r="B60" s="134"/>
      <c r="C60" s="265">
        <f>+C55-C58</f>
        <v>208739.20993750004</v>
      </c>
      <c r="D60" s="133"/>
      <c r="E60" s="268">
        <f>+E55-E58</f>
        <v>-95460.20993750004</v>
      </c>
      <c r="F60" s="428" t="s">
        <v>368</v>
      </c>
      <c r="G60" s="268">
        <f>+G55-G58</f>
        <v>113279</v>
      </c>
      <c r="H60" s="135"/>
      <c r="I60" s="34"/>
      <c r="J60" s="34"/>
      <c r="K60" s="34"/>
    </row>
    <row r="61" spans="1:11" ht="12.75">
      <c r="A61" s="158"/>
      <c r="B61" s="127"/>
      <c r="C61" s="105"/>
      <c r="D61" s="18"/>
      <c r="E61" s="139"/>
      <c r="F61" s="6"/>
      <c r="G61" s="139"/>
      <c r="H61" s="151"/>
      <c r="I61" s="34"/>
      <c r="J61" s="34"/>
      <c r="K61" s="34"/>
    </row>
    <row r="62" spans="1:11" ht="12.75">
      <c r="A62" s="158"/>
      <c r="B62" s="123"/>
      <c r="C62" s="105"/>
      <c r="D62" s="18"/>
      <c r="E62" s="139"/>
      <c r="F62" s="6"/>
      <c r="G62" s="139"/>
      <c r="H62" s="151"/>
      <c r="I62" s="34"/>
      <c r="J62" s="34"/>
      <c r="K62" s="34"/>
    </row>
    <row r="63" spans="1:11" ht="12.75">
      <c r="A63" s="154" t="s">
        <v>31</v>
      </c>
      <c r="B63" s="128"/>
      <c r="C63" s="105"/>
      <c r="D63" s="18"/>
      <c r="E63" s="139"/>
      <c r="F63" s="6"/>
      <c r="G63" s="139"/>
      <c r="H63" s="151"/>
      <c r="I63" s="34"/>
      <c r="J63" s="34"/>
      <c r="K63" s="34"/>
    </row>
    <row r="64" spans="1:11" ht="12.75">
      <c r="A64" s="158"/>
      <c r="B64" s="127"/>
      <c r="C64" s="105"/>
      <c r="D64" s="18"/>
      <c r="E64" s="139"/>
      <c r="F64" s="6"/>
      <c r="G64" s="139"/>
      <c r="H64" s="151"/>
      <c r="I64" s="34"/>
      <c r="J64" s="34"/>
      <c r="K64" s="34"/>
    </row>
    <row r="65" spans="1:11" ht="12.75">
      <c r="A65" s="156" t="s">
        <v>29</v>
      </c>
      <c r="B65" s="126"/>
      <c r="C65" s="105"/>
      <c r="D65" s="18"/>
      <c r="E65" s="139"/>
      <c r="F65" s="6"/>
      <c r="G65" s="139"/>
      <c r="H65" s="151"/>
      <c r="I65" s="34"/>
      <c r="J65" s="34"/>
      <c r="K65" s="34"/>
    </row>
    <row r="66" spans="1:11" ht="12.75">
      <c r="A66" s="152" t="s">
        <v>17</v>
      </c>
      <c r="B66" s="125">
        <v>15</v>
      </c>
      <c r="C66" s="263">
        <f>Ratebase</f>
        <v>13535678</v>
      </c>
      <c r="D66" s="102"/>
      <c r="E66" s="266">
        <f>G66-C66</f>
        <v>-2762834</v>
      </c>
      <c r="F66" s="6"/>
      <c r="G66" s="470">
        <v>10772844</v>
      </c>
      <c r="H66" s="151"/>
      <c r="I66" s="508"/>
      <c r="J66" s="34"/>
      <c r="K66" s="34"/>
    </row>
    <row r="67" spans="1:11" ht="12.75">
      <c r="A67" s="152" t="s">
        <v>360</v>
      </c>
      <c r="B67" s="125">
        <v>16</v>
      </c>
      <c r="C67" s="259">
        <f>IF(C66&gt;0,'Tax Rates'!C21,0)</f>
        <v>7500000</v>
      </c>
      <c r="D67" s="102"/>
      <c r="E67" s="266">
        <f>G67-C67</f>
        <v>-88281</v>
      </c>
      <c r="F67" s="6"/>
      <c r="G67" s="266">
        <f>'Tax Rates'!C57</f>
        <v>7411719</v>
      </c>
      <c r="H67" s="151"/>
      <c r="I67" s="508"/>
      <c r="J67" s="509"/>
      <c r="K67" s="34"/>
    </row>
    <row r="68" spans="1:11" ht="12.75">
      <c r="A68" s="152" t="s">
        <v>42</v>
      </c>
      <c r="B68" s="125"/>
      <c r="C68" s="263">
        <f>IF((C66-C67)&gt;0,C66-C67,0)</f>
        <v>6035678</v>
      </c>
      <c r="D68" s="102"/>
      <c r="E68" s="266">
        <f>SUM(E66:E67)</f>
        <v>-2851115</v>
      </c>
      <c r="F68" s="114"/>
      <c r="G68" s="263">
        <f>G66-G67</f>
        <v>3361125</v>
      </c>
      <c r="H68" s="160"/>
      <c r="I68" s="34"/>
      <c r="J68" s="34"/>
      <c r="K68" s="34"/>
    </row>
    <row r="69" spans="1:11" ht="12.75">
      <c r="A69" s="152"/>
      <c r="B69" s="125"/>
      <c r="C69" s="110"/>
      <c r="D69" s="18"/>
      <c r="E69" s="139"/>
      <c r="F69" s="6"/>
      <c r="G69" s="139"/>
      <c r="H69" s="151"/>
      <c r="I69" s="34"/>
      <c r="J69" s="34"/>
      <c r="K69" s="34"/>
    </row>
    <row r="70" spans="1:11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  <c r="I70" s="34"/>
      <c r="J70" s="34"/>
      <c r="K70" s="34"/>
    </row>
    <row r="71" spans="1:11" ht="12.75">
      <c r="A71" s="152"/>
      <c r="B71" s="125"/>
      <c r="C71" s="185"/>
      <c r="D71" s="18"/>
      <c r="E71" s="140"/>
      <c r="F71" s="6"/>
      <c r="G71" s="185"/>
      <c r="H71" s="151"/>
      <c r="I71" s="34"/>
      <c r="J71" s="34"/>
      <c r="K71" s="34"/>
    </row>
    <row r="72" spans="1:11" ht="12.75">
      <c r="A72" s="152" t="s">
        <v>317</v>
      </c>
      <c r="B72" s="125"/>
      <c r="C72" s="263">
        <f>IF(C68&gt;0,C68*C70,0)*REGINFO!$B$6/REGINFO!$B$7</f>
        <v>18107.034</v>
      </c>
      <c r="D72" s="101"/>
      <c r="E72" s="266">
        <f>+G72-C72</f>
        <v>-8023.659</v>
      </c>
      <c r="F72" s="471"/>
      <c r="G72" s="263">
        <f>IF(G68&gt;0,G68*G70,0)*REGINFO!$B$6/REGINFO!$B$7</f>
        <v>10083.375</v>
      </c>
      <c r="H72" s="161"/>
      <c r="I72" s="34"/>
      <c r="J72" s="34"/>
      <c r="K72" s="34"/>
    </row>
    <row r="73" spans="1:11" ht="12.75">
      <c r="A73" s="150"/>
      <c r="B73" s="129"/>
      <c r="C73" s="110"/>
      <c r="D73" s="136"/>
      <c r="E73" s="139"/>
      <c r="F73" s="6"/>
      <c r="G73" s="139"/>
      <c r="H73" s="151"/>
      <c r="I73" s="34"/>
      <c r="J73" s="34"/>
      <c r="K73" s="34"/>
    </row>
    <row r="74" spans="1:11" ht="12.75">
      <c r="A74" s="156" t="s">
        <v>218</v>
      </c>
      <c r="B74" s="126"/>
      <c r="C74" s="110"/>
      <c r="D74" s="18"/>
      <c r="E74" s="139"/>
      <c r="F74" s="6"/>
      <c r="G74" s="139"/>
      <c r="H74" s="151"/>
      <c r="I74" s="34"/>
      <c r="J74" s="34"/>
      <c r="K74" s="34"/>
    </row>
    <row r="75" spans="1:11" ht="12.75">
      <c r="A75" s="152" t="s">
        <v>17</v>
      </c>
      <c r="B75" s="125">
        <v>18</v>
      </c>
      <c r="C75" s="263">
        <f>Ratebase</f>
        <v>13535678</v>
      </c>
      <c r="D75" s="102"/>
      <c r="E75" s="266">
        <f>+G75-C75</f>
        <v>-2762834</v>
      </c>
      <c r="F75" s="6"/>
      <c r="G75" s="470">
        <v>10772844</v>
      </c>
      <c r="H75" s="151"/>
      <c r="I75" s="508"/>
      <c r="J75" s="504"/>
      <c r="K75" s="34"/>
    </row>
    <row r="76" spans="1:11" ht="12.75">
      <c r="A76" s="152" t="s">
        <v>360</v>
      </c>
      <c r="B76" s="125">
        <v>19</v>
      </c>
      <c r="C76" s="259">
        <f>IF(C75&gt;0,'Tax Rates'!C22,0)</f>
        <v>50000000</v>
      </c>
      <c r="D76" s="18"/>
      <c r="E76" s="266">
        <f>+G76-C76</f>
        <v>0</v>
      </c>
      <c r="F76" s="6"/>
      <c r="G76" s="266">
        <f>'Tax Rates'!C58</f>
        <v>50000000</v>
      </c>
      <c r="H76" s="151"/>
      <c r="I76" s="508"/>
      <c r="J76" s="34"/>
      <c r="K76" s="34"/>
    </row>
    <row r="77" spans="1:11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-2762834</v>
      </c>
      <c r="F77" s="114"/>
      <c r="G77" s="263">
        <f>IF(G76&gt;G75,0,G75-G76)</f>
        <v>0</v>
      </c>
      <c r="H77" s="160"/>
      <c r="I77" s="34"/>
      <c r="J77" s="34"/>
      <c r="K77" s="34"/>
    </row>
    <row r="78" spans="1:11" ht="12.75">
      <c r="A78" s="152"/>
      <c r="B78" s="125"/>
      <c r="C78" s="110"/>
      <c r="D78" s="18"/>
      <c r="E78" s="139"/>
      <c r="F78" s="6"/>
      <c r="G78" s="139"/>
      <c r="H78" s="151"/>
      <c r="I78" s="34"/>
      <c r="J78" s="34"/>
      <c r="K78" s="34"/>
    </row>
    <row r="79" spans="1:11" ht="12.75">
      <c r="A79" s="152" t="s">
        <v>361</v>
      </c>
      <c r="B79" s="125">
        <v>20</v>
      </c>
      <c r="C79" s="300">
        <f>'Tax Rates'!C19</f>
        <v>0.00175</v>
      </c>
      <c r="D79" s="102"/>
      <c r="E79" s="267">
        <f>G79-C79</f>
        <v>0.00025</v>
      </c>
      <c r="F79" s="6"/>
      <c r="G79" s="267">
        <f>'Tax Rates'!C55</f>
        <v>0.002</v>
      </c>
      <c r="H79" s="151"/>
      <c r="I79" s="34"/>
      <c r="J79" s="34"/>
      <c r="K79" s="34"/>
    </row>
    <row r="80" spans="1:11" ht="12.75">
      <c r="A80" s="152"/>
      <c r="B80" s="125"/>
      <c r="C80" s="110"/>
      <c r="D80" s="18"/>
      <c r="E80" s="139"/>
      <c r="F80" s="6"/>
      <c r="G80" s="139"/>
      <c r="H80" s="151"/>
      <c r="I80" s="34"/>
      <c r="J80" s="34"/>
      <c r="K80" s="34"/>
    </row>
    <row r="81" spans="1:11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  <c r="I81" s="34"/>
      <c r="J81" s="34"/>
      <c r="K81" s="34"/>
    </row>
    <row r="82" spans="1:11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  <c r="I82" s="34"/>
      <c r="J82" s="34"/>
      <c r="K82" s="34"/>
    </row>
    <row r="83" spans="1:11" ht="12.75">
      <c r="A83" s="152"/>
      <c r="B83" s="125"/>
      <c r="C83" s="110"/>
      <c r="D83" s="18"/>
      <c r="E83" s="139"/>
      <c r="F83" s="6"/>
      <c r="G83" s="139"/>
      <c r="H83" s="151"/>
      <c r="I83" s="34"/>
      <c r="J83" s="34"/>
      <c r="K83" s="34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I84" s="34"/>
      <c r="J84" s="34"/>
      <c r="K84" s="34"/>
      <c r="L84" s="22"/>
    </row>
    <row r="85" spans="1:11" ht="12.75">
      <c r="A85" s="152"/>
      <c r="B85" s="125"/>
      <c r="C85" s="105"/>
      <c r="D85" s="11"/>
      <c r="E85" s="141"/>
      <c r="F85" s="6"/>
      <c r="G85" s="141"/>
      <c r="H85" s="163"/>
      <c r="I85" s="34"/>
      <c r="J85" s="34"/>
      <c r="K85" s="34"/>
    </row>
    <row r="86" spans="1:11" ht="12.75">
      <c r="A86" s="154" t="s">
        <v>118</v>
      </c>
      <c r="B86" s="128"/>
      <c r="C86" s="105"/>
      <c r="D86" s="11"/>
      <c r="E86" s="115"/>
      <c r="F86" s="3"/>
      <c r="G86" s="123"/>
      <c r="H86" s="151"/>
      <c r="I86" s="34"/>
      <c r="J86" s="34"/>
      <c r="K86" s="34"/>
    </row>
    <row r="87" spans="1:11" ht="12.75">
      <c r="A87" s="154"/>
      <c r="B87" s="128"/>
      <c r="C87" s="105"/>
      <c r="D87" s="11"/>
      <c r="E87" s="114"/>
      <c r="F87" s="6"/>
      <c r="G87" s="198"/>
      <c r="H87" s="151"/>
      <c r="I87" s="34"/>
      <c r="J87" s="34"/>
      <c r="K87" s="34"/>
    </row>
    <row r="88" spans="1:11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0.275</v>
      </c>
      <c r="D88" s="11"/>
      <c r="E88" s="114"/>
      <c r="F88" s="6"/>
      <c r="G88" s="198"/>
      <c r="H88" s="151"/>
      <c r="I88" s="34"/>
      <c r="J88" s="34"/>
      <c r="K88" s="34"/>
    </row>
    <row r="89" spans="1:11" ht="12.75">
      <c r="A89" s="150"/>
      <c r="B89" s="129"/>
      <c r="C89" s="110"/>
      <c r="D89" s="11"/>
      <c r="E89" s="114"/>
      <c r="F89" s="6"/>
      <c r="G89" s="198"/>
      <c r="H89" s="151"/>
      <c r="I89" s="34"/>
      <c r="J89" s="34"/>
      <c r="K89" s="34"/>
    </row>
    <row r="90" spans="1:11" ht="12.75">
      <c r="A90" s="158" t="s">
        <v>369</v>
      </c>
      <c r="B90" s="127">
        <v>22</v>
      </c>
      <c r="C90" s="263">
        <f>C60/(1-C88)</f>
        <v>287916.1516379311</v>
      </c>
      <c r="D90" s="20"/>
      <c r="E90" s="139"/>
      <c r="F90" s="427" t="s">
        <v>491</v>
      </c>
      <c r="G90" s="269">
        <f>TAXREC!E156</f>
        <v>113279</v>
      </c>
      <c r="H90" s="151"/>
      <c r="I90" s="34"/>
      <c r="J90" s="34"/>
      <c r="K90" s="34"/>
    </row>
    <row r="91" spans="1:11" ht="12.75">
      <c r="A91" s="158" t="s">
        <v>370</v>
      </c>
      <c r="B91" s="127">
        <v>23</v>
      </c>
      <c r="C91" s="263">
        <f>C84/(1-C88)</f>
        <v>0</v>
      </c>
      <c r="D91" s="20"/>
      <c r="E91" s="139"/>
      <c r="F91" s="427" t="s">
        <v>491</v>
      </c>
      <c r="G91" s="269">
        <f>TAXREC!E158</f>
        <v>0</v>
      </c>
      <c r="H91" s="151"/>
      <c r="I91" s="34"/>
      <c r="J91" s="34"/>
      <c r="K91" s="34"/>
    </row>
    <row r="92" spans="1:11" ht="12.75">
      <c r="A92" s="158" t="s">
        <v>348</v>
      </c>
      <c r="B92" s="127">
        <v>24</v>
      </c>
      <c r="C92" s="263">
        <f>C72</f>
        <v>18107.034</v>
      </c>
      <c r="D92" s="20"/>
      <c r="E92" s="139"/>
      <c r="F92" s="427" t="s">
        <v>491</v>
      </c>
      <c r="G92" s="269">
        <f>TAXREC!E157</f>
        <v>10083</v>
      </c>
      <c r="H92" s="151"/>
      <c r="I92" s="34"/>
      <c r="J92" s="34"/>
      <c r="K92" s="34"/>
    </row>
    <row r="93" spans="1:11" ht="12.75">
      <c r="A93" s="158"/>
      <c r="B93" s="127"/>
      <c r="C93" s="110"/>
      <c r="D93" s="11"/>
      <c r="E93" s="139"/>
      <c r="F93" s="6"/>
      <c r="G93" s="139"/>
      <c r="H93" s="151"/>
      <c r="I93" s="34"/>
      <c r="J93" s="34"/>
      <c r="K93" s="34"/>
    </row>
    <row r="94" spans="1:11" ht="13.5" thickBot="1">
      <c r="A94" s="158"/>
      <c r="B94" s="127"/>
      <c r="C94" s="110"/>
      <c r="D94" s="11"/>
      <c r="E94" s="139"/>
      <c r="F94" s="6"/>
      <c r="G94" s="139"/>
      <c r="H94" s="151"/>
      <c r="I94" s="34"/>
      <c r="J94" s="34"/>
      <c r="K94" s="34"/>
    </row>
    <row r="95" spans="1:11" ht="13.5" thickBot="1">
      <c r="A95" s="156" t="s">
        <v>492</v>
      </c>
      <c r="B95" s="125">
        <v>25</v>
      </c>
      <c r="C95" s="268">
        <f>SUM(C90:C93)</f>
        <v>306023.1856379311</v>
      </c>
      <c r="D95" s="6"/>
      <c r="E95" s="139"/>
      <c r="F95" s="427" t="s">
        <v>491</v>
      </c>
      <c r="G95" s="410">
        <f>SUM(G90:G94)</f>
        <v>123362</v>
      </c>
      <c r="H95" s="164"/>
      <c r="I95" s="504"/>
      <c r="J95" s="34"/>
      <c r="K95" s="34"/>
    </row>
    <row r="96" spans="1:11" ht="12.75">
      <c r="A96" s="400" t="s">
        <v>308</v>
      </c>
      <c r="B96" s="125"/>
      <c r="C96" s="105"/>
      <c r="D96" s="6"/>
      <c r="E96" s="109"/>
      <c r="F96" s="6"/>
      <c r="G96" s="139"/>
      <c r="H96" s="164"/>
      <c r="I96" s="34"/>
      <c r="J96" s="34"/>
      <c r="K96" s="34"/>
    </row>
    <row r="97" spans="1:11" ht="13.5" thickBot="1">
      <c r="A97" s="152"/>
      <c r="B97" s="125"/>
      <c r="C97" s="105"/>
      <c r="D97" s="6"/>
      <c r="E97" s="109"/>
      <c r="F97" s="6"/>
      <c r="G97" s="139"/>
      <c r="H97" s="182"/>
      <c r="I97" s="34"/>
      <c r="J97" s="34"/>
      <c r="K97" s="34"/>
    </row>
    <row r="98" spans="1:11" ht="13.5" thickTop="1">
      <c r="A98" s="165"/>
      <c r="B98" s="124"/>
      <c r="C98" s="111"/>
      <c r="D98" s="7"/>
      <c r="E98" s="142"/>
      <c r="F98" s="7"/>
      <c r="G98" s="199"/>
      <c r="H98" s="164"/>
      <c r="I98" s="34"/>
      <c r="J98" s="34"/>
      <c r="K98" s="34"/>
    </row>
    <row r="99" spans="1:11" ht="12.75">
      <c r="A99" s="156" t="s">
        <v>305</v>
      </c>
      <c r="B99" s="123"/>
      <c r="C99" s="112"/>
      <c r="D99" s="3"/>
      <c r="E99" s="112"/>
      <c r="F99" s="3"/>
      <c r="G99" s="200"/>
      <c r="H99" s="164"/>
      <c r="I99" s="34"/>
      <c r="J99" s="34"/>
      <c r="K99" s="34"/>
    </row>
    <row r="100" spans="1:11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  <c r="I100" s="34"/>
      <c r="J100" s="34"/>
      <c r="K100" s="34"/>
    </row>
    <row r="101" spans="1:11" ht="12.75">
      <c r="A101" s="156" t="s">
        <v>346</v>
      </c>
      <c r="B101" s="123"/>
      <c r="C101" s="112"/>
      <c r="D101" s="3"/>
      <c r="E101" s="112"/>
      <c r="F101" s="37"/>
      <c r="G101" s="200"/>
      <c r="H101" s="164"/>
      <c r="I101" s="34"/>
      <c r="J101" s="34"/>
      <c r="K101" s="34"/>
    </row>
    <row r="102" spans="1:11" ht="12.75">
      <c r="A102" s="158" t="s">
        <v>56</v>
      </c>
      <c r="B102" s="127">
        <v>3</v>
      </c>
      <c r="C102" s="112"/>
      <c r="D102" s="3"/>
      <c r="E102" s="251">
        <f>E21</f>
        <v>13250</v>
      </c>
      <c r="F102" s="37"/>
      <c r="G102" s="201"/>
      <c r="H102" s="164"/>
      <c r="I102" s="34"/>
      <c r="J102" s="34"/>
      <c r="K102" s="34"/>
    </row>
    <row r="103" spans="1:11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  <c r="I103" s="34"/>
      <c r="J103" s="34"/>
      <c r="K103" s="34"/>
    </row>
    <row r="104" spans="1:11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  <c r="I104" s="34"/>
      <c r="J104" s="34"/>
      <c r="K104" s="34"/>
    </row>
    <row r="105" spans="1:11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  <c r="I105" s="34"/>
      <c r="J105" s="34"/>
      <c r="K105" s="34"/>
    </row>
    <row r="106" spans="1:11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  <c r="I106" s="34"/>
      <c r="J106" s="34"/>
      <c r="K106" s="34"/>
    </row>
    <row r="107" spans="1:11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  <c r="I107" s="34"/>
      <c r="J107" s="34"/>
      <c r="K107" s="34"/>
    </row>
    <row r="108" spans="1:11" ht="12.75">
      <c r="A108" s="156" t="s">
        <v>362</v>
      </c>
      <c r="B108" s="127"/>
      <c r="C108" s="112"/>
      <c r="D108" s="3"/>
      <c r="E108" s="30"/>
      <c r="F108" s="37"/>
      <c r="G108" s="201"/>
      <c r="H108" s="164"/>
      <c r="I108" s="34"/>
      <c r="J108" s="34"/>
      <c r="K108" s="34"/>
    </row>
    <row r="109" spans="1:11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  <c r="I109" s="34"/>
      <c r="J109" s="34"/>
      <c r="K109" s="34"/>
    </row>
    <row r="110" spans="1:11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  <c r="I110" s="34"/>
      <c r="J110" s="34"/>
      <c r="K110" s="34"/>
    </row>
    <row r="111" spans="1:11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  <c r="I111" s="34"/>
      <c r="J111" s="34"/>
      <c r="K111" s="34"/>
    </row>
    <row r="112" spans="1:11" ht="12.75">
      <c r="A112" s="155" t="s">
        <v>476</v>
      </c>
      <c r="B112" s="127">
        <v>11</v>
      </c>
      <c r="C112" s="112"/>
      <c r="D112" s="3"/>
      <c r="E112" s="467">
        <f>E206</f>
        <v>0</v>
      </c>
      <c r="F112" s="187"/>
      <c r="G112" s="201"/>
      <c r="H112" s="164"/>
      <c r="I112" s="34"/>
      <c r="J112" s="34"/>
      <c r="K112" s="34"/>
    </row>
    <row r="113" spans="1:11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  <c r="I113" s="34"/>
      <c r="J113" s="34"/>
      <c r="K113" s="34"/>
    </row>
    <row r="114" spans="1:11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  <c r="I114" s="34"/>
      <c r="J114" s="34"/>
      <c r="K114" s="34"/>
    </row>
    <row r="115" spans="1:11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  <c r="I115" s="34"/>
      <c r="J115" s="34"/>
      <c r="K115" s="34"/>
    </row>
    <row r="116" spans="1:11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  <c r="I116" s="34"/>
      <c r="J116" s="34"/>
      <c r="K116" s="34"/>
    </row>
    <row r="117" spans="1:11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  <c r="I117" s="34"/>
      <c r="J117" s="34"/>
      <c r="K117" s="34"/>
    </row>
    <row r="118" spans="1:11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  <c r="I118" s="34"/>
      <c r="J118" s="34"/>
      <c r="K118" s="34"/>
    </row>
    <row r="119" spans="1:11" ht="12.75">
      <c r="A119" s="158"/>
      <c r="B119" s="127"/>
      <c r="C119" s="112"/>
      <c r="D119" s="3"/>
      <c r="E119" s="110"/>
      <c r="F119" s="37"/>
      <c r="G119" s="201"/>
      <c r="H119" s="164"/>
      <c r="I119" s="34"/>
      <c r="J119" s="34"/>
      <c r="K119" s="34"/>
    </row>
    <row r="120" spans="1:11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13250</v>
      </c>
      <c r="F120" s="37"/>
      <c r="G120" s="201"/>
      <c r="H120" s="164"/>
      <c r="I120" s="34"/>
      <c r="J120" s="34"/>
      <c r="K120" s="34"/>
    </row>
    <row r="121" spans="1:11" ht="12.75">
      <c r="A121" s="152"/>
      <c r="B121" s="127"/>
      <c r="C121" s="112"/>
      <c r="D121" s="117"/>
      <c r="E121" s="110"/>
      <c r="F121" s="37"/>
      <c r="G121" s="201"/>
      <c r="H121" s="164"/>
      <c r="I121" s="34"/>
      <c r="J121" s="34"/>
      <c r="K121" s="34"/>
    </row>
    <row r="122" spans="1:11" ht="12.75">
      <c r="A122" s="157" t="s">
        <v>494</v>
      </c>
      <c r="B122" s="127"/>
      <c r="C122" s="506"/>
      <c r="D122" s="3" t="s">
        <v>231</v>
      </c>
      <c r="E122" s="505">
        <f>G53</f>
        <v>0.25826698767931566</v>
      </c>
      <c r="F122" s="465"/>
      <c r="G122" s="201" t="s">
        <v>102</v>
      </c>
      <c r="H122" s="164"/>
      <c r="I122" s="504"/>
      <c r="J122" s="34"/>
      <c r="K122" s="34"/>
    </row>
    <row r="123" spans="1:11" ht="12.75">
      <c r="A123" s="158"/>
      <c r="B123" s="127"/>
      <c r="C123" s="112"/>
      <c r="D123" s="3"/>
      <c r="E123" s="110"/>
      <c r="F123" s="37"/>
      <c r="G123" s="201" t="s">
        <v>102</v>
      </c>
      <c r="H123" s="164"/>
      <c r="I123" s="34"/>
      <c r="J123" s="34"/>
      <c r="K123" s="34"/>
    </row>
    <row r="124" spans="1:11" ht="12.75">
      <c r="A124" s="158" t="s">
        <v>246</v>
      </c>
      <c r="B124" s="127"/>
      <c r="C124" s="112"/>
      <c r="D124" s="3" t="s">
        <v>189</v>
      </c>
      <c r="E124" s="263">
        <f>E120*E122</f>
        <v>3422.0375867509324</v>
      </c>
      <c r="F124" s="37"/>
      <c r="G124" s="201"/>
      <c r="H124" s="164"/>
      <c r="I124" s="34"/>
      <c r="J124" s="34"/>
      <c r="K124" s="34"/>
    </row>
    <row r="125" spans="1:11" ht="12.75">
      <c r="A125" s="158"/>
      <c r="B125" s="127"/>
      <c r="C125" s="112"/>
      <c r="D125" s="3"/>
      <c r="E125" s="110"/>
      <c r="F125" s="37"/>
      <c r="G125" s="201"/>
      <c r="H125" s="164"/>
      <c r="I125" s="34"/>
      <c r="J125" s="34"/>
      <c r="K125" s="34"/>
    </row>
    <row r="126" spans="1:11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  <c r="I126" s="34"/>
      <c r="J126" s="34"/>
      <c r="K126" s="34"/>
    </row>
    <row r="127" spans="1:11" ht="12.75">
      <c r="A127" s="158"/>
      <c r="B127" s="127"/>
      <c r="C127" s="112"/>
      <c r="D127" s="3"/>
      <c r="E127" s="110"/>
      <c r="F127" s="37"/>
      <c r="G127" s="201"/>
      <c r="H127" s="164"/>
      <c r="I127" s="34"/>
      <c r="J127" s="34"/>
      <c r="K127" s="34"/>
    </row>
    <row r="128" spans="1:11" ht="12.75">
      <c r="A128" s="158" t="s">
        <v>117</v>
      </c>
      <c r="B128" s="127"/>
      <c r="C128" s="112"/>
      <c r="D128" s="3"/>
      <c r="E128" s="263">
        <f>E124-E126</f>
        <v>3422.0375867509324</v>
      </c>
      <c r="F128" s="37"/>
      <c r="G128" s="201"/>
      <c r="H128" s="164"/>
      <c r="I128" s="34"/>
      <c r="J128" s="34"/>
      <c r="K128" s="34"/>
    </row>
    <row r="129" spans="1:11" ht="12.75">
      <c r="A129" s="167"/>
      <c r="B129" s="127"/>
      <c r="C129" s="112"/>
      <c r="D129" s="3"/>
      <c r="E129" s="110"/>
      <c r="F129" s="37"/>
      <c r="G129" s="201"/>
      <c r="H129" s="164"/>
      <c r="I129" s="34"/>
      <c r="J129" s="34"/>
      <c r="K129" s="34"/>
    </row>
    <row r="130" spans="1:11" ht="12.75">
      <c r="A130" s="152" t="s">
        <v>196</v>
      </c>
      <c r="B130" s="127"/>
      <c r="C130" s="112"/>
      <c r="D130" s="3"/>
      <c r="E130" s="505">
        <f>E122-0.0112</f>
        <v>0.24706698767931567</v>
      </c>
      <c r="F130" s="37"/>
      <c r="G130" s="201"/>
      <c r="H130" s="164"/>
      <c r="I130" s="504"/>
      <c r="J130" s="34"/>
      <c r="K130" s="34"/>
    </row>
    <row r="131" spans="1:11" ht="12.75">
      <c r="A131" s="150"/>
      <c r="B131" s="127"/>
      <c r="C131" s="112"/>
      <c r="D131" s="3"/>
      <c r="E131" s="110"/>
      <c r="F131" s="37"/>
      <c r="G131" s="201"/>
      <c r="H131" s="164"/>
      <c r="I131" s="34"/>
      <c r="J131" s="34"/>
      <c r="K131" s="34"/>
    </row>
    <row r="132" spans="1:11" ht="12.75">
      <c r="A132" s="168" t="s">
        <v>352</v>
      </c>
      <c r="B132" s="130"/>
      <c r="C132" s="112"/>
      <c r="D132" s="3"/>
      <c r="E132" s="479">
        <f>E128/(1-E130)</f>
        <v>4544.942950772678</v>
      </c>
      <c r="F132" s="37"/>
      <c r="G132" s="201"/>
      <c r="H132" s="164"/>
      <c r="I132" s="504"/>
      <c r="J132" s="34"/>
      <c r="K132" s="34"/>
    </row>
    <row r="133" spans="1:11" ht="12.75">
      <c r="A133" s="168"/>
      <c r="B133" s="130"/>
      <c r="C133" s="112"/>
      <c r="D133" s="3"/>
      <c r="E133" s="107"/>
      <c r="F133" s="37"/>
      <c r="G133" s="201"/>
      <c r="H133" s="164"/>
      <c r="I133" s="34"/>
      <c r="J133" s="34"/>
      <c r="K133" s="34"/>
    </row>
    <row r="134" spans="1:11" ht="30">
      <c r="A134" s="169" t="s">
        <v>355</v>
      </c>
      <c r="B134" s="130"/>
      <c r="C134" s="112"/>
      <c r="D134" s="3"/>
      <c r="E134" s="107"/>
      <c r="F134" s="37"/>
      <c r="G134" s="201"/>
      <c r="H134" s="164"/>
      <c r="I134" s="34"/>
      <c r="J134" s="34"/>
      <c r="K134" s="34"/>
    </row>
    <row r="135" spans="1:11" ht="12.75">
      <c r="A135" s="170"/>
      <c r="B135" s="130"/>
      <c r="C135" s="112"/>
      <c r="D135" s="3"/>
      <c r="E135" s="107"/>
      <c r="F135" s="37"/>
      <c r="G135" s="201"/>
      <c r="H135" s="164"/>
      <c r="I135" s="34"/>
      <c r="J135" s="34"/>
      <c r="K135" s="34"/>
    </row>
    <row r="136" spans="1:11" ht="25.5">
      <c r="A136" s="171" t="s">
        <v>235</v>
      </c>
      <c r="B136" s="130"/>
      <c r="C136" s="112"/>
      <c r="D136" s="118" t="s">
        <v>189</v>
      </c>
      <c r="E136" s="301">
        <f>C50</f>
        <v>759051.6725000001</v>
      </c>
      <c r="F136" s="37"/>
      <c r="G136" s="201"/>
      <c r="H136" s="164"/>
      <c r="I136" s="34"/>
      <c r="J136" s="34"/>
      <c r="K136" s="34"/>
    </row>
    <row r="137" spans="1:11" ht="12.75">
      <c r="A137" s="171"/>
      <c r="B137" s="130"/>
      <c r="C137" s="112"/>
      <c r="D137" s="119"/>
      <c r="E137" s="145"/>
      <c r="F137" s="37"/>
      <c r="G137" s="201"/>
      <c r="H137" s="164"/>
      <c r="I137" s="34"/>
      <c r="J137" s="34"/>
      <c r="K137" s="34"/>
    </row>
    <row r="138" spans="1:11" ht="12.75">
      <c r="A138" s="171" t="s">
        <v>237</v>
      </c>
      <c r="B138" s="130"/>
      <c r="C138" s="112"/>
      <c r="D138" s="119" t="s">
        <v>231</v>
      </c>
      <c r="E138" s="505">
        <f>E122</f>
        <v>0.25826698767931566</v>
      </c>
      <c r="F138" s="197" t="s">
        <v>102</v>
      </c>
      <c r="G138" s="201"/>
      <c r="H138" s="164"/>
      <c r="I138" s="504"/>
      <c r="J138" s="34"/>
      <c r="K138" s="34"/>
    </row>
    <row r="139" spans="1:11" ht="12.75">
      <c r="A139" s="171"/>
      <c r="B139" s="130"/>
      <c r="C139" s="112"/>
      <c r="D139" s="119"/>
      <c r="E139" s="144"/>
      <c r="F139" s="37"/>
      <c r="G139" s="201"/>
      <c r="H139" s="164"/>
      <c r="I139" s="34"/>
      <c r="J139" s="34"/>
      <c r="K139" s="34"/>
    </row>
    <row r="140" spans="1:11" ht="12.75">
      <c r="A140" s="171" t="s">
        <v>229</v>
      </c>
      <c r="B140" s="130"/>
      <c r="C140" s="112"/>
      <c r="D140" s="118" t="s">
        <v>189</v>
      </c>
      <c r="E140" s="302">
        <f>IF(E136&gt;0,E136*E138,0)</f>
        <v>196037.98894952147</v>
      </c>
      <c r="F140" s="37"/>
      <c r="G140" s="201"/>
      <c r="H140" s="164"/>
      <c r="I140" s="34"/>
      <c r="J140" s="34"/>
      <c r="K140" s="34"/>
    </row>
    <row r="141" spans="1:11" ht="12.75">
      <c r="A141" s="171"/>
      <c r="B141" s="130"/>
      <c r="C141" s="112"/>
      <c r="D141" s="119"/>
      <c r="E141" s="144"/>
      <c r="F141" s="37"/>
      <c r="G141" s="201"/>
      <c r="H141" s="164"/>
      <c r="I141" s="34"/>
      <c r="J141" s="34"/>
      <c r="K141" s="34"/>
    </row>
    <row r="142" spans="1:11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  <c r="I142" s="34"/>
      <c r="J142" s="34"/>
      <c r="K142" s="34"/>
    </row>
    <row r="143" spans="1:11" ht="12.75">
      <c r="A143" s="171"/>
      <c r="B143" s="130"/>
      <c r="C143" s="112"/>
      <c r="D143" s="119"/>
      <c r="E143" s="144"/>
      <c r="F143" s="37"/>
      <c r="G143" s="201"/>
      <c r="H143" s="164"/>
      <c r="I143" s="34"/>
      <c r="J143" s="34"/>
      <c r="K143" s="34"/>
    </row>
    <row r="144" spans="1:11" ht="12.75">
      <c r="A144" s="171" t="s">
        <v>230</v>
      </c>
      <c r="B144" s="130"/>
      <c r="C144" s="112"/>
      <c r="D144" s="119" t="s">
        <v>189</v>
      </c>
      <c r="E144" s="301">
        <f>E140-E142</f>
        <v>196037.98894952147</v>
      </c>
      <c r="F144" s="37"/>
      <c r="G144" s="201"/>
      <c r="H144" s="164"/>
      <c r="I144" s="34"/>
      <c r="J144" s="34"/>
      <c r="K144" s="34"/>
    </row>
    <row r="145" spans="1:11" ht="12.75">
      <c r="A145" s="171"/>
      <c r="B145" s="130"/>
      <c r="C145" s="112"/>
      <c r="D145" s="119"/>
      <c r="E145" s="144"/>
      <c r="F145" s="37"/>
      <c r="G145" s="201"/>
      <c r="H145" s="164"/>
      <c r="I145" s="34"/>
      <c r="J145" s="34"/>
      <c r="K145" s="34"/>
    </row>
    <row r="146" spans="1:11" ht="25.5">
      <c r="A146" s="171" t="s">
        <v>239</v>
      </c>
      <c r="B146" s="130"/>
      <c r="C146" s="112"/>
      <c r="D146" s="118" t="s">
        <v>188</v>
      </c>
      <c r="E146" s="301">
        <f>C60</f>
        <v>208739.20993750004</v>
      </c>
      <c r="F146" s="37"/>
      <c r="G146" s="201"/>
      <c r="H146" s="164"/>
      <c r="I146" s="34"/>
      <c r="J146" s="34"/>
      <c r="K146" s="34"/>
    </row>
    <row r="147" spans="1:11" ht="12.75">
      <c r="A147" s="171"/>
      <c r="B147" s="130"/>
      <c r="C147" s="112"/>
      <c r="D147" s="119"/>
      <c r="E147" s="144"/>
      <c r="F147" s="37"/>
      <c r="G147" s="201"/>
      <c r="H147" s="164"/>
      <c r="I147" s="34"/>
      <c r="J147" s="34"/>
      <c r="K147" s="34"/>
    </row>
    <row r="148" spans="1:11" ht="12.75">
      <c r="A148" s="171" t="s">
        <v>232</v>
      </c>
      <c r="B148" s="130"/>
      <c r="C148" s="112"/>
      <c r="D148" s="118" t="s">
        <v>189</v>
      </c>
      <c r="E148" s="301">
        <f>E144-E146</f>
        <v>-12701.220987978566</v>
      </c>
      <c r="F148" s="37"/>
      <c r="G148" s="201"/>
      <c r="H148" s="164"/>
      <c r="I148" s="504"/>
      <c r="J148" s="34"/>
      <c r="K148" s="34"/>
    </row>
    <row r="149" spans="1:11" ht="12.75">
      <c r="A149" s="171"/>
      <c r="B149" s="130"/>
      <c r="C149" s="112"/>
      <c r="D149" s="119"/>
      <c r="E149" s="144"/>
      <c r="F149" s="37"/>
      <c r="G149" s="201"/>
      <c r="H149" s="164"/>
      <c r="I149" s="34"/>
      <c r="J149" s="34"/>
      <c r="K149" s="34"/>
    </row>
    <row r="150" spans="1:11" ht="12.75">
      <c r="A150" s="385" t="s">
        <v>20</v>
      </c>
      <c r="B150" s="130"/>
      <c r="C150" s="112"/>
      <c r="D150" s="119"/>
      <c r="E150" s="474"/>
      <c r="F150" s="37"/>
      <c r="G150" s="201"/>
      <c r="H150" s="164"/>
      <c r="I150" s="34"/>
      <c r="J150" s="34"/>
      <c r="K150" s="34"/>
    </row>
    <row r="151" spans="1:11" ht="12.75">
      <c r="A151" s="171" t="s">
        <v>17</v>
      </c>
      <c r="B151" s="130"/>
      <c r="C151" s="112"/>
      <c r="D151" s="119" t="s">
        <v>189</v>
      </c>
      <c r="E151" s="301">
        <f>C66</f>
        <v>13535678</v>
      </c>
      <c r="F151" s="37"/>
      <c r="G151" s="201"/>
      <c r="H151" s="164"/>
      <c r="I151" s="34"/>
      <c r="J151" s="34"/>
      <c r="K151" s="34"/>
    </row>
    <row r="152" spans="1:11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7500000</v>
      </c>
      <c r="F152" s="37"/>
      <c r="G152" s="201"/>
      <c r="H152" s="164"/>
      <c r="I152" s="34"/>
      <c r="J152" s="34"/>
      <c r="K152" s="34"/>
    </row>
    <row r="153" spans="1:11" ht="12.75">
      <c r="A153" s="171" t="s">
        <v>233</v>
      </c>
      <c r="B153" s="130"/>
      <c r="C153" s="112"/>
      <c r="D153" s="118" t="s">
        <v>189</v>
      </c>
      <c r="E153" s="301">
        <f>E151-E152</f>
        <v>6035678</v>
      </c>
      <c r="F153" s="37"/>
      <c r="G153" s="201"/>
      <c r="H153" s="164"/>
      <c r="I153" s="34"/>
      <c r="J153" s="34"/>
      <c r="K153" s="34"/>
    </row>
    <row r="154" spans="1:11" ht="12.75">
      <c r="A154" s="171"/>
      <c r="B154" s="130"/>
      <c r="C154" s="112"/>
      <c r="D154" s="119"/>
      <c r="E154" s="144"/>
      <c r="F154" s="37"/>
      <c r="G154" s="201"/>
      <c r="H154" s="164"/>
      <c r="I154" s="34"/>
      <c r="J154" s="34"/>
      <c r="K154" s="34"/>
    </row>
    <row r="155" spans="1:11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  <c r="I155" s="34"/>
      <c r="J155" s="34"/>
      <c r="K155" s="34"/>
    </row>
    <row r="156" spans="1:11" ht="12.75">
      <c r="A156" s="171"/>
      <c r="B156" s="130"/>
      <c r="C156" s="112"/>
      <c r="D156" s="119"/>
      <c r="E156" s="144"/>
      <c r="F156" s="37"/>
      <c r="G156" s="201"/>
      <c r="H156" s="164"/>
      <c r="I156" s="34"/>
      <c r="J156" s="34"/>
      <c r="K156" s="34"/>
    </row>
    <row r="157" spans="1:11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18107.034</v>
      </c>
      <c r="F157" s="37"/>
      <c r="G157" s="201"/>
      <c r="H157" s="164"/>
      <c r="I157" s="34"/>
      <c r="J157" s="34"/>
      <c r="K157" s="34"/>
    </row>
    <row r="158" spans="1:11" ht="25.5">
      <c r="A158" s="171" t="s">
        <v>309</v>
      </c>
      <c r="B158" s="130"/>
      <c r="C158" s="112"/>
      <c r="D158" s="118" t="s">
        <v>188</v>
      </c>
      <c r="E158" s="304">
        <f>C72</f>
        <v>18107.034</v>
      </c>
      <c r="F158" s="37"/>
      <c r="G158" s="201"/>
      <c r="H158" s="164"/>
      <c r="I158" s="34"/>
      <c r="J158" s="34"/>
      <c r="K158" s="34"/>
    </row>
    <row r="159" spans="1:11" ht="12.75" customHeight="1">
      <c r="A159" s="172" t="s">
        <v>244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  <c r="I159" s="504"/>
      <c r="J159" s="34"/>
      <c r="K159" s="34"/>
    </row>
    <row r="160" spans="1:11" ht="12.75">
      <c r="A160" s="171"/>
      <c r="B160" s="130"/>
      <c r="C160" s="112"/>
      <c r="D160" s="119"/>
      <c r="E160" s="144"/>
      <c r="F160" s="37"/>
      <c r="G160" s="201"/>
      <c r="H160" s="164"/>
      <c r="I160" s="34"/>
      <c r="J160" s="34"/>
      <c r="K160" s="34"/>
    </row>
    <row r="161" spans="1:11" ht="12.75">
      <c r="A161" s="385" t="s">
        <v>236</v>
      </c>
      <c r="B161" s="130"/>
      <c r="C161" s="112"/>
      <c r="D161" s="119"/>
      <c r="E161" s="303"/>
      <c r="F161" s="37"/>
      <c r="G161" s="201"/>
      <c r="H161" s="164"/>
      <c r="I161" s="34"/>
      <c r="J161" s="34"/>
      <c r="K161" s="34"/>
    </row>
    <row r="162" spans="1:11" ht="12.75">
      <c r="A162" s="171" t="s">
        <v>17</v>
      </c>
      <c r="B162" s="130"/>
      <c r="C162" s="112"/>
      <c r="D162" s="119"/>
      <c r="E162" s="301">
        <f>C75</f>
        <v>13535678</v>
      </c>
      <c r="F162" s="37"/>
      <c r="G162" s="201"/>
      <c r="H162" s="164"/>
      <c r="I162" s="34"/>
      <c r="J162" s="34"/>
      <c r="K162" s="34"/>
    </row>
    <row r="163" spans="1:11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  <c r="I163" s="34"/>
      <c r="J163" s="34"/>
      <c r="K163" s="34"/>
    </row>
    <row r="164" spans="1:11" ht="12.75">
      <c r="A164" s="171" t="s">
        <v>240</v>
      </c>
      <c r="B164" s="130"/>
      <c r="C164" s="112"/>
      <c r="D164" s="119" t="s">
        <v>189</v>
      </c>
      <c r="E164" s="301">
        <f>E162-E163</f>
        <v>-36464322</v>
      </c>
      <c r="F164" s="37"/>
      <c r="G164" s="201"/>
      <c r="H164" s="164"/>
      <c r="I164" s="34"/>
      <c r="J164" s="34"/>
      <c r="K164" s="34"/>
    </row>
    <row r="165" spans="1:11" ht="12.75">
      <c r="A165" s="171"/>
      <c r="B165" s="130"/>
      <c r="C165" s="112"/>
      <c r="D165" s="119"/>
      <c r="E165" s="144"/>
      <c r="F165" s="37"/>
      <c r="G165" s="201"/>
      <c r="H165" s="164"/>
      <c r="I165" s="34"/>
      <c r="J165" s="34"/>
      <c r="K165" s="34"/>
    </row>
    <row r="166" spans="1:11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  <c r="I166" s="504"/>
      <c r="J166" s="34"/>
      <c r="K166" s="34"/>
    </row>
    <row r="167" spans="1:11" ht="12.75">
      <c r="A167" s="171"/>
      <c r="B167" s="130"/>
      <c r="C167" s="112"/>
      <c r="D167" s="119"/>
      <c r="E167" s="144"/>
      <c r="F167" s="37"/>
      <c r="G167" s="201"/>
      <c r="H167" s="164"/>
      <c r="I167" s="34"/>
      <c r="J167" s="34"/>
      <c r="K167" s="34"/>
    </row>
    <row r="168" spans="1:11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  <c r="I168" s="34"/>
      <c r="J168" s="34"/>
      <c r="K168" s="34"/>
    </row>
    <row r="169" spans="1:11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  <c r="I169" s="34"/>
      <c r="J169" s="34"/>
      <c r="K169" s="34"/>
    </row>
    <row r="170" spans="1:11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  <c r="I170" s="34"/>
      <c r="J170" s="34"/>
      <c r="K170" s="34"/>
    </row>
    <row r="171" spans="1:11" ht="12.75">
      <c r="A171" s="171"/>
      <c r="B171" s="130"/>
      <c r="C171" s="112"/>
      <c r="D171" s="119"/>
      <c r="E171" s="241"/>
      <c r="F171" s="37"/>
      <c r="G171" s="201"/>
      <c r="H171" s="164"/>
      <c r="I171" s="34"/>
      <c r="J171" s="34"/>
      <c r="K171" s="34"/>
    </row>
    <row r="172" spans="1:11" ht="12.75">
      <c r="A172" s="411" t="s">
        <v>347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  <c r="I172" s="34"/>
      <c r="J172" s="34"/>
      <c r="K172" s="34"/>
    </row>
    <row r="173" spans="1:11" ht="12.75">
      <c r="A173" s="155" t="s">
        <v>245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  <c r="I173" s="34"/>
      <c r="J173" s="34"/>
      <c r="K173" s="34"/>
    </row>
    <row r="174" spans="1:11" ht="12.75">
      <c r="A174" s="155"/>
      <c r="B174" s="130"/>
      <c r="C174" s="112"/>
      <c r="D174" s="119"/>
      <c r="E174" s="144"/>
      <c r="F174" s="37"/>
      <c r="G174" s="201"/>
      <c r="H174" s="164"/>
      <c r="I174" s="34"/>
      <c r="J174" s="34"/>
      <c r="K174" s="34"/>
    </row>
    <row r="175" spans="1:11" ht="12.75">
      <c r="A175" s="155" t="s">
        <v>345</v>
      </c>
      <c r="B175" s="130"/>
      <c r="C175" s="112"/>
      <c r="D175" s="119"/>
      <c r="E175" s="505">
        <f>E122-0.0112</f>
        <v>0.24706698767931567</v>
      </c>
      <c r="F175" s="465"/>
      <c r="G175" s="201"/>
      <c r="H175" s="164"/>
      <c r="I175" s="504"/>
      <c r="J175" s="34"/>
      <c r="K175" s="34"/>
    </row>
    <row r="176" spans="1:11" ht="12.75">
      <c r="A176" s="155"/>
      <c r="B176" s="130"/>
      <c r="C176" s="112"/>
      <c r="D176" s="119"/>
      <c r="E176" s="144"/>
      <c r="F176" s="37"/>
      <c r="G176" s="201"/>
      <c r="H176" s="164"/>
      <c r="I176" s="34"/>
      <c r="J176" s="34"/>
      <c r="K176" s="34"/>
    </row>
    <row r="177" spans="1:11" ht="12.75">
      <c r="A177" s="168" t="s">
        <v>243</v>
      </c>
      <c r="B177" s="130"/>
      <c r="C177" s="112"/>
      <c r="D177" s="119" t="s">
        <v>187</v>
      </c>
      <c r="E177" s="301">
        <f>E148/(1-E175)</f>
        <v>-16868.992035335203</v>
      </c>
      <c r="F177" s="37"/>
      <c r="G177" s="201"/>
      <c r="H177" s="164"/>
      <c r="I177" s="504"/>
      <c r="J177" s="34"/>
      <c r="K177" s="34"/>
    </row>
    <row r="178" spans="1:11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0</v>
      </c>
      <c r="F178" s="37"/>
      <c r="G178" s="201"/>
      <c r="H178" s="164"/>
      <c r="I178" s="34"/>
      <c r="J178" s="34"/>
      <c r="K178" s="34"/>
    </row>
    <row r="179" spans="1:11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  <c r="I179" s="34"/>
      <c r="J179" s="34"/>
      <c r="K179" s="34"/>
    </row>
    <row r="180" spans="1:11" ht="12.75">
      <c r="A180" s="155"/>
      <c r="B180" s="130"/>
      <c r="C180" s="112"/>
      <c r="D180" s="119"/>
      <c r="E180" s="144"/>
      <c r="F180" s="37"/>
      <c r="G180" s="201"/>
      <c r="H180" s="164"/>
      <c r="I180" s="34"/>
      <c r="J180" s="34"/>
      <c r="K180" s="34"/>
    </row>
    <row r="181" spans="1:11" ht="12.75">
      <c r="A181" s="168" t="s">
        <v>353</v>
      </c>
      <c r="B181" s="130"/>
      <c r="C181" s="112"/>
      <c r="D181" s="119" t="s">
        <v>189</v>
      </c>
      <c r="E181" s="478">
        <f>SUM(E177:E179)</f>
        <v>-16868.992035335203</v>
      </c>
      <c r="F181" s="37"/>
      <c r="G181" s="201"/>
      <c r="H181" s="164"/>
      <c r="I181" s="34"/>
      <c r="J181" s="34"/>
      <c r="K181" s="34"/>
    </row>
    <row r="182" spans="1:11" ht="12.75">
      <c r="A182" s="155"/>
      <c r="B182" s="130"/>
      <c r="C182" s="112"/>
      <c r="D182" s="119"/>
      <c r="E182" s="144"/>
      <c r="F182" s="37"/>
      <c r="G182" s="201"/>
      <c r="H182" s="164"/>
      <c r="I182" s="34"/>
      <c r="J182" s="34"/>
      <c r="K182" s="34"/>
    </row>
    <row r="183" spans="1:11" ht="12.75">
      <c r="A183" s="168" t="s">
        <v>475</v>
      </c>
      <c r="B183" s="130"/>
      <c r="C183" s="112"/>
      <c r="D183" s="119" t="s">
        <v>187</v>
      </c>
      <c r="E183" s="478">
        <f>E132</f>
        <v>4544.942950772678</v>
      </c>
      <c r="F183" s="37" t="s">
        <v>102</v>
      </c>
      <c r="G183" s="201"/>
      <c r="H183" s="164"/>
      <c r="I183" s="504"/>
      <c r="J183" s="34"/>
      <c r="K183" s="34"/>
    </row>
    <row r="184" spans="1:11" ht="12.75">
      <c r="A184" s="168"/>
      <c r="B184" s="130"/>
      <c r="C184" s="112"/>
      <c r="D184" s="119"/>
      <c r="E184" s="144"/>
      <c r="F184" s="37"/>
      <c r="G184" s="201"/>
      <c r="H184" s="164"/>
      <c r="I184" s="34"/>
      <c r="J184" s="34"/>
      <c r="K184" s="34"/>
    </row>
    <row r="185" spans="1:11" ht="15">
      <c r="A185" s="173" t="s">
        <v>354</v>
      </c>
      <c r="B185" s="130"/>
      <c r="C185" s="112"/>
      <c r="D185" s="119" t="s">
        <v>189</v>
      </c>
      <c r="E185" s="478">
        <f>E181+E183</f>
        <v>-12324.049084562525</v>
      </c>
      <c r="F185" s="37"/>
      <c r="G185" s="201"/>
      <c r="H185" s="164"/>
      <c r="I185" s="504"/>
      <c r="J185" s="34"/>
      <c r="K185" s="34"/>
    </row>
    <row r="186" spans="1:11" ht="12.75">
      <c r="A186" s="162" t="s">
        <v>248</v>
      </c>
      <c r="B186" s="127"/>
      <c r="C186" s="112"/>
      <c r="D186" s="119"/>
      <c r="E186" s="146"/>
      <c r="F186" s="37"/>
      <c r="G186" s="201"/>
      <c r="H186" s="164"/>
      <c r="I186" s="34"/>
      <c r="J186" s="34"/>
      <c r="K186" s="34"/>
    </row>
    <row r="187" spans="1:11" ht="12.75">
      <c r="A187" s="162"/>
      <c r="B187" s="127"/>
      <c r="C187" s="112"/>
      <c r="D187" s="119"/>
      <c r="E187" s="147"/>
      <c r="F187" s="37"/>
      <c r="G187" s="201"/>
      <c r="H187" s="164"/>
      <c r="I187" s="34"/>
      <c r="J187" s="34"/>
      <c r="K187" s="34"/>
    </row>
    <row r="188" spans="1:11" ht="13.5" thickBot="1">
      <c r="A188" s="150"/>
      <c r="B188" s="127"/>
      <c r="C188" s="112"/>
      <c r="D188" s="119"/>
      <c r="E188" s="147"/>
      <c r="F188" s="37"/>
      <c r="G188" s="201"/>
      <c r="H188" s="164"/>
      <c r="I188" s="34"/>
      <c r="J188" s="34"/>
      <c r="K188" s="34"/>
    </row>
    <row r="189" spans="1:11" ht="13.5" thickTop="1">
      <c r="A189" s="174"/>
      <c r="B189" s="131"/>
      <c r="C189" s="113"/>
      <c r="D189" s="99"/>
      <c r="E189" s="148"/>
      <c r="F189" s="7"/>
      <c r="G189" s="124"/>
      <c r="H189" s="175"/>
      <c r="I189" s="34"/>
      <c r="J189" s="34"/>
      <c r="K189" s="34"/>
    </row>
    <row r="190" spans="1:11" ht="12.75">
      <c r="A190" s="168" t="s">
        <v>58</v>
      </c>
      <c r="B190" s="127"/>
      <c r="C190" s="114"/>
      <c r="D190" s="119"/>
      <c r="E190" s="146"/>
      <c r="F190" s="3"/>
      <c r="G190" s="123"/>
      <c r="H190" s="164"/>
      <c r="I190" s="34"/>
      <c r="J190" s="34"/>
      <c r="K190" s="34"/>
    </row>
    <row r="191" spans="1:11" ht="12.75">
      <c r="A191" s="154" t="s">
        <v>83</v>
      </c>
      <c r="B191" s="123"/>
      <c r="C191" s="115"/>
      <c r="D191" s="119"/>
      <c r="E191" s="147"/>
      <c r="F191" s="3"/>
      <c r="G191" s="123"/>
      <c r="H191" s="164"/>
      <c r="I191" s="34"/>
      <c r="J191" s="34"/>
      <c r="K191" s="34"/>
    </row>
    <row r="192" spans="1:11" ht="12.75">
      <c r="A192" s="154"/>
      <c r="B192" s="123"/>
      <c r="C192" s="115"/>
      <c r="D192" s="119"/>
      <c r="E192" s="147"/>
      <c r="F192" s="3"/>
      <c r="G192" s="123"/>
      <c r="H192" s="164"/>
      <c r="I192" s="34"/>
      <c r="J192" s="34"/>
      <c r="K192" s="34"/>
    </row>
    <row r="193" spans="1:11" ht="12.75">
      <c r="A193" s="155" t="s">
        <v>224</v>
      </c>
      <c r="B193" s="127"/>
      <c r="C193" s="112"/>
      <c r="D193" s="120"/>
      <c r="E193" s="307">
        <f>REGINFO!D62</f>
        <v>490668.32749999996</v>
      </c>
      <c r="F193" s="3"/>
      <c r="G193" s="123"/>
      <c r="H193" s="164"/>
      <c r="I193" s="34"/>
      <c r="J193" s="34"/>
      <c r="K193" s="34"/>
    </row>
    <row r="194" spans="1:11" ht="12.75">
      <c r="A194" s="155" t="s">
        <v>251</v>
      </c>
      <c r="B194" s="127"/>
      <c r="C194" s="112"/>
      <c r="D194" s="120"/>
      <c r="E194" s="307">
        <f>REGINFO!D66</f>
        <v>331370.2860478692</v>
      </c>
      <c r="F194" s="3"/>
      <c r="G194" s="123"/>
      <c r="H194" s="164"/>
      <c r="I194" s="504"/>
      <c r="J194" s="34"/>
      <c r="K194" s="34"/>
    </row>
    <row r="195" spans="1:11" ht="12.75">
      <c r="A195" s="155"/>
      <c r="B195" s="127"/>
      <c r="C195" s="112"/>
      <c r="D195" s="120"/>
      <c r="E195" s="149"/>
      <c r="F195" s="3"/>
      <c r="G195" s="123"/>
      <c r="H195" s="164"/>
      <c r="I195" s="34"/>
      <c r="J195" s="34"/>
      <c r="K195" s="34"/>
    </row>
    <row r="196" spans="1:11" ht="12.75">
      <c r="A196" s="155" t="s">
        <v>343</v>
      </c>
      <c r="B196" s="127"/>
      <c r="C196" s="112"/>
      <c r="D196" s="120"/>
      <c r="E196" s="307">
        <f>E193-E194</f>
        <v>159298.04145213077</v>
      </c>
      <c r="F196" s="3"/>
      <c r="G196" s="123"/>
      <c r="H196" s="164"/>
      <c r="I196" s="504"/>
      <c r="J196" s="34"/>
      <c r="K196" s="34"/>
    </row>
    <row r="197" spans="1:11" ht="12.75">
      <c r="A197" s="155" t="s">
        <v>344</v>
      </c>
      <c r="B197" s="127"/>
      <c r="C197" s="112"/>
      <c r="D197" s="120"/>
      <c r="E197" s="147"/>
      <c r="F197" s="3"/>
      <c r="G197" s="123"/>
      <c r="H197" s="164"/>
      <c r="I197" s="34"/>
      <c r="J197" s="34"/>
      <c r="K197" s="34"/>
    </row>
    <row r="198" spans="1:11" ht="12.75">
      <c r="A198" s="155"/>
      <c r="B198" s="127"/>
      <c r="C198" s="112"/>
      <c r="D198" s="120"/>
      <c r="E198" s="147"/>
      <c r="F198" s="3"/>
      <c r="G198" s="123"/>
      <c r="H198" s="164"/>
      <c r="I198" s="34"/>
      <c r="J198" s="34"/>
      <c r="K198" s="34"/>
    </row>
    <row r="199" spans="1:11" ht="12.75">
      <c r="A199" s="168" t="s">
        <v>257</v>
      </c>
      <c r="B199" s="127"/>
      <c r="C199" s="112"/>
      <c r="D199" s="120"/>
      <c r="E199" s="147"/>
      <c r="F199" s="3"/>
      <c r="G199" s="484"/>
      <c r="H199" s="164"/>
      <c r="I199" s="34"/>
      <c r="J199" s="34"/>
      <c r="K199" s="34"/>
    </row>
    <row r="200" spans="1:11" ht="12.75">
      <c r="A200" s="176" t="s">
        <v>85</v>
      </c>
      <c r="B200" s="127"/>
      <c r="C200" s="112"/>
      <c r="D200" s="120"/>
      <c r="E200" s="147"/>
      <c r="F200" s="3"/>
      <c r="G200" s="484"/>
      <c r="H200" s="164"/>
      <c r="I200" s="34"/>
      <c r="J200" s="34"/>
      <c r="K200" s="34"/>
    </row>
    <row r="201" spans="1:11" ht="12.75">
      <c r="A201" s="155" t="s">
        <v>252</v>
      </c>
      <c r="B201" s="127"/>
      <c r="C201" s="112"/>
      <c r="D201" s="120"/>
      <c r="E201" s="307">
        <f>G37+G42</f>
        <v>282018</v>
      </c>
      <c r="F201" s="3"/>
      <c r="G201" s="484"/>
      <c r="H201" s="164"/>
      <c r="I201" s="34"/>
      <c r="J201" s="34"/>
      <c r="K201" s="34"/>
    </row>
    <row r="202" spans="1:11" ht="12.75">
      <c r="A202" s="497" t="s">
        <v>503</v>
      </c>
      <c r="B202" s="127"/>
      <c r="C202" s="112"/>
      <c r="D202" s="120"/>
      <c r="E202" s="498">
        <f>E193</f>
        <v>490668.32749999996</v>
      </c>
      <c r="F202" s="3"/>
      <c r="G202" s="123"/>
      <c r="H202" s="164"/>
      <c r="I202" s="504"/>
      <c r="J202" s="34"/>
      <c r="K202" s="34"/>
    </row>
    <row r="203" spans="1:11" ht="12.75">
      <c r="A203" s="155"/>
      <c r="B203" s="127"/>
      <c r="C203" s="112"/>
      <c r="D203" s="120"/>
      <c r="E203" s="149"/>
      <c r="F203" s="3"/>
      <c r="G203" s="123"/>
      <c r="H203" s="164"/>
      <c r="I203" s="504"/>
      <c r="J203" s="34"/>
      <c r="K203" s="34"/>
    </row>
    <row r="204" spans="1:11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  <c r="I204" s="34"/>
      <c r="J204" s="34"/>
      <c r="K204" s="34"/>
    </row>
    <row r="205" spans="1:11" ht="12.75">
      <c r="A205" s="155"/>
      <c r="B205" s="127"/>
      <c r="C205" s="112"/>
      <c r="D205" s="120"/>
      <c r="E205" s="149"/>
      <c r="F205" s="3"/>
      <c r="G205" s="123"/>
      <c r="H205" s="164"/>
      <c r="I205" s="34"/>
      <c r="J205" s="34"/>
      <c r="K205" s="34"/>
    </row>
    <row r="206" spans="1:11" ht="12.75">
      <c r="A206" s="168" t="s">
        <v>477</v>
      </c>
      <c r="B206" s="127"/>
      <c r="C206" s="112"/>
      <c r="D206" s="120"/>
      <c r="E206" s="466">
        <f>IF((E201-E202)&gt;0,E201-E202,0)</f>
        <v>0</v>
      </c>
      <c r="F206" s="3"/>
      <c r="G206" s="123"/>
      <c r="H206" s="164"/>
      <c r="I206" s="34"/>
      <c r="J206" s="34"/>
      <c r="K206" s="34"/>
    </row>
    <row r="207" spans="1:11" ht="12.75">
      <c r="A207" s="155"/>
      <c r="B207" s="127"/>
      <c r="C207" s="112"/>
      <c r="D207" s="120"/>
      <c r="E207" s="149"/>
      <c r="F207" s="3"/>
      <c r="G207" s="123"/>
      <c r="H207" s="164"/>
      <c r="I207" s="34"/>
      <c r="J207" s="34"/>
      <c r="K207" s="34"/>
    </row>
    <row r="208" spans="1:11" ht="13.5" thickBot="1">
      <c r="A208" s="177" t="s">
        <v>225</v>
      </c>
      <c r="B208" s="178"/>
      <c r="C208" s="179"/>
      <c r="D208" s="180"/>
      <c r="E208" s="308">
        <f>+E196-E204</f>
        <v>159298.04145213077</v>
      </c>
      <c r="F208" s="74"/>
      <c r="G208" s="202"/>
      <c r="H208" s="181"/>
      <c r="I208" s="504"/>
      <c r="J208" s="34"/>
      <c r="K208" s="34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headerFooter alignWithMargins="0">
    <oddHeader>&amp;R&amp;9COLLUS Power Corp.
EB-2011-0161
Revised 2005 SIMPIL MOdel
Appendix N
Page &amp;P of &amp;N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">
      <selection activeCell="G14" sqref="G14:G1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EB-????-??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COLLUS Power Corp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1">
        <v>16920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0" t="s">
        <v>496</v>
      </c>
      <c r="D14" s="25"/>
      <c r="E14" s="25"/>
      <c r="F14" s="20"/>
      <c r="G14" s="511"/>
      <c r="H14" s="3"/>
      <c r="I14" s="3"/>
    </row>
    <row r="15" spans="1:9" ht="12.75">
      <c r="A15" s="2" t="s">
        <v>121</v>
      </c>
      <c r="B15" s="20" t="s">
        <v>64</v>
      </c>
      <c r="C15" s="490" t="s">
        <v>497</v>
      </c>
      <c r="D15" s="25"/>
      <c r="E15" s="25"/>
      <c r="F15" s="20"/>
      <c r="G15" s="512"/>
      <c r="H15" s="3"/>
      <c r="I15" s="3"/>
    </row>
    <row r="16" spans="1:9" ht="12.75">
      <c r="A16" s="298" t="s">
        <v>228</v>
      </c>
      <c r="B16" s="20" t="s">
        <v>64</v>
      </c>
      <c r="C16" s="490" t="s">
        <v>497</v>
      </c>
      <c r="D16" s="25"/>
      <c r="E16" s="25"/>
      <c r="F16" s="20"/>
      <c r="G16" s="512"/>
      <c r="H16" s="3"/>
      <c r="I16" s="3"/>
    </row>
    <row r="17" spans="1:7" ht="12.75">
      <c r="A17" s="2" t="s">
        <v>285</v>
      </c>
      <c r="B17" s="20" t="s">
        <v>64</v>
      </c>
      <c r="C17" s="490" t="s">
        <v>497</v>
      </c>
      <c r="E17" s="26"/>
      <c r="F17" s="8"/>
      <c r="G17" s="512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326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259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223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324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325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28376183</v>
      </c>
      <c r="D31" s="285"/>
      <c r="E31" s="283">
        <f>C31-D31</f>
        <v>28376183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3784679</v>
      </c>
      <c r="D32" s="285"/>
      <c r="E32" s="283">
        <f>C32-D32</f>
        <v>3784679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608233</v>
      </c>
      <c r="D33" s="285">
        <v>0</v>
      </c>
      <c r="E33" s="283">
        <f>C33-D33</f>
        <v>608233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28376183</v>
      </c>
      <c r="D39" s="285"/>
      <c r="E39" s="283">
        <f>C39-D39</f>
        <v>28376183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1288261-C51-C44</f>
        <v>996160</v>
      </c>
      <c r="D40" s="285"/>
      <c r="E40" s="283">
        <f aca="true" t="shared" si="0" ref="E40:E48">C40-D40</f>
        <v>996160</v>
      </c>
      <c r="F40" s="11"/>
      <c r="G40" s="480"/>
      <c r="H40" s="6"/>
      <c r="I40" s="6"/>
    </row>
    <row r="41" spans="1:9" ht="12.75">
      <c r="A41" s="4" t="s">
        <v>275</v>
      </c>
      <c r="B41" s="23" t="s">
        <v>188</v>
      </c>
      <c r="C41" s="284">
        <v>700465</v>
      </c>
      <c r="D41" s="285"/>
      <c r="E41" s="283">
        <f t="shared" si="0"/>
        <v>700465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1115667</v>
      </c>
      <c r="D42" s="285"/>
      <c r="E42" s="283">
        <f t="shared" si="0"/>
        <v>1115667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788853</v>
      </c>
      <c r="D43" s="285">
        <v>0</v>
      </c>
      <c r="E43" s="283">
        <f t="shared" si="0"/>
        <v>788853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10083</v>
      </c>
      <c r="D44" s="285"/>
      <c r="E44" s="283">
        <f t="shared" si="0"/>
        <v>10083</v>
      </c>
      <c r="F44" s="11"/>
      <c r="G44" s="11"/>
      <c r="H44" s="6"/>
      <c r="I44" s="6"/>
    </row>
    <row r="45" spans="1:11" ht="12.75">
      <c r="A45" s="4" t="s">
        <v>482</v>
      </c>
      <c r="B45" s="23" t="s">
        <v>188</v>
      </c>
      <c r="C45" s="284">
        <v>0</v>
      </c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493</v>
      </c>
      <c r="B46" s="23" t="s">
        <v>188</v>
      </c>
      <c r="C46" s="284">
        <v>0</v>
      </c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>
        <v>0</v>
      </c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781684</v>
      </c>
      <c r="D50" s="280">
        <f>SUM(D31:D36)-SUM(D39:D49)</f>
        <v>0</v>
      </c>
      <c r="E50" s="280">
        <f>SUM(E31:E35)-SUM(E39:E48)</f>
        <v>781684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282018</v>
      </c>
      <c r="D51" s="284"/>
      <c r="E51" s="281">
        <f>+C51-D51</f>
        <v>282018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136218</v>
      </c>
      <c r="D52" s="284"/>
      <c r="E52" s="282">
        <f>+C52-D52</f>
        <v>136218</v>
      </c>
      <c r="F52" s="8"/>
      <c r="G52" s="412" t="s">
        <v>474</v>
      </c>
    </row>
    <row r="53" spans="1:6" ht="12.75">
      <c r="A53" s="2" t="s">
        <v>131</v>
      </c>
      <c r="B53" s="8" t="s">
        <v>189</v>
      </c>
      <c r="C53" s="280">
        <f>C50-C51-C52</f>
        <v>363448</v>
      </c>
      <c r="D53" s="280">
        <f>D50-D51-D52</f>
        <v>0</v>
      </c>
      <c r="E53" s="280">
        <f>E50-E51-E52</f>
        <v>363448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136218</v>
      </c>
      <c r="D59" s="286">
        <f>D52</f>
        <v>0</v>
      </c>
      <c r="E59" s="271">
        <f>+C59-D59</f>
        <v>136218</v>
      </c>
      <c r="F59" s="8"/>
      <c r="G59" s="412" t="s">
        <v>474</v>
      </c>
    </row>
    <row r="60" spans="1:6" ht="12.75">
      <c r="A60" s="4" t="s">
        <v>327</v>
      </c>
      <c r="B60" s="8" t="s">
        <v>187</v>
      </c>
      <c r="C60" s="316">
        <v>0</v>
      </c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779103</f>
        <v>779103</v>
      </c>
      <c r="D61" s="286">
        <f>D43</f>
        <v>0</v>
      </c>
      <c r="E61" s="271">
        <f>+C61-D61</f>
        <v>779103</v>
      </c>
      <c r="F61" s="8"/>
      <c r="G61" s="412"/>
    </row>
    <row r="62" spans="1:6" ht="12.75">
      <c r="A62" t="s">
        <v>6</v>
      </c>
      <c r="B62" s="8" t="s">
        <v>187</v>
      </c>
      <c r="C62" s="316">
        <v>13250</v>
      </c>
      <c r="D62" s="286">
        <v>0</v>
      </c>
      <c r="E62" s="271">
        <f>+C62-D62</f>
        <v>13250</v>
      </c>
      <c r="F62" s="8"/>
    </row>
    <row r="63" spans="1:6" ht="12.75">
      <c r="A63" s="31" t="s">
        <v>279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3" t="s">
        <v>395</v>
      </c>
      <c r="B66" s="8"/>
      <c r="C66" s="443">
        <f>'TAXREC 3 No True-up'!C47</f>
        <v>37333</v>
      </c>
      <c r="D66" s="443">
        <f>'TAXREC 3 No True-up'!D47</f>
        <v>0</v>
      </c>
      <c r="E66" s="271">
        <f>+C66-D66</f>
        <v>37333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947</v>
      </c>
      <c r="D68" s="251">
        <f>'TAXREC 2'!D78</f>
        <v>0</v>
      </c>
      <c r="E68" s="271">
        <f>+C68-D68</f>
        <v>947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966851</v>
      </c>
      <c r="D70" s="271">
        <f>SUM(D59:D68)</f>
        <v>0</v>
      </c>
      <c r="E70" s="271">
        <f>SUM(E59:E68)</f>
        <v>966851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6">
        <v>0</v>
      </c>
      <c r="D76" s="293"/>
      <c r="E76" s="4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966851</v>
      </c>
      <c r="D82" s="251">
        <f>D70+D80</f>
        <v>0</v>
      </c>
      <c r="E82" s="251">
        <f>E70+E80</f>
        <v>966851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635718</v>
      </c>
      <c r="D97" s="293"/>
      <c r="E97" s="271">
        <f>+C97-D97</f>
        <v>635718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63041</v>
      </c>
      <c r="D98" s="293"/>
      <c r="E98" s="271">
        <f>+C98-D98</f>
        <v>63041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>
        <v>0</v>
      </c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3" t="s">
        <v>395</v>
      </c>
      <c r="B108" s="8"/>
      <c r="C108" s="254">
        <f>'TAXREC 3 No True-up'!C73</f>
        <v>190913</v>
      </c>
      <c r="D108" s="254">
        <f>'TAXREC 3 No True-up'!D73</f>
        <v>0</v>
      </c>
      <c r="E108" s="271">
        <f t="shared" si="5"/>
        <v>190913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2015</v>
      </c>
      <c r="D111" s="251">
        <f>'TAXREC 2'!D120</f>
        <v>0</v>
      </c>
      <c r="E111" s="251">
        <f>'TAXREC 2'!E120</f>
        <v>2015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891687</v>
      </c>
      <c r="D113" s="251">
        <f>SUM(D97:D111)</f>
        <v>0</v>
      </c>
      <c r="E113" s="251">
        <f>SUM(E97:E111)</f>
        <v>891687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891687</v>
      </c>
      <c r="D122" s="251">
        <f>D113+D120</f>
        <v>0</v>
      </c>
      <c r="E122" s="251">
        <f>+E113+E120</f>
        <v>891687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438612</v>
      </c>
      <c r="D134" s="251">
        <f>D53+D82-D122</f>
        <v>0</v>
      </c>
      <c r="E134" s="251">
        <f>E53+E82-E122</f>
        <v>438612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438612</v>
      </c>
      <c r="D139" s="252">
        <f>D134-D136-D137-D138</f>
        <v>0</v>
      </c>
      <c r="E139" s="252">
        <f>E134-E136-E137-E138</f>
        <v>438612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75124</v>
      </c>
      <c r="D142" s="297">
        <f>D139*C149</f>
        <v>0</v>
      </c>
      <c r="E142" s="252">
        <f>C142-D142</f>
        <v>75124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38155</v>
      </c>
      <c r="D143" s="297">
        <f>D139*C150</f>
        <v>0</v>
      </c>
      <c r="E143" s="291">
        <f>C143-D143</f>
        <v>38155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113279</v>
      </c>
      <c r="D144" s="252">
        <f>D142+D143</f>
        <v>0</v>
      </c>
      <c r="E144" s="252">
        <f>E142+E143</f>
        <v>113279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2">
        <f>C144-C145</f>
        <v>113279</v>
      </c>
      <c r="D146" s="252">
        <f>D144-D145</f>
        <v>0</v>
      </c>
      <c r="E146" s="252">
        <f>E144-E145</f>
        <v>113279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510"/>
      <c r="C149" s="401">
        <f>C142/C139</f>
        <v>0.1712766636571731</v>
      </c>
      <c r="D149" s="5"/>
      <c r="E149" s="402">
        <f>C149</f>
        <v>0.1712766636571731</v>
      </c>
      <c r="F149" s="8"/>
      <c r="G149" s="477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510"/>
      <c r="C150" s="401">
        <f>C143/C139</f>
        <v>0.08699032402214257</v>
      </c>
      <c r="D150" s="5"/>
      <c r="E150" s="402">
        <f>C150</f>
        <v>0.08699032402214257</v>
      </c>
      <c r="F150" s="8"/>
      <c r="G150" s="477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2">
        <f>SUM(C149:C150)</f>
        <v>0.25826698767931566</v>
      </c>
      <c r="D151" s="5"/>
      <c r="E151" s="402">
        <f>SUM(E149:E150)</f>
        <v>0.25826698767931566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6" t="s">
        <v>187</v>
      </c>
      <c r="C156" s="251">
        <f>C146</f>
        <v>113279</v>
      </c>
      <c r="D156" s="251">
        <f>D146</f>
        <v>0</v>
      </c>
      <c r="E156" s="251">
        <f>E146</f>
        <v>113279</v>
      </c>
    </row>
    <row r="157" spans="1:7" ht="12.75">
      <c r="A157" t="s">
        <v>20</v>
      </c>
      <c r="B157" s="86" t="s">
        <v>187</v>
      </c>
      <c r="C157" s="473">
        <v>10083</v>
      </c>
      <c r="D157" s="251"/>
      <c r="E157" s="251">
        <f>C157+D157</f>
        <v>10083</v>
      </c>
      <c r="G157" s="504"/>
    </row>
    <row r="158" spans="1:7" ht="12.75">
      <c r="A158" t="s">
        <v>218</v>
      </c>
      <c r="B158" s="86" t="s">
        <v>187</v>
      </c>
      <c r="C158" s="473">
        <v>0</v>
      </c>
      <c r="D158" s="251"/>
      <c r="E158" s="251">
        <f>C158+D158</f>
        <v>0</v>
      </c>
      <c r="G158" s="504"/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123362</v>
      </c>
      <c r="D160" s="251">
        <f>D156+D157+D158</f>
        <v>0</v>
      </c>
      <c r="E160" s="251">
        <f>E156+E157+E158</f>
        <v>123362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G14" sqref="G14:G3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EB-????-??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COLLUS Power Corp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>
        <v>0</v>
      </c>
      <c r="D14" s="293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>
        <v>0</v>
      </c>
      <c r="D26" s="293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>
        <v>0</v>
      </c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>
        <v>0</v>
      </c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449</v>
      </c>
      <c r="B47" s="61"/>
      <c r="C47" s="293"/>
      <c r="D47" s="293"/>
      <c r="E47" s="251">
        <f t="shared" si="2"/>
        <v>0</v>
      </c>
    </row>
    <row r="48" spans="1:5" ht="12.75">
      <c r="A48" s="61" t="s">
        <v>449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>
        <v>0</v>
      </c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449</v>
      </c>
      <c r="B59" s="61"/>
      <c r="C59" s="293"/>
      <c r="D59" s="293"/>
      <c r="E59" s="251">
        <f t="shared" si="3"/>
        <v>0</v>
      </c>
    </row>
    <row r="60" spans="1:5" ht="12.75">
      <c r="A60" s="61" t="s">
        <v>449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55" sqref="C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EB-????-??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466</v>
      </c>
      <c r="B5" s="8"/>
      <c r="C5" s="8" t="s">
        <v>2</v>
      </c>
      <c r="D5" s="8"/>
      <c r="E5" s="8"/>
      <c r="F5" s="8"/>
    </row>
    <row r="6" spans="1:6" ht="12.75">
      <c r="A6" s="412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COLLUS Power Corp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2">
        <f>TAXREC!C13</f>
        <v>16920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493" t="s">
        <v>498</v>
      </c>
      <c r="B17" t="s">
        <v>187</v>
      </c>
      <c r="C17" s="294">
        <v>0</v>
      </c>
      <c r="D17" s="294"/>
      <c r="E17" s="311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450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471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493" t="s">
        <v>499</v>
      </c>
      <c r="B41" t="s">
        <v>187</v>
      </c>
      <c r="C41" s="293">
        <v>947</v>
      </c>
      <c r="D41" s="293"/>
      <c r="E41" s="251">
        <f t="shared" si="0"/>
        <v>947</v>
      </c>
    </row>
    <row r="42" spans="1:5" ht="12.75">
      <c r="A42" s="492"/>
      <c r="B42" t="s">
        <v>187</v>
      </c>
      <c r="C42" s="293">
        <v>0</v>
      </c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947</v>
      </c>
      <c r="D46" s="251">
        <f>SUM(D17:D45)</f>
        <v>0</v>
      </c>
      <c r="E46" s="251">
        <f>SUM(E17:E45)</f>
        <v>947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203</v>
      </c>
      <c r="B78" s="276"/>
      <c r="C78" s="313">
        <f>C46-C77</f>
        <v>947</v>
      </c>
      <c r="D78" s="313">
        <f>D46-D77</f>
        <v>0</v>
      </c>
      <c r="E78" s="313">
        <f>E46-E77</f>
        <v>947</v>
      </c>
    </row>
    <row r="79" spans="1:5" ht="12.75">
      <c r="A79" s="275" t="s">
        <v>170</v>
      </c>
      <c r="B79" s="276"/>
      <c r="C79" s="313">
        <f>C77+C78</f>
        <v>947</v>
      </c>
      <c r="D79" s="313">
        <f>D77+D78</f>
        <v>0</v>
      </c>
      <c r="E79" s="313">
        <f>E77+E78</f>
        <v>947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>
        <v>2015</v>
      </c>
      <c r="D82" s="293"/>
      <c r="E82" s="251">
        <f>C82-D82</f>
        <v>2015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>
        <v>0</v>
      </c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472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2015</v>
      </c>
      <c r="D99" s="251">
        <f>SUM(D82:D98)</f>
        <v>0</v>
      </c>
      <c r="E99" s="251">
        <f>SUM(E82:E98)</f>
        <v>2015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2015</v>
      </c>
      <c r="D120" s="251">
        <f>D99-D119</f>
        <v>0</v>
      </c>
      <c r="E120" s="251">
        <f>E99-E119</f>
        <v>2015</v>
      </c>
    </row>
    <row r="121" spans="1:5" ht="12.75">
      <c r="A121" s="277" t="s">
        <v>171</v>
      </c>
      <c r="B121" s="272"/>
      <c r="C121" s="251">
        <f>C119+C120</f>
        <v>2015</v>
      </c>
      <c r="D121" s="251">
        <f>D119+D120</f>
        <v>0</v>
      </c>
      <c r="E121" s="251">
        <f>E119+E120</f>
        <v>2015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44" sqref="A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EB-????-??</v>
      </c>
    </row>
    <row r="3" spans="1:5" ht="12.75">
      <c r="A3" s="2" t="s">
        <v>385</v>
      </c>
      <c r="E3" s="92"/>
    </row>
    <row r="4" spans="1:6" ht="15.75">
      <c r="A4" s="460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2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COLLUS Power Corp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391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455</v>
      </c>
      <c r="B24" t="s">
        <v>187</v>
      </c>
      <c r="C24" s="294">
        <v>0</v>
      </c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433</v>
      </c>
      <c r="B32" t="s">
        <v>187</v>
      </c>
      <c r="C32" s="294">
        <v>0</v>
      </c>
      <c r="D32" s="294"/>
      <c r="E32" s="311">
        <f t="shared" si="0"/>
        <v>0</v>
      </c>
    </row>
    <row r="33" spans="1:5" ht="12.75">
      <c r="A33" s="67" t="s">
        <v>434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452</v>
      </c>
      <c r="C35" s="294">
        <v>0</v>
      </c>
      <c r="D35" s="294"/>
      <c r="E35" s="311">
        <f t="shared" si="0"/>
        <v>0</v>
      </c>
    </row>
    <row r="36" spans="1:5" ht="12.75">
      <c r="A36" s="67" t="s">
        <v>435</v>
      </c>
      <c r="C36" s="294"/>
      <c r="D36" s="294"/>
      <c r="E36" s="311">
        <f t="shared" si="0"/>
        <v>0</v>
      </c>
    </row>
    <row r="37" spans="1:5" ht="12.75">
      <c r="A37" s="67" t="s">
        <v>436</v>
      </c>
      <c r="C37" s="294"/>
      <c r="D37" s="294"/>
      <c r="E37" s="311">
        <f t="shared" si="0"/>
        <v>0</v>
      </c>
    </row>
    <row r="38" spans="1:5" ht="12.75">
      <c r="A38" s="81" t="s">
        <v>393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81" t="s">
        <v>387</v>
      </c>
      <c r="B40" t="s">
        <v>187</v>
      </c>
      <c r="C40" s="294">
        <v>0</v>
      </c>
      <c r="D40" s="294"/>
      <c r="E40" s="311">
        <f t="shared" si="0"/>
        <v>0</v>
      </c>
    </row>
    <row r="41" spans="1:5" ht="12.75">
      <c r="A41" s="67" t="s">
        <v>458</v>
      </c>
      <c r="B41" t="s">
        <v>187</v>
      </c>
      <c r="C41" s="294"/>
      <c r="D41" s="294"/>
      <c r="E41" s="311">
        <f t="shared" si="0"/>
        <v>0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1">
        <f t="shared" si="0"/>
        <v>0</v>
      </c>
    </row>
    <row r="44" spans="1:5" ht="12.75">
      <c r="A44" s="492" t="s">
        <v>500</v>
      </c>
      <c r="B44" t="s">
        <v>187</v>
      </c>
      <c r="C44" s="293">
        <v>37333</v>
      </c>
      <c r="D44" s="293"/>
      <c r="E44" s="251">
        <f t="shared" si="0"/>
        <v>37333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6" t="s">
        <v>397</v>
      </c>
      <c r="B47" t="s">
        <v>189</v>
      </c>
      <c r="C47" s="251">
        <f>SUM(C19:C46)</f>
        <v>37333</v>
      </c>
      <c r="D47" s="251">
        <f>SUM(D19:D46)</f>
        <v>0</v>
      </c>
      <c r="E47" s="251">
        <f>SUM(E19:E46)</f>
        <v>37333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293">
        <v>0</v>
      </c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>
        <v>0</v>
      </c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4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4" t="s">
        <v>387</v>
      </c>
      <c r="B62" s="8" t="s">
        <v>188</v>
      </c>
      <c r="C62" s="293">
        <v>0</v>
      </c>
      <c r="D62" s="293"/>
      <c r="E62" s="251">
        <f aca="true" t="shared" si="2" ref="E62:E72">C62-D62</f>
        <v>0</v>
      </c>
    </row>
    <row r="63" spans="1:5" ht="12.75">
      <c r="A63" s="496" t="s">
        <v>501</v>
      </c>
      <c r="B63" s="8" t="s">
        <v>188</v>
      </c>
      <c r="C63" s="293">
        <v>190913</v>
      </c>
      <c r="D63" s="293"/>
      <c r="E63" s="251">
        <f t="shared" si="2"/>
        <v>190913</v>
      </c>
    </row>
    <row r="64" spans="2:5" ht="12.75"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5" t="s">
        <v>396</v>
      </c>
      <c r="B73" s="8" t="s">
        <v>189</v>
      </c>
      <c r="C73" s="251">
        <f>SUM(C51:C72)</f>
        <v>190913</v>
      </c>
      <c r="D73" s="251">
        <f>SUM(D51:D72)</f>
        <v>0</v>
      </c>
      <c r="E73" s="251">
        <f>SUM(E51:E72)</f>
        <v>190913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D54" sqref="D5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3.00390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EB-????-??</v>
      </c>
      <c r="B1" s="384"/>
      <c r="C1" s="341"/>
      <c r="D1" s="341"/>
      <c r="E1" s="341"/>
      <c r="F1" s="341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2" t="s">
        <v>307</v>
      </c>
      <c r="B3" s="341"/>
      <c r="C3" s="341"/>
      <c r="D3" s="341"/>
      <c r="E3" s="341"/>
      <c r="F3" s="343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COLLUS Power Corp</v>
      </c>
      <c r="B4" s="341"/>
      <c r="C4" s="341"/>
      <c r="D4" s="341"/>
      <c r="E4" s="341"/>
      <c r="F4" s="341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1"/>
      <c r="C5" s="341"/>
      <c r="D5" s="341"/>
      <c r="E5" s="341"/>
      <c r="F5" s="341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2"/>
      <c r="B7" s="341"/>
      <c r="C7" s="341"/>
      <c r="D7" s="341"/>
      <c r="E7" s="341"/>
      <c r="F7" s="407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3" t="s">
        <v>483</v>
      </c>
      <c r="B8" s="524"/>
      <c r="C8" s="524"/>
      <c r="D8" s="524"/>
      <c r="E8" s="341"/>
      <c r="F8" s="38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400001</v>
      </c>
      <c r="F9" s="373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0" t="s">
        <v>485</v>
      </c>
      <c r="B10" s="325"/>
      <c r="C10" s="374" t="s">
        <v>111</v>
      </c>
      <c r="D10" s="374"/>
      <c r="E10" s="374" t="s">
        <v>111</v>
      </c>
      <c r="F10" s="375" t="s">
        <v>479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0"/>
      <c r="B11" s="325" t="s">
        <v>116</v>
      </c>
      <c r="C11" s="376">
        <v>400000</v>
      </c>
      <c r="D11" s="376"/>
      <c r="E11" s="376">
        <v>1128000</v>
      </c>
      <c r="F11" s="377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1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2" t="s">
        <v>300</v>
      </c>
      <c r="B13" s="406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2" t="s">
        <v>299</v>
      </c>
      <c r="B14" s="245"/>
      <c r="C14" s="326">
        <v>0.1312</v>
      </c>
      <c r="D14" s="326"/>
      <c r="E14" s="327">
        <v>0.1775</v>
      </c>
      <c r="F14" s="327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2" t="s">
        <v>304</v>
      </c>
      <c r="B15" s="245"/>
      <c r="C15" s="328">
        <v>0.055</v>
      </c>
      <c r="D15" s="328"/>
      <c r="E15" s="329">
        <v>0.0975</v>
      </c>
      <c r="F15" s="329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2" t="s">
        <v>260</v>
      </c>
      <c r="B16" s="245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2"/>
      <c r="B17" s="245"/>
      <c r="C17" s="326"/>
      <c r="D17" s="326"/>
      <c r="E17" s="327"/>
      <c r="F17" s="327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1" t="s">
        <v>109</v>
      </c>
      <c r="B18" s="244"/>
      <c r="C18" s="332">
        <v>0.003</v>
      </c>
      <c r="D18" s="326"/>
      <c r="E18" s="327"/>
      <c r="F18" s="327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1" t="s">
        <v>110</v>
      </c>
      <c r="B19" s="238"/>
      <c r="C19" s="333">
        <v>0.00175</v>
      </c>
      <c r="D19" s="334"/>
      <c r="E19" s="335"/>
      <c r="F19" s="335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1" t="s">
        <v>113</v>
      </c>
      <c r="B20" s="238"/>
      <c r="C20" s="334">
        <v>0.0112</v>
      </c>
      <c r="D20" s="336"/>
      <c r="E20" s="337"/>
      <c r="F20" s="337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3" t="s">
        <v>332</v>
      </c>
      <c r="B21" s="403" t="s">
        <v>484</v>
      </c>
      <c r="C21" s="360">
        <v>7500000</v>
      </c>
      <c r="D21" s="336"/>
      <c r="E21" s="337"/>
      <c r="F21" s="337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3" t="s">
        <v>333</v>
      </c>
      <c r="B22" s="404" t="s">
        <v>478</v>
      </c>
      <c r="C22" s="361">
        <v>50000000</v>
      </c>
      <c r="D22" s="338"/>
      <c r="E22" s="339"/>
      <c r="F22" s="339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7" t="s">
        <v>490</v>
      </c>
      <c r="B23" s="518"/>
      <c r="C23" s="518"/>
      <c r="D23" s="518"/>
      <c r="E23" s="518"/>
      <c r="F23" s="518"/>
      <c r="G23" s="435"/>
      <c r="H23" s="417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8"/>
      <c r="B24" s="409"/>
      <c r="C24" s="409"/>
      <c r="D24" s="409"/>
      <c r="E24" s="409"/>
      <c r="F24" s="409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8"/>
      <c r="B25" s="379"/>
      <c r="C25" s="382"/>
      <c r="D25" s="341"/>
      <c r="E25" s="341"/>
      <c r="F25" s="407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3" t="s">
        <v>486</v>
      </c>
      <c r="B26" s="524"/>
      <c r="C26" s="524"/>
      <c r="D26" s="524"/>
      <c r="E26" s="524"/>
      <c r="F26" s="52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19" t="s">
        <v>112</v>
      </c>
      <c r="B27" s="324"/>
      <c r="C27" s="366">
        <v>0</v>
      </c>
      <c r="D27" s="366">
        <v>250001</v>
      </c>
      <c r="E27" s="366">
        <v>400001</v>
      </c>
      <c r="F27" s="367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0" t="s">
        <v>441</v>
      </c>
      <c r="B28" s="325"/>
      <c r="C28" s="368" t="s">
        <v>111</v>
      </c>
      <c r="D28" s="368" t="s">
        <v>111</v>
      </c>
      <c r="E28" s="368" t="s">
        <v>111</v>
      </c>
      <c r="F28" s="369" t="s">
        <v>479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0"/>
      <c r="B29" s="325" t="s">
        <v>116</v>
      </c>
      <c r="C29" s="370">
        <v>250000</v>
      </c>
      <c r="D29" s="370">
        <v>400000</v>
      </c>
      <c r="E29" s="370">
        <v>1128000</v>
      </c>
      <c r="F29" s="371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1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2" t="s">
        <v>115</v>
      </c>
      <c r="B31" s="406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2" t="s">
        <v>299</v>
      </c>
      <c r="B32" s="406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2" t="s">
        <v>29</v>
      </c>
      <c r="B33" s="406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2" t="s">
        <v>260</v>
      </c>
      <c r="B34" s="406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2"/>
      <c r="B35" s="245"/>
      <c r="C35" s="326"/>
      <c r="D35" s="326"/>
      <c r="E35" s="327"/>
      <c r="F35" s="327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1" t="s">
        <v>109</v>
      </c>
      <c r="B36" s="406">
        <v>2005</v>
      </c>
      <c r="C36" s="332">
        <v>0.003</v>
      </c>
      <c r="D36" s="326"/>
      <c r="E36" s="327"/>
      <c r="F36" s="327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1" t="s">
        <v>110</v>
      </c>
      <c r="B37" s="406">
        <v>2005</v>
      </c>
      <c r="C37" s="333">
        <v>0.002</v>
      </c>
      <c r="D37" s="334"/>
      <c r="E37" s="335"/>
      <c r="F37" s="335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1" t="s">
        <v>113</v>
      </c>
      <c r="B38" s="406">
        <v>2005</v>
      </c>
      <c r="C38" s="334">
        <v>0.0112</v>
      </c>
      <c r="D38" s="336"/>
      <c r="E38" s="337"/>
      <c r="F38" s="337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3" t="s">
        <v>488</v>
      </c>
      <c r="B39" s="403" t="s">
        <v>484</v>
      </c>
      <c r="C39" s="360">
        <v>7500000</v>
      </c>
      <c r="D39" s="336"/>
      <c r="E39" s="337"/>
      <c r="F39" s="337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3" t="s">
        <v>489</v>
      </c>
      <c r="B40" s="404" t="s">
        <v>478</v>
      </c>
      <c r="C40" s="361">
        <v>50000000</v>
      </c>
      <c r="D40" s="338"/>
      <c r="E40" s="339"/>
      <c r="F40" s="339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9" t="s">
        <v>335</v>
      </c>
      <c r="B41" s="518"/>
      <c r="C41" s="518"/>
      <c r="D41" s="518"/>
      <c r="E41" s="518"/>
      <c r="F41" s="51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0"/>
      <c r="B42" s="520"/>
      <c r="C42" s="520"/>
      <c r="D42" s="520"/>
      <c r="E42" s="520"/>
      <c r="F42" s="52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8"/>
      <c r="B43" s="379"/>
      <c r="C43" s="380"/>
      <c r="D43" s="379"/>
      <c r="E43" s="379"/>
      <c r="F43" s="407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5" t="s">
        <v>487</v>
      </c>
      <c r="B44" s="364"/>
      <c r="C44" s="365"/>
      <c r="D44" s="364"/>
      <c r="E44" s="341"/>
      <c r="F44" s="381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19" t="s">
        <v>112</v>
      </c>
      <c r="B45" s="324"/>
      <c r="C45" s="366">
        <v>0</v>
      </c>
      <c r="D45" s="366">
        <v>250001</v>
      </c>
      <c r="E45" s="366">
        <v>400001</v>
      </c>
      <c r="F45" s="367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0"/>
      <c r="B46" s="325"/>
      <c r="C46" s="368" t="s">
        <v>111</v>
      </c>
      <c r="D46" s="368" t="s">
        <v>111</v>
      </c>
      <c r="E46" s="368" t="s">
        <v>111</v>
      </c>
      <c r="F46" s="369" t="s">
        <v>479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0"/>
      <c r="B47" s="340" t="s">
        <v>116</v>
      </c>
      <c r="C47" s="370">
        <v>250000</v>
      </c>
      <c r="D47" s="370">
        <v>400000</v>
      </c>
      <c r="E47" s="370">
        <v>1128000</v>
      </c>
      <c r="F47" s="371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1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2" t="s">
        <v>115</v>
      </c>
      <c r="B49" s="406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2" t="s">
        <v>299</v>
      </c>
      <c r="B50" s="245"/>
      <c r="C50" s="350">
        <v>0.1312</v>
      </c>
      <c r="D50" s="513">
        <f>TAXREC!C149</f>
        <v>0.1712766636571731</v>
      </c>
      <c r="E50" s="351">
        <v>0.2212</v>
      </c>
      <c r="F50" s="351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2" t="s">
        <v>29</v>
      </c>
      <c r="B51" s="245"/>
      <c r="C51" s="352">
        <v>0.055</v>
      </c>
      <c r="D51" s="514">
        <f>TAXREC!C150</f>
        <v>0.08699032402214257</v>
      </c>
      <c r="E51" s="353">
        <v>0.14</v>
      </c>
      <c r="F51" s="353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2" t="s">
        <v>260</v>
      </c>
      <c r="B52" s="245"/>
      <c r="C52" s="330">
        <f>SUM(C50:C51)</f>
        <v>0.1862</v>
      </c>
      <c r="D52" s="330">
        <f>SUM(D50:D51)</f>
        <v>0.25826698767931566</v>
      </c>
      <c r="E52" s="331">
        <f>SUM(E50:E51)</f>
        <v>0.3612</v>
      </c>
      <c r="F52" s="331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2"/>
      <c r="B53" s="245"/>
      <c r="C53" s="350"/>
      <c r="D53" s="350"/>
      <c r="E53" s="351"/>
      <c r="F53" s="351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1" t="s">
        <v>109</v>
      </c>
      <c r="B54" s="244"/>
      <c r="C54" s="354">
        <v>0.003</v>
      </c>
      <c r="D54" s="350"/>
      <c r="E54" s="351"/>
      <c r="F54" s="351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1" t="s">
        <v>110</v>
      </c>
      <c r="B55" s="238"/>
      <c r="C55" s="355">
        <v>0.002</v>
      </c>
      <c r="D55" s="356"/>
      <c r="E55" s="357"/>
      <c r="F55" s="357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1" t="s">
        <v>113</v>
      </c>
      <c r="B56" s="238"/>
      <c r="C56" s="356">
        <v>0.0112</v>
      </c>
      <c r="D56" s="358"/>
      <c r="E56" s="359"/>
      <c r="F56" s="359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3" t="s">
        <v>349</v>
      </c>
      <c r="B57" s="403" t="s">
        <v>484</v>
      </c>
      <c r="C57" s="360">
        <v>7411719</v>
      </c>
      <c r="D57" s="358"/>
      <c r="E57" s="359"/>
      <c r="F57" s="359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3" t="s">
        <v>350</v>
      </c>
      <c r="B58" s="404" t="s">
        <v>478</v>
      </c>
      <c r="C58" s="361">
        <v>50000000</v>
      </c>
      <c r="D58" s="362"/>
      <c r="E58" s="363"/>
      <c r="F58" s="363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7" t="s">
        <v>351</v>
      </c>
      <c r="B59" s="521"/>
      <c r="C59" s="521"/>
      <c r="D59" s="521"/>
      <c r="E59" s="521"/>
      <c r="F59" s="52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2"/>
      <c r="B60" s="522"/>
      <c r="C60" s="522"/>
      <c r="D60" s="522"/>
      <c r="E60" s="522"/>
      <c r="F60" s="52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2"/>
      <c r="B61" s="343"/>
      <c r="C61" s="343"/>
      <c r="D61" s="343"/>
      <c r="E61" s="343"/>
      <c r="F61" s="345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2"/>
      <c r="B62" s="343"/>
      <c r="C62" s="344"/>
      <c r="D62" s="344"/>
      <c r="E62" s="344"/>
      <c r="F62" s="346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2"/>
      <c r="B63" s="341"/>
      <c r="C63" s="341"/>
      <c r="D63" s="341"/>
      <c r="E63" s="341"/>
      <c r="F63" s="341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7"/>
      <c r="B64" s="348"/>
      <c r="C64" s="349"/>
      <c r="D64" s="349"/>
      <c r="E64" s="349"/>
      <c r="F64" s="349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W108"/>
  <sheetViews>
    <sheetView view="pageLayout" workbookViewId="0" topLeftCell="A7">
      <selection activeCell="Q18" sqref="Q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EB-????-??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COLLUS Power Corp</v>
      </c>
      <c r="O3" s="413" t="str">
        <f>REGINFO!E1</f>
        <v>Version 2009.1</v>
      </c>
    </row>
    <row r="4" spans="1:15" ht="12.75">
      <c r="A4" s="2" t="str">
        <f>REGINFO!A4</f>
        <v>Reporting period:  2005</v>
      </c>
      <c r="E4" s="414" t="s">
        <v>321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500">
        <v>0</v>
      </c>
      <c r="D11" s="389"/>
      <c r="E11" s="393">
        <f>C22</f>
        <v>92418.55</v>
      </c>
      <c r="F11" s="416"/>
      <c r="G11" s="393">
        <f>E22</f>
        <v>122412.64999999997</v>
      </c>
      <c r="H11" s="416"/>
      <c r="I11" s="393">
        <f>G22</f>
        <v>151067.55999999988</v>
      </c>
      <c r="J11" s="389"/>
      <c r="K11" s="393">
        <f>I22</f>
        <v>177518.56999999983</v>
      </c>
      <c r="L11" s="389"/>
      <c r="M11" s="393">
        <f>K22</f>
        <v>185497.9199999998</v>
      </c>
      <c r="N11" s="389"/>
      <c r="O11" s="393">
        <f>C11</f>
        <v>0</v>
      </c>
    </row>
    <row r="12" spans="1:17" ht="27" customHeight="1">
      <c r="A12" s="81" t="s">
        <v>398</v>
      </c>
      <c r="B12" s="66" t="s">
        <v>190</v>
      </c>
      <c r="C12" s="502">
        <v>91859</v>
      </c>
      <c r="D12" s="390"/>
      <c r="E12" s="501">
        <v>321990</v>
      </c>
      <c r="F12" s="95"/>
      <c r="G12" s="415">
        <f>C12+E12</f>
        <v>413849</v>
      </c>
      <c r="H12" s="95"/>
      <c r="I12" s="415">
        <f>(E12/12*9)+(G12/12*3)</f>
        <v>344954.75</v>
      </c>
      <c r="J12" s="390"/>
      <c r="K12" s="415">
        <f>E12/12*3</f>
        <v>80497.5</v>
      </c>
      <c r="L12" s="390"/>
      <c r="M12" s="415">
        <f>306023/12*4</f>
        <v>102007.66666666667</v>
      </c>
      <c r="N12" s="390"/>
      <c r="O12" s="393">
        <f aca="true" t="shared" si="0" ref="O12:O20">SUM(C12:N12)</f>
        <v>1355157.9166666667</v>
      </c>
      <c r="Q12" s="22"/>
    </row>
    <row r="13" spans="1:15" ht="27" customHeight="1">
      <c r="A13" s="81" t="s">
        <v>440</v>
      </c>
      <c r="B13" s="66"/>
      <c r="C13" s="501"/>
      <c r="D13" s="95"/>
      <c r="E13" s="501"/>
      <c r="F13" s="95"/>
      <c r="G13" s="501"/>
      <c r="H13" s="95"/>
      <c r="I13" s="501"/>
      <c r="J13" s="390"/>
      <c r="K13" s="501">
        <v>229517</v>
      </c>
      <c r="L13" s="390"/>
      <c r="M13" s="501"/>
      <c r="N13" s="390"/>
      <c r="O13" s="393">
        <f t="shared" si="0"/>
        <v>229517</v>
      </c>
    </row>
    <row r="14" spans="1:15" ht="38.25">
      <c r="A14" s="499" t="s">
        <v>399</v>
      </c>
      <c r="B14" s="66" t="s">
        <v>190</v>
      </c>
      <c r="C14" s="501"/>
      <c r="D14" s="390"/>
      <c r="E14" s="502">
        <v>-22178</v>
      </c>
      <c r="F14" s="95"/>
      <c r="G14" s="501">
        <v>0</v>
      </c>
      <c r="H14" s="95"/>
      <c r="I14" s="503"/>
      <c r="J14" s="390"/>
      <c r="K14" s="501"/>
      <c r="L14" s="390"/>
      <c r="M14" s="501"/>
      <c r="N14" s="390"/>
      <c r="O14" s="393">
        <f t="shared" si="0"/>
        <v>-22178</v>
      </c>
    </row>
    <row r="15" spans="1:15" ht="27" customHeight="1">
      <c r="A15" s="81" t="s">
        <v>400</v>
      </c>
      <c r="B15" s="66" t="s">
        <v>190</v>
      </c>
      <c r="C15" s="501">
        <v>0</v>
      </c>
      <c r="D15" s="390"/>
      <c r="E15" s="501">
        <v>0</v>
      </c>
      <c r="F15" s="95"/>
      <c r="G15" s="501">
        <v>-9372</v>
      </c>
      <c r="H15" s="95"/>
      <c r="I15" s="501">
        <v>22389</v>
      </c>
      <c r="J15" s="390"/>
      <c r="K15" s="501">
        <v>-23135</v>
      </c>
      <c r="L15" s="390"/>
      <c r="M15" s="501">
        <v>100662</v>
      </c>
      <c r="N15" s="390"/>
      <c r="O15" s="393">
        <f t="shared" si="0"/>
        <v>90544</v>
      </c>
    </row>
    <row r="16" spans="1:15" ht="27" customHeight="1">
      <c r="A16" s="81" t="s">
        <v>401</v>
      </c>
      <c r="B16" s="66"/>
      <c r="C16" s="501"/>
      <c r="D16" s="390"/>
      <c r="E16" s="501">
        <v>12058</v>
      </c>
      <c r="F16" s="95"/>
      <c r="G16" s="501"/>
      <c r="H16" s="95"/>
      <c r="I16" s="501"/>
      <c r="J16" s="390"/>
      <c r="K16" s="501">
        <v>0</v>
      </c>
      <c r="L16" s="390"/>
      <c r="M16" s="501"/>
      <c r="N16" s="390"/>
      <c r="O16" s="393">
        <f t="shared" si="0"/>
        <v>12058</v>
      </c>
    </row>
    <row r="17" spans="1:15" ht="27.75" customHeight="1">
      <c r="A17" s="81" t="s">
        <v>402</v>
      </c>
      <c r="B17" s="66" t="s">
        <v>190</v>
      </c>
      <c r="C17" s="501">
        <v>0</v>
      </c>
      <c r="D17" s="390"/>
      <c r="E17" s="501">
        <v>0</v>
      </c>
      <c r="F17" s="95"/>
      <c r="G17" s="501">
        <v>41590</v>
      </c>
      <c r="H17" s="95"/>
      <c r="I17" s="501">
        <v>9613</v>
      </c>
      <c r="J17" s="390"/>
      <c r="K17" s="501">
        <v>15556</v>
      </c>
      <c r="L17" s="390"/>
      <c r="M17" s="502">
        <v>7363</v>
      </c>
      <c r="N17" s="390"/>
      <c r="O17" s="393">
        <f t="shared" si="0"/>
        <v>74122</v>
      </c>
    </row>
    <row r="18" spans="1:17" ht="25.5">
      <c r="A18" s="81" t="s">
        <v>403</v>
      </c>
      <c r="B18" s="66" t="s">
        <v>190</v>
      </c>
      <c r="C18" s="501"/>
      <c r="D18" s="390"/>
      <c r="E18" s="501"/>
      <c r="F18" s="95"/>
      <c r="G18" s="501"/>
      <c r="H18" s="95"/>
      <c r="I18" s="501"/>
      <c r="J18" s="390"/>
      <c r="K18" s="501"/>
      <c r="L18" s="390"/>
      <c r="M18" s="487">
        <v>0</v>
      </c>
      <c r="N18" s="390"/>
      <c r="O18" s="393">
        <f t="shared" si="0"/>
        <v>0</v>
      </c>
      <c r="Q18" s="34"/>
    </row>
    <row r="19" spans="1:15" ht="24" customHeight="1">
      <c r="A19" s="429" t="s">
        <v>404</v>
      </c>
      <c r="B19" s="66" t="s">
        <v>190</v>
      </c>
      <c r="C19" s="501">
        <v>559.55</v>
      </c>
      <c r="D19" s="390"/>
      <c r="E19" s="502">
        <v>9143</v>
      </c>
      <c r="F19" s="95"/>
      <c r="G19" s="502">
        <v>7772</v>
      </c>
      <c r="H19" s="95"/>
      <c r="I19" s="502">
        <v>8646</v>
      </c>
      <c r="J19" s="390"/>
      <c r="K19" s="502">
        <v>10453</v>
      </c>
      <c r="L19" s="390"/>
      <c r="M19" s="502">
        <v>3051</v>
      </c>
      <c r="N19" s="390"/>
      <c r="O19" s="393">
        <f t="shared" si="0"/>
        <v>39624.55</v>
      </c>
    </row>
    <row r="20" spans="1:15" ht="24.75" customHeight="1">
      <c r="A20" s="81" t="s">
        <v>470</v>
      </c>
      <c r="B20" s="66" t="s">
        <v>188</v>
      </c>
      <c r="C20" s="501">
        <v>0</v>
      </c>
      <c r="D20" s="390"/>
      <c r="E20" s="501">
        <v>-291018.9</v>
      </c>
      <c r="F20" s="95"/>
      <c r="G20" s="501">
        <f>-425184.09</f>
        <v>-425184.09</v>
      </c>
      <c r="H20" s="95"/>
      <c r="I20" s="501">
        <v>-359151.74</v>
      </c>
      <c r="J20" s="390"/>
      <c r="K20" s="501">
        <v>-304909.15</v>
      </c>
      <c r="L20" s="390"/>
      <c r="M20" s="501">
        <v>-147053.45</v>
      </c>
      <c r="N20" s="390"/>
      <c r="O20" s="393">
        <f t="shared" si="0"/>
        <v>-1527317.3299999998</v>
      </c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6"/>
    </row>
    <row r="22" spans="1:19" ht="13.5" thickBot="1">
      <c r="A22" s="81" t="s">
        <v>374</v>
      </c>
      <c r="B22" s="34"/>
      <c r="C22" s="394">
        <f>SUM(C11:C20)</f>
        <v>92418.55</v>
      </c>
      <c r="D22" s="416"/>
      <c r="E22" s="394">
        <f>SUM(E11:E20)</f>
        <v>122412.64999999997</v>
      </c>
      <c r="F22" s="416"/>
      <c r="G22" s="394">
        <f>SUM(G11:G20)</f>
        <v>151067.55999999988</v>
      </c>
      <c r="H22" s="416"/>
      <c r="I22" s="394">
        <f>SUM(I11:I20)</f>
        <v>177518.56999999983</v>
      </c>
      <c r="J22" s="389"/>
      <c r="K22" s="394">
        <f>SUM(K11:K20)</f>
        <v>185497.9199999998</v>
      </c>
      <c r="L22" s="389"/>
      <c r="M22" s="394">
        <f>SUM(M11:M21)</f>
        <v>251528.13666666648</v>
      </c>
      <c r="N22" s="389"/>
      <c r="O22" s="483">
        <f>SUM(O11:O20)</f>
        <v>251528.13666666695</v>
      </c>
      <c r="S22" s="22"/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</row>
    <row r="25" spans="1:15" ht="12.75">
      <c r="A25" s="430"/>
      <c r="B25" s="431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</row>
    <row r="26" spans="1:15" ht="12.75">
      <c r="A26" s="430" t="s">
        <v>405</v>
      </c>
      <c r="B26" s="431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406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23" ht="12.75">
      <c r="A29" s="433" t="s">
        <v>407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  <c r="S29" s="34"/>
      <c r="T29" s="504"/>
      <c r="U29" s="34"/>
      <c r="V29" s="34"/>
      <c r="W29" s="34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7" t="s">
        <v>408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9" ht="12.75">
      <c r="A33" s="526" t="s">
        <v>409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17"/>
      <c r="Q33" s="417"/>
      <c r="R33" s="417"/>
      <c r="S33" s="417"/>
    </row>
    <row r="34" spans="1:19" ht="12.75">
      <c r="A34" s="525" t="s">
        <v>410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17"/>
      <c r="Q34" s="417"/>
      <c r="R34" s="417"/>
      <c r="S34" s="417"/>
    </row>
    <row r="35" spans="1:19" ht="12.75">
      <c r="A35" s="525" t="s">
        <v>431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17"/>
      <c r="Q35" s="417"/>
      <c r="R35" s="417"/>
      <c r="S35" s="417"/>
    </row>
    <row r="36" spans="1:19" ht="12.75">
      <c r="A36" s="525" t="s">
        <v>411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17"/>
      <c r="Q36" s="417"/>
      <c r="R36" s="417"/>
      <c r="S36" s="417"/>
    </row>
    <row r="37" spans="1:19" ht="12.75">
      <c r="A37" s="434" t="s">
        <v>371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17"/>
      <c r="Q37" s="417"/>
      <c r="R37" s="417"/>
      <c r="S37" s="417"/>
    </row>
    <row r="38" spans="1:19" ht="12.75">
      <c r="A38" s="434" t="s">
        <v>372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17"/>
      <c r="Q38" s="417"/>
      <c r="R38" s="417"/>
      <c r="S38" s="417"/>
    </row>
    <row r="39" spans="1:19" ht="12.75">
      <c r="A39" s="434" t="s">
        <v>412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17"/>
      <c r="Q39" s="417"/>
      <c r="R39" s="417"/>
      <c r="S39" s="417"/>
    </row>
    <row r="40" spans="1:19" ht="12.75">
      <c r="A40" s="434" t="s">
        <v>413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17"/>
      <c r="Q40" s="417"/>
      <c r="R40" s="417"/>
      <c r="S40" s="417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17"/>
      <c r="Q41" s="417"/>
      <c r="R41" s="417"/>
      <c r="S41" s="417"/>
    </row>
    <row r="42" spans="1:15" ht="12.75">
      <c r="A42" s="436" t="s">
        <v>414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415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416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417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418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419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420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417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422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423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424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425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381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426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427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383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382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384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428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429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430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25" t="s">
        <v>460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31" t="s">
        <v>373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headerFooter alignWithMargins="0">
    <oddHeader>&amp;R&amp;9Halton Hills Hydro Inc.
EB-2008-0381
Deferred PILs Combined Proceeding
Appendix C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habashmo</cp:lastModifiedBy>
  <cp:lastPrinted>2012-02-02T21:01:39Z</cp:lastPrinted>
  <dcterms:created xsi:type="dcterms:W3CDTF">2001-11-07T16:15:53Z</dcterms:created>
  <dcterms:modified xsi:type="dcterms:W3CDTF">2012-03-02T17:22:04Z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