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Glenda Maldonado</author>
  </authors>
  <commentList>
    <comment ref="C143" authorId="0">
      <text>
        <r>
          <rPr>
            <b/>
            <sz val="8"/>
            <rFont val="Tahoma"/>
            <family val="0"/>
          </rPr>
          <t>Glenda Maldonado:</t>
        </r>
        <r>
          <rPr>
            <sz val="8"/>
            <rFont val="Tahoma"/>
            <family val="0"/>
          </rPr>
          <t xml:space="preserve">
Corporate Minimum Tax</t>
        </r>
      </text>
    </comment>
    <comment ref="C149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override formula to agree to maximum rate</t>
        </r>
      </text>
    </comment>
    <comment ref="C150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override to agree to maximum rate</t>
        </r>
      </text>
    </comment>
  </commentList>
</comments>
</file>

<file path=xl/sharedStrings.xml><?xml version="1.0" encoding="utf-8"?>
<sst xmlns="http://schemas.openxmlformats.org/spreadsheetml/2006/main" count="879" uniqueCount="507">
  <si>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</si>
  <si>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</si>
  <si>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</si>
  <si>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</si>
  <si>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</si>
  <si>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</si>
  <si>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</si>
  <si>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</si>
  <si>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</si>
  <si>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</si>
  <si>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</si>
  <si>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</si>
  <si>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</si>
  <si>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</si>
  <si>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</si>
  <si>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</si>
  <si>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</si>
  <si>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</si>
  <si>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</si>
  <si>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</si>
  <si>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</si>
  <si>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</si>
  <si>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</si>
  <si>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</si>
  <si>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</si>
  <si>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</si>
  <si>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</si>
  <si>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</si>
  <si>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</si>
  <si>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</si>
  <si>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</si>
  <si>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</si>
  <si>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</si>
  <si>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</si>
  <si>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</si>
  <si>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</si>
  <si>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</si>
  <si>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</si>
  <si>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</si>
  <si>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</si>
  <si>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</si>
  <si>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</si>
  <si>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</si>
  <si>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</si>
  <si>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</si>
  <si>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</si>
  <si>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</si>
  <si>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</si>
  <si>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</si>
  <si>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</si>
  <si>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</si>
  <si>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</si>
  <si>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</si>
  <si>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</si>
  <si>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</si>
  <si>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</si>
  <si>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</si>
  <si>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</si>
  <si>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</si>
  <si>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</si>
  <si>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</si>
  <si>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</si>
  <si>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</si>
  <si>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</si>
  <si>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</si>
  <si>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</si>
  <si>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</si>
  <si>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</si>
  <si>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</si>
  <si>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</si>
  <si>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</si>
  <si>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</si>
  <si>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</si>
  <si>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</si>
  <si>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</si>
  <si>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</si>
  <si>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</si>
  <si>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</si>
  <si>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</si>
  <si>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</si>
  <si>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</si>
  <si>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</si>
  <si>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</si>
  <si>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</si>
  <si>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</si>
  <si>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</si>
  <si>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</si>
  <si>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</si>
  <si>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</si>
  <si>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</si>
  <si>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</si>
  <si>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</si>
  <si>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</si>
  <si>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</si>
  <si>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</si>
  <si>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</si>
  <si>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</si>
  <si>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</si>
  <si>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</si>
  <si>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</si>
  <si>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</si>
  <si>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</si>
  <si>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</si>
  <si>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</si>
  <si>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</si>
  <si>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</si>
  <si>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</si>
  <si>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</si>
  <si>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</si>
  <si>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</si>
  <si>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</si>
  <si>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</si>
  <si>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</si>
  <si>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</si>
  <si>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</si>
  <si>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</si>
  <si>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</si>
  <si>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</si>
  <si>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</si>
  <si>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</si>
  <si>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</si>
  <si>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</si>
  <si>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</si>
  <si>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</si>
  <si>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</si>
  <si>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</si>
  <si>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</si>
  <si>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</si>
  <si>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</si>
  <si>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</si>
  <si>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</si>
  <si>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</si>
  <si>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</si>
  <si>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</si>
  <si>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</si>
  <si>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</si>
  <si>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</si>
  <si>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</si>
  <si>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</si>
  <si>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</si>
  <si>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</si>
  <si>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</si>
  <si>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</si>
  <si>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</si>
  <si>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</si>
  <si>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</si>
  <si>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</si>
  <si>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</si>
  <si>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</si>
  <si>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</si>
  <si>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</si>
  <si>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</si>
  <si>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</si>
  <si>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</si>
  <si>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</si>
  <si>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</si>
  <si>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</si>
  <si>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</si>
  <si>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</si>
  <si>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</si>
  <si>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</si>
  <si>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</si>
  <si>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</si>
  <si>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</si>
  <si>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</si>
  <si>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</si>
  <si>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</si>
  <si>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</si>
  <si>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</si>
  <si>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</si>
  <si>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</si>
  <si>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</si>
  <si>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</si>
  <si>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</si>
  <si>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</si>
  <si>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</si>
  <si>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</si>
  <si>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</si>
  <si>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</si>
  <si>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</si>
  <si>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</si>
  <si>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</si>
  <si>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</si>
  <si>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</si>
  <si>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</si>
  <si>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</si>
  <si>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</si>
  <si>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</si>
  <si>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</si>
  <si>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</si>
  <si>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</si>
  <si>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</si>
  <si>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</si>
  <si>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</si>
  <si>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</si>
  <si>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</si>
  <si>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</si>
  <si>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</si>
  <si>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</si>
  <si>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</si>
  <si>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</si>
  <si>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</si>
  <si>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</si>
  <si>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</si>
  <si>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</si>
  <si>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</si>
  <si>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</si>
  <si>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</si>
  <si>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</si>
  <si>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</si>
  <si>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</si>
  <si>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</si>
  <si>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</si>
  <si>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</si>
  <si>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</si>
  <si>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</si>
  <si>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</si>
  <si>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</si>
  <si>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</si>
  <si>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</si>
  <si>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</si>
  <si>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</si>
  <si>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</si>
  <si>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</si>
  <si>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</si>
  <si>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</si>
  <si>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</si>
  <si>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</si>
  <si>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</si>
  <si>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</si>
  <si>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</si>
  <si>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</si>
  <si>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</si>
  <si>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</si>
  <si>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</si>
  <si>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</si>
  <si>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</si>
  <si>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</si>
  <si>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</si>
  <si>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</si>
  <si>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</si>
  <si>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</si>
  <si>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</si>
  <si>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</si>
  <si>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</si>
  <si>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</si>
  <si>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</si>
  <si>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</si>
  <si>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</si>
  <si>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</si>
  <si>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</si>
  <si>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</si>
  <si>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</si>
  <si>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</si>
  <si>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</si>
  <si>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</si>
  <si>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</si>
  <si>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</si>
  <si>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</si>
  <si>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</si>
  <si>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</si>
  <si>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</si>
  <si>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</si>
  <si>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</si>
  <si>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</si>
  <si>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</si>
  <si>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</si>
  <si>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</si>
  <si>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</si>
  <si>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</si>
  <si>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</si>
  <si>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</si>
  <si>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</si>
  <si>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</si>
  <si>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</si>
  <si>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</si>
  <si>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</si>
  <si>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</si>
  <si>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</si>
  <si>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</si>
  <si>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</si>
  <si>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</si>
  <si>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</si>
  <si>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</si>
  <si>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</si>
  <si>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</si>
  <si>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</si>
  <si>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</si>
  <si>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</si>
  <si>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</si>
  <si>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</si>
  <si>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</si>
  <si>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</si>
  <si>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</si>
  <si>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</si>
  <si>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</si>
  <si>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</si>
  <si>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</si>
  <si>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</si>
  <si>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</si>
  <si>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</si>
  <si>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</si>
  <si>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</si>
  <si>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</si>
  <si>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</si>
  <si>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</si>
  <si>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</si>
  <si>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</si>
  <si>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</si>
  <si>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</si>
  <si>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</si>
  <si>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</si>
  <si>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</si>
  <si>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</si>
  <si>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</si>
  <si>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</si>
  <si>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</si>
  <si>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</si>
  <si>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</si>
  <si>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</si>
  <si>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</si>
  <si>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</si>
  <si>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</si>
  <si>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</si>
  <si>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</si>
  <si>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</si>
  <si>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</si>
  <si>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</si>
  <si>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</si>
  <si>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</si>
  <si>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</si>
  <si>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</si>
  <si>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</si>
  <si>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</si>
  <si>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</si>
  <si>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</si>
  <si>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</si>
  <si>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</si>
  <si>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</si>
  <si>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</si>
  <si>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</si>
  <si>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</si>
  <si>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</si>
  <si>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</si>
  <si>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</si>
  <si>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</si>
  <si>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</si>
  <si>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</si>
  <si>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</si>
  <si>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</si>
  <si>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</si>
  <si>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</si>
  <si>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</si>
  <si>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</si>
  <si>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</si>
  <si>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</si>
  <si>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</si>
  <si>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</si>
  <si>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</si>
  <si>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</si>
  <si>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</si>
  <si>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</si>
  <si>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</si>
  <si>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</si>
  <si>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</si>
  <si>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</si>
  <si>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</si>
  <si>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</si>
  <si>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</si>
  <si>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</si>
  <si>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</si>
  <si>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</si>
  <si>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</si>
  <si>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</si>
  <si>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</si>
  <si>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</si>
  <si>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</si>
  <si>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</si>
  <si>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</si>
  <si>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</si>
  <si>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</si>
  <si>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</si>
  <si>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</si>
  <si>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</si>
  <si>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</si>
  <si>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</si>
  <si>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</si>
  <si>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</si>
  <si>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</si>
  <si>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</si>
  <si>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</si>
  <si>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</si>
  <si>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</si>
  <si>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</si>
  <si>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</si>
  <si>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</si>
  <si>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</si>
  <si>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</si>
  <si>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</si>
  <si>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</si>
  <si>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</si>
  <si>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</si>
  <si>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</si>
  <si>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</si>
  <si>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</si>
  <si>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</si>
  <si>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</si>
  <si>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</si>
  <si>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</si>
  <si>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</si>
  <si>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</si>
  <si>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</si>
  <si>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</si>
  <si>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</si>
  <si>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</si>
  <si>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</si>
  <si>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</si>
  <si>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</si>
  <si>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</si>
  <si>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</si>
  <si>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</si>
  <si>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</si>
  <si>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</si>
  <si>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</si>
  <si>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</si>
  <si>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</si>
  <si>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</si>
  <si>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</si>
  <si>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</si>
  <si>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</si>
  <si>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</si>
  <si>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</si>
  <si>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</si>
  <si>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</si>
  <si>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</si>
  <si>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</si>
  <si>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</si>
  <si>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</si>
  <si>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</si>
  <si>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</si>
  <si>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</si>
  <si>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</si>
  <si>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</si>
  <si>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</si>
  <si>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</si>
  <si>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</si>
  <si>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</si>
  <si>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</si>
  <si>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</si>
  <si>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</si>
  <si>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</si>
  <si>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</si>
  <si>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</si>
  <si>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</si>
  <si>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</si>
  <si>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</si>
  <si>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</si>
  <si>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</si>
  <si>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</si>
  <si>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</si>
  <si>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</si>
  <si>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</si>
  <si>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</si>
  <si>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</si>
  <si>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</si>
  <si>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</si>
  <si>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</si>
  <si>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</si>
  <si>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</si>
  <si>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</si>
  <si>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</si>
  <si>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</si>
  <si>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</si>
  <si>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</si>
  <si>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</si>
  <si>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</si>
  <si>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</si>
  <si>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</si>
  <si>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</si>
  <si>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</si>
  <si>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</si>
  <si>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</si>
  <si>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</si>
  <si>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</si>
  <si>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</si>
  <si>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</si>
  <si>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</si>
  <si>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</si>
  <si>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</si>
  <si>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t>**Exemption amounts must agree with the Board-approved 2002 RAM PILs filing</t>
  </si>
  <si>
    <t xml:space="preserve">     Reg Asset movement</t>
  </si>
  <si>
    <t>PILs TAXES - EB-2010-</t>
  </si>
  <si>
    <t>Total deemed interest  (REGINFO CELL D62)</t>
  </si>
  <si>
    <t>Partnership income per T5013 (net of 2001 loss)</t>
  </si>
  <si>
    <t>Amortization of debt discount</t>
  </si>
  <si>
    <t>Other Liabilities (2405) - Allowance for doubtful accounts</t>
  </si>
  <si>
    <t>Regulayory assets contra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</si>
  <si>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</si>
  <si>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</si>
  <si>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</si>
  <si>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</si>
  <si>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r>
      <t xml:space="preserve">Income Tax Rate (including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</si>
  <si>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Utility Name: Brantford Power Inc.</t>
  </si>
  <si>
    <t>Y</t>
  </si>
  <si>
    <t>N</t>
  </si>
  <si>
    <t>Other - Employee Future Benefits</t>
  </si>
  <si>
    <t>updated based on Staff Submission 2/24/12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</si>
</sst>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4" applyNumberFormat="0" applyFill="0" applyAlignment="0" applyProtection="0"/>
    <xf numFmtId="0" fontId="55" fillId="30" borderId="0" applyNumberFormat="0" applyBorder="0" applyAlignment="0" applyProtection="0"/>
    <xf numFmtId="0" fontId="0" fillId="31" borderId="5" applyNumberFormat="0" applyFont="0" applyAlignment="0" applyProtection="0"/>
    <xf numFmtId="0" fontId="56" fillId="26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 quotePrefix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37" fontId="0" fillId="41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7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3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" fontId="0" fillId="0" borderId="58" xfId="0" applyNumberFormat="1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0" applyNumberFormat="1" applyFill="1" applyAlignment="1">
      <alignment vertical="top"/>
    </xf>
    <xf numFmtId="37" fontId="0" fillId="35" borderId="0" xfId="0" applyNumberFormat="1" applyFill="1" applyAlignment="1">
      <alignment vertical="top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>
      <alignment horizontal="right" vertical="top"/>
    </xf>
    <xf numFmtId="37" fontId="0" fillId="35" borderId="14" xfId="0" applyNumberFormat="1" applyFill="1" applyBorder="1" applyAlignment="1">
      <alignment vertical="top"/>
    </xf>
    <xf numFmtId="3" fontId="0" fillId="35" borderId="14" xfId="0" applyNumberFormat="1" applyFill="1" applyBorder="1" applyAlignment="1">
      <alignment/>
    </xf>
    <xf numFmtId="9" fontId="0" fillId="35" borderId="0" xfId="0" applyNumberFormat="1" applyFill="1" applyAlignment="1">
      <alignment horizontal="center" vertical="top"/>
    </xf>
    <xf numFmtId="3" fontId="0" fillId="35" borderId="14" xfId="0" applyNumberFormat="1" applyFill="1" applyBorder="1" applyAlignment="1" applyProtection="1">
      <alignment horizontal="center" vertical="center"/>
      <protection locked="0"/>
    </xf>
    <xf numFmtId="3" fontId="0" fillId="35" borderId="46" xfId="0" applyNumberFormat="1" applyFill="1" applyBorder="1" applyAlignment="1" applyProtection="1">
      <alignment horizontal="center" vertical="center"/>
      <protection locked="0"/>
    </xf>
    <xf numFmtId="0" fontId="0" fillId="36" borderId="0" xfId="0" applyFont="1" applyFill="1" applyAlignment="1">
      <alignment vertical="top"/>
    </xf>
    <xf numFmtId="0" fontId="0" fillId="36" borderId="0" xfId="0" applyFont="1" applyFill="1" applyAlignment="1">
      <alignment vertical="top" wrapText="1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42" borderId="0" xfId="0" applyFill="1" applyBorder="1" applyAlignment="1">
      <alignment vertical="top"/>
    </xf>
    <xf numFmtId="3" fontId="0" fillId="42" borderId="18" xfId="42" applyNumberFormat="1" applyFont="1" applyFill="1" applyBorder="1" applyAlignment="1" applyProtection="1">
      <alignment vertical="top"/>
      <protection/>
    </xf>
    <xf numFmtId="3" fontId="0" fillId="42" borderId="14" xfId="0" applyNumberForma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47">
      <selection activeCell="D74" sqref="D7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491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502</v>
      </c>
      <c r="C3" s="8"/>
      <c r="D3" s="452" t="s">
        <v>444</v>
      </c>
      <c r="E3" s="8"/>
      <c r="F3" s="8"/>
      <c r="G3" s="8"/>
      <c r="H3" s="8"/>
    </row>
    <row r="4" spans="1:8" ht="12.75">
      <c r="A4" s="2" t="s">
        <v>478</v>
      </c>
      <c r="C4" s="8"/>
      <c r="D4" s="451" t="s">
        <v>439</v>
      </c>
      <c r="E4" s="425"/>
      <c r="H4" s="8"/>
    </row>
    <row r="5" spans="1:8" ht="12.75">
      <c r="A5" s="52"/>
      <c r="C5" s="8"/>
      <c r="D5" s="450" t="s">
        <v>440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504</v>
      </c>
    </row>
    <row r="18" spans="1:4" ht="15" customHeight="1">
      <c r="A18" s="391" t="s">
        <v>312</v>
      </c>
      <c r="C18" s="8"/>
      <c r="D18" s="8"/>
    </row>
    <row r="19" spans="1:4" ht="15" customHeight="1">
      <c r="A19" s="500" t="s">
        <v>313</v>
      </c>
      <c r="B19" s="8" t="s">
        <v>310</v>
      </c>
      <c r="C19" s="8" t="s">
        <v>64</v>
      </c>
      <c r="D19" s="390" t="s">
        <v>504</v>
      </c>
    </row>
    <row r="20" spans="1:4" ht="13.5" thickBot="1">
      <c r="A20" s="501"/>
      <c r="B20" s="8" t="s">
        <v>311</v>
      </c>
      <c r="C20" s="8" t="s">
        <v>64</v>
      </c>
      <c r="D20" s="258" t="s">
        <v>504</v>
      </c>
    </row>
    <row r="21" spans="1:4" ht="12.75">
      <c r="A21" s="500" t="s">
        <v>309</v>
      </c>
      <c r="B21" s="8" t="s">
        <v>310</v>
      </c>
      <c r="C21" s="8"/>
      <c r="D21" s="491">
        <v>1</v>
      </c>
    </row>
    <row r="22" spans="1:4" ht="12.75">
      <c r="A22" s="500"/>
      <c r="B22" s="8" t="s">
        <v>311</v>
      </c>
      <c r="C22" s="8"/>
      <c r="D22" s="491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3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0" t="s">
        <v>294</v>
      </c>
    </row>
    <row r="27" spans="1:5" ht="12.75">
      <c r="A27" s="256" t="s">
        <v>68</v>
      </c>
      <c r="C27" s="8"/>
      <c r="E27" s="441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485">
        <v>46980726</v>
      </c>
      <c r="H31" s="5"/>
    </row>
    <row r="32" ht="6" customHeight="1"/>
    <row r="33" spans="1:8" ht="12.75">
      <c r="A33" t="s">
        <v>71</v>
      </c>
      <c r="D33" s="48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4">
        <v>0.0988</v>
      </c>
      <c r="H37" s="41"/>
    </row>
    <row r="38" ht="4.5" customHeight="1">
      <c r="H38" s="34"/>
    </row>
    <row r="39" spans="1:8" ht="12.75">
      <c r="A39" t="s">
        <v>74</v>
      </c>
      <c r="D39" s="48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4023899.1819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0</v>
      </c>
      <c r="E43" s="389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4023899.1819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6">
        <v>1341300</v>
      </c>
      <c r="E47" s="389">
        <f aca="true" t="shared" si="0" ref="E47:E53">D47</f>
        <v>1341300</v>
      </c>
      <c r="H47" s="40"/>
      <c r="J47" s="5"/>
      <c r="K47" s="5"/>
    </row>
    <row r="48" spans="1:11" ht="12.75">
      <c r="A48" t="s">
        <v>287</v>
      </c>
      <c r="D48" s="486">
        <v>1341300</v>
      </c>
      <c r="E48" s="389">
        <f>D48</f>
        <v>1341300</v>
      </c>
      <c r="F48" s="22"/>
      <c r="H48" s="40"/>
      <c r="J48" s="5"/>
      <c r="K48" s="5"/>
    </row>
    <row r="49" spans="1:11" ht="12.75">
      <c r="A49" t="s">
        <v>288</v>
      </c>
      <c r="D49" s="487"/>
      <c r="E49" s="389">
        <v>0</v>
      </c>
      <c r="F49" s="22"/>
      <c r="H49" s="40"/>
      <c r="J49" s="5"/>
      <c r="K49" s="5"/>
    </row>
    <row r="50" spans="1:11" ht="12.75">
      <c r="A50" t="s">
        <v>289</v>
      </c>
      <c r="D50" s="425"/>
      <c r="E50" s="389">
        <f t="shared" si="0"/>
        <v>0</v>
      </c>
      <c r="H50" s="40"/>
      <c r="J50" s="5"/>
      <c r="K50" s="5"/>
    </row>
    <row r="51" spans="1:11" ht="12.75">
      <c r="A51" t="s">
        <v>436</v>
      </c>
      <c r="D51" s="425"/>
      <c r="E51" s="389">
        <f t="shared" si="0"/>
        <v>0</v>
      </c>
      <c r="H51" s="40"/>
      <c r="J51" s="5"/>
      <c r="K51" s="5"/>
    </row>
    <row r="52" spans="1:11" ht="12.75">
      <c r="A52" t="s">
        <v>459</v>
      </c>
      <c r="D52" s="425"/>
      <c r="E52" s="389">
        <f t="shared" si="0"/>
        <v>0</v>
      </c>
      <c r="H52" s="40"/>
      <c r="J52" s="5"/>
      <c r="K52" s="5"/>
    </row>
    <row r="53" spans="4:11" ht="12.75">
      <c r="D53" s="425"/>
      <c r="E53" s="389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2682600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23490363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2320847.8644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23490363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1703051.3175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567683.8879159369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1135367.7758318738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1135367.7758318738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3">
        <f>D62</f>
        <v>1703051.3175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/>
  <pageMargins left="0.354330708661417" right="0.0393700787401575" top="0.7" bottom="0.34" header="0.19" footer="0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workbookViewId="0" topLeftCell="A180">
      <selection activeCell="E201" sqref="E20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Brantford Power Inc.</v>
      </c>
      <c r="B6" s="115"/>
      <c r="D6" s="137"/>
      <c r="E6" s="115"/>
      <c r="G6" s="115"/>
      <c r="H6" s="462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2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6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6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</f>
        <v>2682600</v>
      </c>
      <c r="D16" s="17"/>
      <c r="E16" s="268">
        <f>G16-C16</f>
        <v>414331</v>
      </c>
      <c r="F16" s="3"/>
      <c r="G16" s="268">
        <f>TAXREC!E50</f>
        <v>3096931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2600455</v>
      </c>
      <c r="D20" s="18"/>
      <c r="E20" s="268">
        <f>G20-C20</f>
        <v>-630485</v>
      </c>
      <c r="F20" s="6"/>
      <c r="G20" s="268">
        <f>TAXREC!E61</f>
        <v>1969970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262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261</v>
      </c>
      <c r="B23" s="127">
        <v>4</v>
      </c>
      <c r="C23" s="262"/>
      <c r="D23" s="18"/>
      <c r="E23" s="268">
        <f>G23-C23</f>
        <v>421788</v>
      </c>
      <c r="F23" s="6"/>
      <c r="G23" s="268">
        <f>TAXREC!E64</f>
        <v>421788</v>
      </c>
      <c r="H23" s="151"/>
    </row>
    <row r="24" spans="1:8" ht="12.75">
      <c r="A24" s="158" t="s">
        <v>263</v>
      </c>
      <c r="B24" s="127">
        <v>5</v>
      </c>
      <c r="C24" s="260">
        <v>363368</v>
      </c>
      <c r="D24" s="18"/>
      <c r="E24" s="268">
        <f>G24-C24</f>
        <v>-363368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5009</v>
      </c>
      <c r="F27" s="6"/>
      <c r="G27" s="268">
        <f>TAXREC!E93</f>
        <v>5009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7" t="s">
        <v>392</v>
      </c>
      <c r="B30" s="127"/>
      <c r="C30" s="260"/>
      <c r="D30" s="18"/>
      <c r="E30" s="268">
        <f>G30-C30</f>
        <v>7340295</v>
      </c>
      <c r="F30" s="6"/>
      <c r="G30" s="268">
        <f>TAXREC!E66</f>
        <v>7340295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2286863</v>
      </c>
      <c r="D33" s="132"/>
      <c r="E33" s="268">
        <f aca="true" t="shared" si="0" ref="E33:E42">G33-C33</f>
        <v>-316987</v>
      </c>
      <c r="F33" s="6"/>
      <c r="G33" s="268">
        <f>TAXREC!E97+TAXREC!E98</f>
        <v>1969876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264</v>
      </c>
      <c r="B36" s="127">
        <v>10</v>
      </c>
      <c r="C36" s="260">
        <v>97960</v>
      </c>
      <c r="D36" s="132"/>
      <c r="E36" s="268">
        <f t="shared" si="0"/>
        <v>-97960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1135367.7758318738</v>
      </c>
      <c r="D37" s="132"/>
      <c r="E37" s="268">
        <f t="shared" si="0"/>
        <v>1041657.2241681262</v>
      </c>
      <c r="F37" s="6"/>
      <c r="G37" s="268">
        <f>TAXREC!E51</f>
        <v>2177025</v>
      </c>
      <c r="H37" s="151"/>
    </row>
    <row r="38" spans="1:8" ht="12.75">
      <c r="A38" s="155" t="s">
        <v>260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259</v>
      </c>
      <c r="B39" s="125">
        <v>4</v>
      </c>
      <c r="C39" s="262"/>
      <c r="D39" s="132"/>
      <c r="E39" s="268">
        <f t="shared" si="0"/>
        <v>337623</v>
      </c>
      <c r="F39" s="6"/>
      <c r="G39" s="268">
        <f>TAXREC!E105</f>
        <v>337623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392</v>
      </c>
      <c r="B48" s="127"/>
      <c r="C48" s="260"/>
      <c r="D48" s="132"/>
      <c r="E48" s="268">
        <f>G48-C48</f>
        <v>6494664</v>
      </c>
      <c r="F48" s="6"/>
      <c r="G48" s="251">
        <f>TAXREC!E108</f>
        <v>6494664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2126232.2241681265</v>
      </c>
      <c r="D50" s="102"/>
      <c r="E50" s="264">
        <f>E16+SUM(E20:E30)-SUM(E33:E48)</f>
        <v>-271427.2241681265</v>
      </c>
      <c r="F50" s="428" t="s">
        <v>364</v>
      </c>
      <c r="G50" s="264">
        <f>G16+SUM(G20:G30)-SUM(G33:G48)</f>
        <v>1854805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-0.020000000000000018</v>
      </c>
      <c r="F53" s="114"/>
      <c r="G53" s="470">
        <f>TAXREC!E151</f>
        <v>0.36619999999999997</v>
      </c>
      <c r="H53" s="151"/>
      <c r="I53" s="467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821150.8849737304</v>
      </c>
      <c r="D55" s="102"/>
      <c r="E55" s="268">
        <f>G55-C55</f>
        <v>-784354.8849737304</v>
      </c>
      <c r="F55" s="428" t="s">
        <v>365</v>
      </c>
      <c r="G55" s="265">
        <f>TAXREC!E144</f>
        <v>36796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8" t="s">
        <v>365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821150.8849737304</v>
      </c>
      <c r="D60" s="133"/>
      <c r="E60" s="270">
        <f>+E55-E58</f>
        <v>-784354.8849737304</v>
      </c>
      <c r="F60" s="428" t="s">
        <v>365</v>
      </c>
      <c r="G60" s="270">
        <f>+G55-G58</f>
        <v>36796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46980726</v>
      </c>
      <c r="D66" s="102"/>
      <c r="E66" s="268">
        <f>G66-C66</f>
        <v>1081361</v>
      </c>
      <c r="F66" s="6"/>
      <c r="G66" s="268">
        <v>48062087</v>
      </c>
      <c r="H66" s="151"/>
      <c r="I66" s="472" t="s">
        <v>473</v>
      </c>
    </row>
    <row r="67" spans="1:10" ht="12.75">
      <c r="A67" s="152" t="s">
        <v>357</v>
      </c>
      <c r="B67" s="125">
        <v>16</v>
      </c>
      <c r="C67" s="261">
        <f>IF(C66&gt;0,'Tax Rates'!C21,0)</f>
        <v>5000000</v>
      </c>
      <c r="D67" s="102"/>
      <c r="E67" s="268">
        <f>G67-C67</f>
        <v>-202764</v>
      </c>
      <c r="F67" s="6"/>
      <c r="G67" s="268">
        <f>'Tax Rates'!C57</f>
        <v>4797236</v>
      </c>
      <c r="H67" s="151"/>
      <c r="I67" s="472" t="s">
        <v>473</v>
      </c>
      <c r="J67" s="473" t="s">
        <v>474</v>
      </c>
    </row>
    <row r="68" spans="1:8" ht="12.75">
      <c r="A68" s="152" t="s">
        <v>42</v>
      </c>
      <c r="B68" s="125"/>
      <c r="C68" s="265">
        <f>IF((C66-C67)&gt;0,C66-C67,0)</f>
        <v>41980726</v>
      </c>
      <c r="D68" s="102"/>
      <c r="E68" s="268">
        <f>SUM(E66:E67)</f>
        <v>878597</v>
      </c>
      <c r="F68" s="114"/>
      <c r="G68" s="265">
        <f>G66-G67</f>
        <v>43264851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314</v>
      </c>
      <c r="B72" s="125"/>
      <c r="C72" s="265">
        <f>IF(C68&gt;0,C68*C70,0)*REGINFO!$B$6/REGINFO!$B$7</f>
        <v>125942.178</v>
      </c>
      <c r="D72" s="101"/>
      <c r="E72" s="268">
        <f>+G72-C72</f>
        <v>3852.375</v>
      </c>
      <c r="F72" s="474"/>
      <c r="G72" s="265">
        <f>IF(G68&gt;0,G68*G70,0)*REGINFO!$B$6/REGINFO!$B$7</f>
        <v>129794.553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46980726</v>
      </c>
      <c r="D75" s="102"/>
      <c r="E75" s="268">
        <f>+G75-C75</f>
        <v>5368070</v>
      </c>
      <c r="F75" s="6"/>
      <c r="G75" s="268">
        <v>52348796</v>
      </c>
      <c r="H75" s="151"/>
      <c r="I75" s="472" t="s">
        <v>473</v>
      </c>
    </row>
    <row r="76" spans="1:9" ht="12.75">
      <c r="A76" s="152" t="s">
        <v>357</v>
      </c>
      <c r="B76" s="125">
        <v>19</v>
      </c>
      <c r="C76" s="261">
        <f>IF(C75&gt;0,'Tax Rates'!C22,0)</f>
        <v>10000000</v>
      </c>
      <c r="D76" s="18"/>
      <c r="E76" s="268">
        <f>+G76-C76</f>
        <v>-1735128</v>
      </c>
      <c r="F76" s="6"/>
      <c r="G76" s="268">
        <f>'Tax Rates'!C58</f>
        <v>8264872</v>
      </c>
      <c r="H76" s="151"/>
      <c r="I76" s="472" t="s">
        <v>473</v>
      </c>
    </row>
    <row r="77" spans="1:8" ht="12.75">
      <c r="A77" s="152" t="s">
        <v>42</v>
      </c>
      <c r="B77" s="125"/>
      <c r="C77" s="265">
        <f>IF((C75-C76)&gt;0,C75-C76,0)</f>
        <v>36980726</v>
      </c>
      <c r="D77" s="19"/>
      <c r="E77" s="268">
        <f>SUM(E75:E76)</f>
        <v>3632942</v>
      </c>
      <c r="F77" s="114"/>
      <c r="G77" s="265">
        <f>G75-G76</f>
        <v>44083924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>
        <f>IF(C77&gt;0,C77*C79,0)*REGINFO!$B$6/REGINFO!$B$7</f>
        <v>83206.6335</v>
      </c>
      <c r="D81" s="102"/>
      <c r="E81" s="268">
        <f>+G81-C81</f>
        <v>15982.195500000002</v>
      </c>
      <c r="F81" s="6"/>
      <c r="G81" s="265">
        <f>G77*G79*B9/B10</f>
        <v>99188.829</v>
      </c>
      <c r="H81" s="151"/>
    </row>
    <row r="82" spans="1:8" ht="12.75">
      <c r="A82" s="152" t="s">
        <v>316</v>
      </c>
      <c r="B82" s="125">
        <v>21</v>
      </c>
      <c r="C82" s="301">
        <f>IF(C77&gt;0,IF(C60&gt;0,C50*'Tax Rates'!C20,0),0)</f>
        <v>23813.800910683018</v>
      </c>
      <c r="D82" s="102"/>
      <c r="E82" s="268">
        <f>+G82-C82</f>
        <v>-23813.800910683018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59392.83258931698</v>
      </c>
      <c r="D84" s="16"/>
      <c r="E84" s="268">
        <f>E81-E82</f>
        <v>39795.996410683016</v>
      </c>
      <c r="F84" s="103"/>
      <c r="G84" s="265">
        <f>G81-G82</f>
        <v>99188.829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5">
        <f>C60/(1-C88)</f>
        <v>1313841.4159579687</v>
      </c>
      <c r="D90" s="20"/>
      <c r="E90" s="139"/>
      <c r="F90" s="427" t="s">
        <v>480</v>
      </c>
      <c r="G90" s="271">
        <f>TAXREC!E156</f>
        <v>36796</v>
      </c>
      <c r="H90" s="151"/>
    </row>
    <row r="91" spans="1:8" ht="12.75">
      <c r="A91" s="158" t="s">
        <v>367</v>
      </c>
      <c r="B91" s="127">
        <v>23</v>
      </c>
      <c r="C91" s="265">
        <f>C84/(1-C88)</f>
        <v>95028.53214290718</v>
      </c>
      <c r="D91" s="20"/>
      <c r="E91" s="139"/>
      <c r="F91" s="427" t="s">
        <v>480</v>
      </c>
      <c r="G91" s="271">
        <f>TAXREC!E158</f>
        <v>99189</v>
      </c>
      <c r="H91" s="151"/>
    </row>
    <row r="92" spans="1:8" ht="12.75">
      <c r="A92" s="158" t="s">
        <v>345</v>
      </c>
      <c r="B92" s="127">
        <v>24</v>
      </c>
      <c r="C92" s="265">
        <f>C72</f>
        <v>125942.178</v>
      </c>
      <c r="D92" s="20"/>
      <c r="E92" s="139"/>
      <c r="F92" s="427" t="s">
        <v>480</v>
      </c>
      <c r="G92" s="271">
        <f>TAXREC!E157</f>
        <v>129795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70">
        <f>SUM(C90:C93)</f>
        <v>1534812.126100876</v>
      </c>
      <c r="D95" s="6"/>
      <c r="E95" s="139"/>
      <c r="F95" s="427" t="s">
        <v>480</v>
      </c>
      <c r="G95" s="415">
        <f>SUM(G90:G94)</f>
        <v>265780</v>
      </c>
      <c r="H95" s="164"/>
    </row>
    <row r="96" spans="1:8" ht="12.75">
      <c r="A96" s="405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421788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-363368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-97960</v>
      </c>
      <c r="F111" s="37"/>
      <c r="G111" s="201"/>
      <c r="H111" s="164"/>
    </row>
    <row r="112" spans="1:8" ht="12.75">
      <c r="A112" s="499" t="s">
        <v>499</v>
      </c>
      <c r="B112" s="127">
        <v>11</v>
      </c>
      <c r="C112" s="112"/>
      <c r="D112" s="3"/>
      <c r="E112" s="469">
        <f>E206</f>
        <v>485952.6825000001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337623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-667195.6825000001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501</v>
      </c>
      <c r="B122" s="127"/>
      <c r="C122" s="112"/>
      <c r="D122" s="3" t="s">
        <v>231</v>
      </c>
      <c r="E122" s="466">
        <f>IF((E120+G50)&gt;'Tax Rates'!$E$47,'Tax Rates'!$F$52,IF((E120+G50)&gt;'Tax Rates'!$D$47,'Tax Rates'!$E$52,IF((E120+G50)&gt;'Tax Rates'!$C$47,'Tax Rates'!$D$52,'Tax Rates'!$C$52)))</f>
        <v>0.36619999999999997</v>
      </c>
      <c r="F122" s="467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-244327.0589315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-244327.0589315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349</v>
      </c>
      <c r="B132" s="130"/>
      <c r="C132" s="112"/>
      <c r="D132" s="3"/>
      <c r="E132" s="481">
        <f>E128/(1-E130)</f>
        <v>-378801.64175426355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2126232.2241681265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778626.2404903679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778626.2404903679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821150.8849737304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-42524.64448336256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46980726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41980726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125942.178</v>
      </c>
      <c r="F157" s="37"/>
      <c r="G157" s="201"/>
      <c r="H157" s="164"/>
    </row>
    <row r="158" spans="1:8" ht="25.5">
      <c r="A158" s="171" t="s">
        <v>306</v>
      </c>
      <c r="B158" s="130"/>
      <c r="C158" s="112"/>
      <c r="D158" s="118" t="s">
        <v>188</v>
      </c>
      <c r="E158" s="306">
        <f>C72</f>
        <v>125942.178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1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46980726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36980726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83206.6335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23813.800910683018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59392.83258931698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344</v>
      </c>
      <c r="B172" s="130"/>
      <c r="C172" s="112"/>
      <c r="D172" s="118" t="s">
        <v>188</v>
      </c>
      <c r="E172" s="306">
        <f>C84</f>
        <v>59392.83258931698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1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466">
        <f>IF((E120+G50)&gt;'Tax Rates'!E47,'Tax Rates'!F52-1.12%,IF((E120+G50)&gt;'Tax Rates'!D47,'Tax Rates'!E52-1.12%,IF((E120+G50)&gt;'Tax Rates'!C47,'Tax Rates'!D52,'Tax Rates'!C52-1.12%)))</f>
        <v>0.355</v>
      </c>
      <c r="F175" s="467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-65929.68136955435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480">
        <f>SUM(E177:E179)</f>
        <v>-65929.68136955435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488</v>
      </c>
      <c r="B183" s="130"/>
      <c r="C183" s="112"/>
      <c r="D183" s="119" t="s">
        <v>187</v>
      </c>
      <c r="E183" s="480">
        <f>E132</f>
        <v>-378801.64175426355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351</v>
      </c>
      <c r="B185" s="130"/>
      <c r="C185" s="112"/>
      <c r="D185" s="119" t="s">
        <v>189</v>
      </c>
      <c r="E185" s="480">
        <f>E181+E183</f>
        <v>-444731.3231238179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1703051.3175</v>
      </c>
      <c r="F193" s="3"/>
      <c r="G193" s="123"/>
      <c r="H193" s="164"/>
    </row>
    <row r="194" spans="1:8" ht="12.75">
      <c r="A194" s="499" t="s">
        <v>497</v>
      </c>
      <c r="B194" s="127"/>
      <c r="C194" s="112"/>
      <c r="D194" s="120"/>
      <c r="E194" s="309">
        <f>C37</f>
        <v>1135367.7758318738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567683.5416681261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3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499" t="s">
        <v>498</v>
      </c>
      <c r="B201" s="127"/>
      <c r="C201" s="112"/>
      <c r="D201" s="120"/>
      <c r="E201" s="518">
        <v>2189004</v>
      </c>
      <c r="F201" s="516" t="s">
        <v>506</v>
      </c>
      <c r="G201" s="517"/>
      <c r="H201" s="164"/>
    </row>
    <row r="202" spans="1:8" ht="12.75">
      <c r="A202" s="155" t="s">
        <v>492</v>
      </c>
      <c r="B202" s="127"/>
      <c r="C202" s="112"/>
      <c r="D202" s="120"/>
      <c r="E202" s="309">
        <f>REGINFO!D62</f>
        <v>1703051.3175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485952.6825000001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500</v>
      </c>
      <c r="B206" s="127"/>
      <c r="C206" s="112"/>
      <c r="D206" s="120"/>
      <c r="E206" s="468">
        <f>IF((E201-E202)&gt;0,E201-E202,0)</f>
        <v>485952.6825000001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81730.85916812601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/>
  <pageMargins left="0.354330708661417" right="0.0393700787401575" top="0.7" bottom="0.34" header="0.19" footer="0"/>
  <pageSetup fitToHeight="2" horizontalDpi="600" verticalDpi="600" orientation="portrait" scale="55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91">
      <selection activeCell="C149" sqref="C14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Brantford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0.25%*Ratebase*REGINFO!D33</f>
        <v>58725.9075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323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257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321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322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88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8">
        <v>73449133</v>
      </c>
      <c r="D32" s="287"/>
      <c r="E32" s="285">
        <f>C32-D32</f>
        <v>73449133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944277</v>
      </c>
      <c r="D33" s="287"/>
      <c r="E33" s="285">
        <f>C33-D33</f>
        <v>944277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8">
        <v>62453328</v>
      </c>
      <c r="D39" s="287"/>
      <c r="E39" s="285">
        <f>C39-D39</f>
        <v>62453328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8">
        <v>3837749</v>
      </c>
      <c r="D40" s="287"/>
      <c r="E40" s="285">
        <f aca="true" t="shared" si="0" ref="E40:E48">C40-D40</f>
        <v>3837749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286">
        <v>3035432</v>
      </c>
      <c r="D42" s="287"/>
      <c r="E42" s="285">
        <f t="shared" si="0"/>
        <v>3035432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88">
        <v>1969970</v>
      </c>
      <c r="D43" s="287"/>
      <c r="E43" s="285">
        <f t="shared" si="0"/>
        <v>1969970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88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417" t="s">
        <v>490</v>
      </c>
      <c r="B45" s="23" t="s">
        <v>188</v>
      </c>
      <c r="C45" s="488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3096931</v>
      </c>
      <c r="D50" s="282">
        <f>SUM(D31:D36)-SUM(D39:D49)</f>
        <v>0</v>
      </c>
      <c r="E50" s="282">
        <f>SUM(E31:E35)-SUM(E39:E48)</f>
        <v>3096931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8">
        <v>2177025</v>
      </c>
      <c r="D51" s="286"/>
      <c r="E51" s="283">
        <f>+C51-D51</f>
        <v>2177025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88">
        <v>384845</v>
      </c>
      <c r="D52" s="286"/>
      <c r="E52" s="284">
        <f>+C52-D52</f>
        <v>384845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535061</v>
      </c>
      <c r="D53" s="282">
        <f>D50-D51-D52</f>
        <v>0</v>
      </c>
      <c r="E53" s="282">
        <f>E50-E51-E52</f>
        <v>535061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384845</v>
      </c>
      <c r="D59" s="288">
        <f>D52</f>
        <v>0</v>
      </c>
      <c r="E59" s="273">
        <f>+C59-D59</f>
        <v>384845</v>
      </c>
      <c r="F59" s="8"/>
      <c r="G59" s="417"/>
    </row>
    <row r="60" spans="1:6" ht="12.75">
      <c r="A60" s="4" t="s">
        <v>324</v>
      </c>
      <c r="B60" s="8" t="s">
        <v>187</v>
      </c>
      <c r="C60" s="288"/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1969970</v>
      </c>
      <c r="D61" s="288">
        <f>D43</f>
        <v>0</v>
      </c>
      <c r="E61" s="273">
        <f>+C61-D61</f>
        <v>1969970</v>
      </c>
      <c r="F61" s="8"/>
      <c r="G61" s="417"/>
    </row>
    <row r="62" spans="1:6" ht="12.75">
      <c r="A62" t="s">
        <v>6</v>
      </c>
      <c r="B62" s="8" t="s">
        <v>187</v>
      </c>
      <c r="C62" s="288"/>
      <c r="D62" s="288">
        <v>0</v>
      </c>
      <c r="E62" s="273">
        <f>+C62-D62</f>
        <v>0</v>
      </c>
      <c r="F62" s="8"/>
    </row>
    <row r="63" spans="1:6" ht="12.75">
      <c r="A63" s="31" t="s">
        <v>276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421788</v>
      </c>
      <c r="D64" s="318">
        <f>'Tax Reserves'!D63</f>
        <v>0</v>
      </c>
      <c r="E64" s="273">
        <f>+C64-D64</f>
        <v>421788</v>
      </c>
      <c r="F64" s="8"/>
    </row>
    <row r="65" spans="1:6" ht="12.75">
      <c r="A65" t="s">
        <v>441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4" t="s">
        <v>392</v>
      </c>
      <c r="B66" s="8"/>
      <c r="C66" s="443">
        <f>'TAXREC 3 No True-up'!C47</f>
        <v>7340295</v>
      </c>
      <c r="D66" s="443">
        <f>'TAXREC 3 No True-up'!D47</f>
        <v>0</v>
      </c>
      <c r="E66" s="273">
        <f>+C66-D66</f>
        <v>7340295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10116898</v>
      </c>
      <c r="D70" s="273">
        <f>SUM(D59:D68)</f>
        <v>0</v>
      </c>
      <c r="E70" s="273">
        <f>SUM(E59:E68)</f>
        <v>10116898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5009</v>
      </c>
      <c r="D74" s="295"/>
      <c r="E74" s="273">
        <f t="shared" si="1"/>
        <v>5009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/>
      <c r="D76" s="295"/>
      <c r="E76" s="475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5009</v>
      </c>
      <c r="D80" s="251">
        <f>SUM(D73:D79)</f>
        <v>0</v>
      </c>
      <c r="E80" s="251">
        <f>SUM(E73:E79)</f>
        <v>5009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10121907</v>
      </c>
      <c r="D82" s="251">
        <f>D70+D80</f>
        <v>0</v>
      </c>
      <c r="E82" s="251">
        <f>E70+E80</f>
        <v>10121907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429</v>
      </c>
      <c r="B93" s="274"/>
      <c r="C93" s="251">
        <f>C80-C92</f>
        <v>5009</v>
      </c>
      <c r="D93" s="251">
        <f>D80-D92</f>
        <v>0</v>
      </c>
      <c r="E93" s="251">
        <f>E80-E92</f>
        <v>5009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5009</v>
      </c>
      <c r="D94" s="251">
        <f>D92+D93</f>
        <v>0</v>
      </c>
      <c r="E94" s="251">
        <f>E92+E93</f>
        <v>5009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54">
        <v>1885860</v>
      </c>
      <c r="D97" s="295"/>
      <c r="E97" s="273">
        <f>+C97-D97</f>
        <v>1885860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84016</v>
      </c>
      <c r="D98" s="295"/>
      <c r="E98" s="273">
        <f>+C98-D98</f>
        <v>84016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54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20">
        <f>'Tax Reserves'!C50</f>
        <v>337623</v>
      </c>
      <c r="D105" s="320">
        <f>'Tax Reserves'!D50</f>
        <v>0</v>
      </c>
      <c r="E105" s="283">
        <f t="shared" si="5"/>
        <v>337623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4" t="s">
        <v>392</v>
      </c>
      <c r="B108" s="8"/>
      <c r="C108" s="254">
        <f>'TAXREC 3 No True-up'!C75</f>
        <v>6494664</v>
      </c>
      <c r="D108" s="254">
        <f>'TAXREC 3 No True-up'!D75</f>
        <v>0</v>
      </c>
      <c r="E108" s="273">
        <f t="shared" si="5"/>
        <v>6494664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8802163</v>
      </c>
      <c r="D113" s="251">
        <f>SUM(D97:D111)</f>
        <v>0</v>
      </c>
      <c r="E113" s="251">
        <f>SUM(E97:E111)</f>
        <v>8802163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8802163</v>
      </c>
      <c r="D122" s="251">
        <f>D113+D120</f>
        <v>0</v>
      </c>
      <c r="E122" s="251">
        <f>+E113+E120</f>
        <v>8802163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1854805</v>
      </c>
      <c r="D134" s="251">
        <f>D53+D82-D122</f>
        <v>0</v>
      </c>
      <c r="E134" s="251">
        <f>E53+E82-E122</f>
        <v>1854805</v>
      </c>
      <c r="F134" s="8"/>
      <c r="G134" s="45"/>
      <c r="H134" s="45"/>
      <c r="I134" s="30">
        <f>C134</f>
        <v>1854805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372</v>
      </c>
      <c r="B136" s="8" t="s">
        <v>188</v>
      </c>
      <c r="C136" s="295">
        <v>1854805</v>
      </c>
      <c r="D136" s="295"/>
      <c r="E136" s="265">
        <f>C136-D136</f>
        <v>1854805</v>
      </c>
      <c r="F136" s="8"/>
      <c r="G136" s="45"/>
      <c r="H136" s="45"/>
      <c r="I136" s="482">
        <f>I134-I135</f>
        <v>-461701</v>
      </c>
      <c r="J136" s="45"/>
      <c r="K136" s="45"/>
    </row>
    <row r="137" spans="1:11" ht="12.75">
      <c r="A137" s="46" t="s">
        <v>373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0</v>
      </c>
      <c r="D139" s="252">
        <f>D134-D136-D137-D138</f>
        <v>0</v>
      </c>
      <c r="E139" s="252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89">
        <v>0</v>
      </c>
      <c r="D142" s="299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89">
        <v>36796</v>
      </c>
      <c r="D143" s="299"/>
      <c r="E143" s="293">
        <f>C143-D143</f>
        <v>36796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36796</v>
      </c>
      <c r="D144" s="252">
        <f>D142+D143</f>
        <v>0</v>
      </c>
      <c r="E144" s="252">
        <f>E142+E143</f>
        <v>36796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/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36796</v>
      </c>
      <c r="D146" s="252">
        <f>D144-D145</f>
        <v>0</v>
      </c>
      <c r="E146" s="252">
        <f>E144-E145</f>
        <v>36796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6">
        <f>+'Tax Rates'!F50</f>
        <v>0.2412</v>
      </c>
      <c r="D149" s="5"/>
      <c r="E149" s="407">
        <f>C149</f>
        <v>0.2412</v>
      </c>
      <c r="F149" s="8"/>
      <c r="G149" s="479" t="s">
        <v>466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07">
        <f>+'Tax Rates'!F51</f>
        <v>0.125</v>
      </c>
      <c r="D150" s="5"/>
      <c r="E150" s="407">
        <f>C150</f>
        <v>0.125</v>
      </c>
      <c r="F150" s="8"/>
      <c r="G150" s="479" t="s">
        <v>467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407">
        <f>SUM(C149:C150)</f>
        <v>0.36619999999999997</v>
      </c>
      <c r="D151" s="5"/>
      <c r="E151" s="407">
        <f>SUM(E149:E150)</f>
        <v>0.36619999999999997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36796</v>
      </c>
      <c r="D156" s="251">
        <f>D146</f>
        <v>0</v>
      </c>
      <c r="E156" s="251">
        <f>E146</f>
        <v>36796</v>
      </c>
    </row>
    <row r="157" spans="1:5" ht="12.75">
      <c r="A157" t="s">
        <v>20</v>
      </c>
      <c r="B157" s="86" t="s">
        <v>187</v>
      </c>
      <c r="C157" s="251">
        <v>129795</v>
      </c>
      <c r="D157" s="251"/>
      <c r="E157" s="251">
        <f>C157+D157</f>
        <v>129795</v>
      </c>
    </row>
    <row r="158" spans="1:5" ht="12.75">
      <c r="A158" t="s">
        <v>218</v>
      </c>
      <c r="B158" s="86" t="s">
        <v>187</v>
      </c>
      <c r="C158" s="251">
        <v>99189</v>
      </c>
      <c r="D158" s="251"/>
      <c r="E158" s="251">
        <f>C158+D158</f>
        <v>99189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265780</v>
      </c>
      <c r="D160" s="251">
        <f>D156+D157+D158</f>
        <v>0</v>
      </c>
      <c r="E160" s="251">
        <f>E156+E157+E158</f>
        <v>265780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/>
  <pageMargins left="0.354330708661417" right="0.0393700787401575" top="0.7" bottom="0.34" header="0.19" footer="0"/>
  <pageSetup fitToHeight="2" fitToWidth="1" horizontalDpi="600" verticalDpi="600" orientation="portrait" scale="67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39">
      <selection activeCell="C60" sqref="C60"/>
    </sheetView>
  </sheetViews>
  <sheetFormatPr defaultColWidth="9.140625" defaultRowHeight="12.75"/>
  <cols>
    <col min="1" max="1" width="48.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Brantford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446</v>
      </c>
      <c r="B18" s="61"/>
      <c r="C18" s="295"/>
      <c r="D18" s="295"/>
      <c r="E18" s="251">
        <f t="shared" si="0"/>
        <v>0</v>
      </c>
    </row>
    <row r="19" spans="1:5" ht="12.75">
      <c r="A19" s="61" t="s">
        <v>446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446</v>
      </c>
      <c r="B30" s="61"/>
      <c r="C30" s="295"/>
      <c r="D30" s="295"/>
      <c r="E30" s="251">
        <f t="shared" si="1"/>
        <v>0</v>
      </c>
    </row>
    <row r="31" spans="1:5" ht="12.75">
      <c r="A31" s="61" t="s">
        <v>446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5"/>
      <c r="D43" s="295"/>
      <c r="E43" s="251">
        <f t="shared" si="2"/>
        <v>0</v>
      </c>
    </row>
    <row r="44" spans="1:5" ht="12.75">
      <c r="A44" s="496" t="s">
        <v>495</v>
      </c>
      <c r="B44" s="61"/>
      <c r="C44" s="295"/>
      <c r="D44" s="295"/>
      <c r="E44" s="251">
        <f t="shared" si="2"/>
        <v>0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505</v>
      </c>
      <c r="B47" s="61"/>
      <c r="C47" s="295">
        <v>337623</v>
      </c>
      <c r="D47" s="295"/>
      <c r="E47" s="251">
        <f t="shared" si="2"/>
        <v>337623</v>
      </c>
    </row>
    <row r="48" spans="1:5" ht="12.75">
      <c r="A48" s="61" t="s">
        <v>446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337623</v>
      </c>
      <c r="D50" s="251">
        <f>SUM(D41:D49)</f>
        <v>0</v>
      </c>
      <c r="E50" s="251">
        <f>SUM(E41:E49)</f>
        <v>337623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5"/>
      <c r="D55" s="295"/>
      <c r="E55" s="251">
        <f t="shared" si="3"/>
        <v>0</v>
      </c>
    </row>
    <row r="56" spans="1:5" ht="12.75">
      <c r="A56" s="496" t="s">
        <v>495</v>
      </c>
      <c r="B56" s="61"/>
      <c r="C56" s="295"/>
      <c r="D56" s="295"/>
      <c r="E56" s="251">
        <f t="shared" si="3"/>
        <v>0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505</v>
      </c>
      <c r="B59" s="61"/>
      <c r="C59" s="295">
        <v>421788</v>
      </c>
      <c r="D59" s="295"/>
      <c r="E59" s="251">
        <f t="shared" si="3"/>
        <v>421788</v>
      </c>
    </row>
    <row r="60" spans="1:5" ht="12.75">
      <c r="A60" s="61" t="s">
        <v>446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421788</v>
      </c>
      <c r="D63" s="251">
        <f>SUM(D53:D61)</f>
        <v>0</v>
      </c>
      <c r="E63" s="251">
        <f>SUM(E53:E61)</f>
        <v>421788</v>
      </c>
    </row>
  </sheetData>
  <sheetProtection/>
  <printOptions/>
  <pageMargins left="0.354330708661417" right="0.0393700787401575" top="0.7" bottom="0.34" header="0.19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110" zoomScaleNormal="110" zoomScalePageLayoutView="0" workbookViewId="0" topLeftCell="A1">
      <pane xSplit="1" ySplit="6" topLeftCell="B11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95" sqref="A9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463</v>
      </c>
      <c r="B5" s="8"/>
      <c r="C5" s="8" t="s">
        <v>2</v>
      </c>
      <c r="D5" s="8"/>
      <c r="E5" s="8"/>
      <c r="F5" s="8"/>
    </row>
    <row r="6" spans="1:6" ht="12.75">
      <c r="A6" s="417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Brantford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58725.9075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251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447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475</v>
      </c>
      <c r="B36" t="s">
        <v>187</v>
      </c>
      <c r="C36" s="490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254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494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/>
  <pageMargins left="0.354330708661417" right="0.0393700787401575" top="0.7" bottom="0.34" header="0.19" footer="0"/>
  <pageSetup fitToHeight="2" fitToWidth="1" horizontalDpi="600" verticalDpi="600" orientation="portrait" scale="78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4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55" sqref="C5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382</v>
      </c>
      <c r="E3" s="92"/>
    </row>
    <row r="4" spans="1:6" ht="15.75">
      <c r="A4" s="461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3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Brantford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385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451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388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389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452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435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387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386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430</v>
      </c>
      <c r="B32" t="s">
        <v>187</v>
      </c>
      <c r="C32" s="490"/>
      <c r="D32" s="296"/>
      <c r="E32" s="314">
        <f t="shared" si="0"/>
        <v>0</v>
      </c>
    </row>
    <row r="33" spans="1:5" ht="12.75">
      <c r="A33" s="67" t="s">
        <v>431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448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449</v>
      </c>
      <c r="C35" s="296">
        <v>0</v>
      </c>
      <c r="D35" s="296"/>
      <c r="E35" s="314">
        <f t="shared" si="0"/>
        <v>0</v>
      </c>
    </row>
    <row r="36" spans="1:5" ht="12.75">
      <c r="A36" s="67" t="s">
        <v>432</v>
      </c>
      <c r="C36" s="490"/>
      <c r="D36" s="296"/>
      <c r="E36" s="314">
        <f t="shared" si="0"/>
        <v>0</v>
      </c>
    </row>
    <row r="37" spans="1:5" ht="12.75">
      <c r="A37" s="67" t="s">
        <v>433</v>
      </c>
      <c r="C37" s="296"/>
      <c r="D37" s="296"/>
      <c r="E37" s="314">
        <f t="shared" si="0"/>
        <v>0</v>
      </c>
    </row>
    <row r="38" spans="1:5" ht="12.75">
      <c r="A38" s="67" t="s">
        <v>455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390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81" t="s">
        <v>384</v>
      </c>
      <c r="B41" t="s">
        <v>187</v>
      </c>
      <c r="C41" s="490">
        <v>7329553</v>
      </c>
      <c r="D41" s="296"/>
      <c r="E41" s="314">
        <f t="shared" si="0"/>
        <v>7329553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s="494" t="s">
        <v>493</v>
      </c>
      <c r="B44" t="s">
        <v>187</v>
      </c>
      <c r="C44" s="254">
        <v>10742</v>
      </c>
      <c r="D44" s="295"/>
      <c r="E44" s="251">
        <f t="shared" si="0"/>
        <v>10742</v>
      </c>
    </row>
    <row r="45" spans="1:5" ht="12.75">
      <c r="A45" s="495" t="s">
        <v>494</v>
      </c>
      <c r="B45" t="s">
        <v>187</v>
      </c>
      <c r="C45" s="295"/>
      <c r="D45" s="295"/>
      <c r="E45" s="251">
        <f t="shared" si="0"/>
        <v>0</v>
      </c>
    </row>
    <row r="46" spans="1:5" ht="12.75">
      <c r="A46" s="495" t="s">
        <v>496</v>
      </c>
      <c r="B46" t="s">
        <v>187</v>
      </c>
      <c r="C46" s="295"/>
      <c r="D46" s="295"/>
      <c r="E46" s="280"/>
    </row>
    <row r="47" spans="1:5" ht="12.75">
      <c r="A47" s="446" t="s">
        <v>394</v>
      </c>
      <c r="B47" t="s">
        <v>189</v>
      </c>
      <c r="C47" s="251">
        <f>SUM(C19:C46)</f>
        <v>7340295</v>
      </c>
      <c r="D47" s="251">
        <f>SUM(D19:D46)</f>
        <v>0</v>
      </c>
      <c r="E47" s="251">
        <f>SUM(E19:E46)</f>
        <v>7340295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451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386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434</v>
      </c>
      <c r="B54" s="8" t="s">
        <v>188</v>
      </c>
      <c r="C54" s="295">
        <v>15000</v>
      </c>
      <c r="D54" s="295"/>
      <c r="E54" s="251">
        <f t="shared" si="1"/>
        <v>15000</v>
      </c>
    </row>
    <row r="55" spans="1:5" ht="12.75">
      <c r="A55" s="67" t="s">
        <v>442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454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450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453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3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5" t="s">
        <v>391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5" t="s">
        <v>384</v>
      </c>
      <c r="B66" s="8" t="s">
        <v>188</v>
      </c>
      <c r="C66" s="295">
        <v>6479664</v>
      </c>
      <c r="D66" s="295"/>
      <c r="E66" s="251">
        <f t="shared" si="2"/>
        <v>6479664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495"/>
      <c r="B69" s="8" t="s">
        <v>188</v>
      </c>
      <c r="C69" s="295"/>
      <c r="D69" s="295"/>
      <c r="E69" s="251">
        <f t="shared" si="2"/>
        <v>0</v>
      </c>
    </row>
    <row r="70" spans="1:5" ht="12.75">
      <c r="A70" s="495"/>
      <c r="B70" s="8" t="s">
        <v>188</v>
      </c>
      <c r="C70" s="295"/>
      <c r="D70" s="295"/>
      <c r="E70" s="251">
        <f t="shared" si="2"/>
        <v>0</v>
      </c>
    </row>
    <row r="71" spans="1:5" ht="12.75">
      <c r="A71" s="495"/>
      <c r="B71" s="8" t="s">
        <v>188</v>
      </c>
      <c r="C71" s="295"/>
      <c r="D71" s="295"/>
      <c r="E71" s="251">
        <f t="shared" si="2"/>
        <v>0</v>
      </c>
    </row>
    <row r="72" spans="1:5" ht="12.75">
      <c r="A72" s="495"/>
      <c r="B72" s="8" t="s">
        <v>188</v>
      </c>
      <c r="C72" s="295"/>
      <c r="D72" s="295"/>
      <c r="E72" s="280">
        <f t="shared" si="2"/>
        <v>0</v>
      </c>
    </row>
    <row r="73" spans="1:5" ht="12.75">
      <c r="A73" s="495"/>
      <c r="B73" s="8"/>
      <c r="C73" s="295"/>
      <c r="D73" s="295"/>
      <c r="E73" s="280">
        <f t="shared" si="2"/>
        <v>0</v>
      </c>
    </row>
    <row r="74" spans="1:5" ht="12.75">
      <c r="A74" s="495"/>
      <c r="B74" s="8"/>
      <c r="C74" s="295"/>
      <c r="D74" s="295"/>
      <c r="E74" s="280"/>
    </row>
    <row r="75" spans="1:5" ht="12.75">
      <c r="A75" s="445" t="s">
        <v>393</v>
      </c>
      <c r="B75" s="8" t="s">
        <v>189</v>
      </c>
      <c r="C75" s="251">
        <f>SUM(C51:C74)</f>
        <v>6494664</v>
      </c>
      <c r="D75" s="251">
        <f>SUM(D51:D74)</f>
        <v>0</v>
      </c>
      <c r="E75" s="251">
        <f>SUM(E51:E74)</f>
        <v>6494664</v>
      </c>
    </row>
    <row r="76" ht="12.75">
      <c r="A76" s="67"/>
    </row>
    <row r="77" ht="12.75">
      <c r="A77" s="4"/>
    </row>
    <row r="78" ht="12.75">
      <c r="A78" s="497"/>
    </row>
    <row r="79" ht="12.75">
      <c r="A79" s="498"/>
    </row>
    <row r="80" ht="12.75">
      <c r="A80" s="498"/>
    </row>
    <row r="81" ht="12.75">
      <c r="A81" s="498"/>
    </row>
    <row r="82" ht="12.75">
      <c r="A82" s="498"/>
    </row>
    <row r="83" ht="12.75">
      <c r="A83" s="31"/>
    </row>
    <row r="84" ht="12.75">
      <c r="A84" s="498"/>
    </row>
    <row r="85" ht="12.75">
      <c r="A85" s="498"/>
    </row>
    <row r="86" ht="12.75">
      <c r="A86" s="498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/>
  <pageMargins left="0.354330708661417" right="0.0393700787401575" top="0.7" bottom="0.34" header="0.19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0">
      <selection activeCell="C57" sqref="C5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EB-2010-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304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Brantford Power Inc.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8" t="s">
        <v>482</v>
      </c>
      <c r="B8" s="509"/>
      <c r="C8" s="509"/>
      <c r="D8" s="509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465</v>
      </c>
      <c r="B10" s="328"/>
      <c r="C10" s="377" t="s">
        <v>111</v>
      </c>
      <c r="D10" s="377"/>
      <c r="E10" s="377" t="s">
        <v>111</v>
      </c>
      <c r="F10" s="378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297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296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301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258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329</v>
      </c>
      <c r="B21" s="408" t="s">
        <v>470</v>
      </c>
      <c r="C21" s="492">
        <f>5000000*REGINFO!D21</f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330</v>
      </c>
      <c r="B22" s="409" t="s">
        <v>471</v>
      </c>
      <c r="C22" s="493">
        <f>10000000*REGINFO!D22</f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2" t="s">
        <v>489</v>
      </c>
      <c r="B23" s="503"/>
      <c r="C23" s="503"/>
      <c r="D23" s="503"/>
      <c r="E23" s="503"/>
      <c r="F23" s="503"/>
      <c r="G23" s="435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0" t="s">
        <v>483</v>
      </c>
      <c r="B26" s="511"/>
      <c r="C26" s="511"/>
      <c r="D26" s="511"/>
      <c r="E26" s="511"/>
      <c r="F26" s="51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438</v>
      </c>
      <c r="B28" s="328"/>
      <c r="C28" s="371" t="s">
        <v>111</v>
      </c>
      <c r="D28" s="371"/>
      <c r="E28" s="371" t="s">
        <v>111</v>
      </c>
      <c r="F28" s="372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296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258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484</v>
      </c>
      <c r="B39" s="408" t="s">
        <v>470</v>
      </c>
      <c r="C39" s="363">
        <f>5000000*REGINFO!D21</f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485</v>
      </c>
      <c r="B40" s="409" t="s">
        <v>471</v>
      </c>
      <c r="C40" s="364">
        <f>10000000*REGINFO!D22</f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4" t="s">
        <v>332</v>
      </c>
      <c r="B41" s="503"/>
      <c r="C41" s="503"/>
      <c r="D41" s="503"/>
      <c r="E41" s="503"/>
      <c r="F41" s="50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5"/>
      <c r="B42" s="505"/>
      <c r="C42" s="505"/>
      <c r="D42" s="505"/>
      <c r="E42" s="505"/>
      <c r="F42" s="50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486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469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296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258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346</v>
      </c>
      <c r="B57" s="408" t="s">
        <v>470</v>
      </c>
      <c r="C57" s="363">
        <v>4797236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347</v>
      </c>
      <c r="B58" s="409" t="s">
        <v>471</v>
      </c>
      <c r="C58" s="364">
        <v>8264872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2" t="s">
        <v>348</v>
      </c>
      <c r="B59" s="506"/>
      <c r="C59" s="506"/>
      <c r="D59" s="506"/>
      <c r="E59" s="506"/>
      <c r="F59" s="50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7"/>
      <c r="B60" s="507"/>
      <c r="C60" s="507"/>
      <c r="D60" s="507"/>
      <c r="E60" s="507"/>
      <c r="F60" s="50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/>
  <pageMargins left="0.354330708661417" right="0.0393700787401575" top="0.7" bottom="0.34" header="0.19" footer="0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9">
      <selection activeCell="J32" sqref="J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Brantford Power Inc.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318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395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437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396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397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/>
      <c r="N15" s="393"/>
      <c r="O15" s="398">
        <f t="shared" si="0"/>
        <v>0</v>
      </c>
    </row>
    <row r="16" spans="1:15" ht="27" customHeight="1">
      <c r="A16" s="81" t="s">
        <v>398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399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/>
      <c r="N17" s="393"/>
      <c r="O17" s="398">
        <f t="shared" si="0"/>
        <v>0</v>
      </c>
    </row>
    <row r="18" spans="1:15" ht="25.5">
      <c r="A18" s="81" t="s">
        <v>400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29" t="s">
        <v>401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468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371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0</v>
      </c>
      <c r="N22" s="392"/>
      <c r="O22" s="447">
        <f>SUM(O11:O20)</f>
        <v>0</v>
      </c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8"/>
      <c r="M23" s="439"/>
      <c r="N23" s="188"/>
      <c r="O23" s="439"/>
    </row>
    <row r="24" spans="1:15" ht="12.75">
      <c r="A24" s="453"/>
      <c r="B24" s="454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</row>
    <row r="25" spans="1:15" ht="12.75">
      <c r="A25" s="430"/>
      <c r="B25" s="431"/>
      <c r="C25" s="457"/>
      <c r="D25" s="457"/>
      <c r="E25" s="457"/>
      <c r="F25" s="457"/>
      <c r="G25" s="457"/>
      <c r="H25" s="457"/>
      <c r="I25" s="457"/>
      <c r="J25" s="458"/>
      <c r="K25" s="457"/>
      <c r="L25" s="459"/>
      <c r="M25" s="460"/>
      <c r="N25" s="459"/>
      <c r="O25" s="460"/>
    </row>
    <row r="26" spans="1:15" ht="12.75">
      <c r="A26" s="430" t="s">
        <v>402</v>
      </c>
      <c r="B26" s="431"/>
      <c r="C26" s="457"/>
      <c r="D26" s="457"/>
      <c r="E26" s="457"/>
      <c r="F26" s="457"/>
      <c r="G26" s="457"/>
      <c r="H26" s="457"/>
      <c r="I26" s="457"/>
      <c r="J26" s="458"/>
      <c r="K26" s="457"/>
      <c r="L26" s="459"/>
      <c r="M26" s="460"/>
      <c r="N26" s="459"/>
      <c r="O26" s="460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8"/>
      <c r="M27" s="188"/>
      <c r="N27" s="188"/>
      <c r="O27" s="188"/>
    </row>
    <row r="28" spans="1:15" ht="12.75">
      <c r="A28" s="430" t="s">
        <v>403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8"/>
      <c r="M28" s="188"/>
      <c r="N28" s="188"/>
      <c r="O28" s="188"/>
    </row>
    <row r="29" spans="1:15" ht="12.75">
      <c r="A29" s="433" t="s">
        <v>404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8"/>
      <c r="M29" s="188"/>
      <c r="N29" s="188"/>
      <c r="O29" s="188"/>
    </row>
    <row r="30" spans="1:15" ht="9" customHeight="1">
      <c r="A30" s="188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8"/>
      <c r="M30" s="188"/>
      <c r="N30" s="188"/>
      <c r="O30" s="188"/>
    </row>
    <row r="31" spans="1:15" ht="12.75">
      <c r="A31" s="448" t="s">
        <v>405</v>
      </c>
      <c r="B31" s="80"/>
      <c r="C31" s="80"/>
      <c r="D31" s="80"/>
      <c r="E31" s="80"/>
      <c r="F31" s="80"/>
      <c r="G31" s="80"/>
      <c r="H31" s="80"/>
      <c r="I31" s="444"/>
      <c r="J31" s="444">
        <v>3</v>
      </c>
      <c r="K31" s="444"/>
      <c r="L31" s="444"/>
      <c r="M31" s="444"/>
      <c r="N31" s="444"/>
      <c r="O31" s="444"/>
    </row>
    <row r="32" spans="1:15" ht="9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</row>
    <row r="33" spans="1:19" ht="12.75">
      <c r="A33" s="513" t="s">
        <v>406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422"/>
      <c r="Q33" s="422"/>
      <c r="R33" s="422"/>
      <c r="S33" s="422"/>
    </row>
    <row r="34" spans="1:19" ht="12.75">
      <c r="A34" s="512" t="s">
        <v>407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422"/>
      <c r="Q34" s="422"/>
      <c r="R34" s="422"/>
      <c r="S34" s="422"/>
    </row>
    <row r="35" spans="1:19" ht="12.75">
      <c r="A35" s="512" t="s">
        <v>428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22"/>
      <c r="Q35" s="422"/>
      <c r="R35" s="422"/>
      <c r="S35" s="422"/>
    </row>
    <row r="36" spans="1:19" ht="12.75">
      <c r="A36" s="512" t="s">
        <v>408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22"/>
      <c r="Q36" s="422"/>
      <c r="R36" s="422"/>
      <c r="S36" s="422"/>
    </row>
    <row r="37" spans="1:19" ht="12.75">
      <c r="A37" s="434" t="s">
        <v>368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22"/>
      <c r="Q37" s="422"/>
      <c r="R37" s="422"/>
      <c r="S37" s="422"/>
    </row>
    <row r="38" spans="1:19" ht="12.75">
      <c r="A38" s="434" t="s">
        <v>369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22"/>
      <c r="Q38" s="422"/>
      <c r="R38" s="422"/>
      <c r="S38" s="422"/>
    </row>
    <row r="39" spans="1:19" ht="12.75">
      <c r="A39" s="434" t="s">
        <v>409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22"/>
      <c r="Q39" s="422"/>
      <c r="R39" s="422"/>
      <c r="S39" s="422"/>
    </row>
    <row r="40" spans="1:19" ht="12.75">
      <c r="A40" s="434" t="s">
        <v>410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22"/>
      <c r="Q40" s="422"/>
      <c r="R40" s="422"/>
      <c r="S40" s="422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22"/>
      <c r="Q41" s="422"/>
      <c r="R41" s="422"/>
      <c r="S41" s="422"/>
    </row>
    <row r="42" spans="1:15" ht="12.75">
      <c r="A42" s="436" t="s">
        <v>411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8"/>
      <c r="M42" s="188"/>
      <c r="N42" s="188"/>
      <c r="O42" s="188"/>
    </row>
    <row r="43" spans="1:15" ht="12.75">
      <c r="A43" s="431" t="s">
        <v>412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8"/>
      <c r="M43" s="188"/>
      <c r="N43" s="188"/>
      <c r="O43" s="188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8"/>
      <c r="M44" s="188"/>
      <c r="N44" s="188"/>
      <c r="O44" s="188"/>
    </row>
    <row r="45" spans="1:15" ht="12.75">
      <c r="A45" s="436" t="s">
        <v>413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8"/>
      <c r="M45" s="188"/>
      <c r="N45" s="188"/>
      <c r="O45" s="188"/>
    </row>
    <row r="46" spans="1:15" ht="12.75">
      <c r="A46" s="431" t="s">
        <v>414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8"/>
      <c r="M46" s="188"/>
      <c r="N46" s="188"/>
      <c r="O46" s="188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8"/>
      <c r="M47" s="188"/>
      <c r="N47" s="188"/>
      <c r="O47" s="188"/>
    </row>
    <row r="48" spans="1:15" ht="12.75">
      <c r="A48" s="436" t="s">
        <v>415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8"/>
      <c r="M48" s="188"/>
      <c r="N48" s="188"/>
      <c r="O48" s="188"/>
    </row>
    <row r="49" spans="1:15" ht="12.75">
      <c r="A49" s="431" t="s">
        <v>416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8"/>
      <c r="M49" s="188"/>
      <c r="N49" s="188"/>
      <c r="O49" s="188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8"/>
      <c r="M50" s="188"/>
      <c r="N50" s="188"/>
      <c r="O50" s="188"/>
    </row>
    <row r="51" spans="1:15" ht="12.75">
      <c r="A51" s="436" t="s">
        <v>417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8"/>
      <c r="M51" s="188"/>
      <c r="N51" s="188"/>
      <c r="O51" s="188"/>
    </row>
    <row r="52" spans="1:15" ht="12.75">
      <c r="A52" s="431" t="s">
        <v>414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8"/>
      <c r="M52" s="188"/>
      <c r="N52" s="188"/>
      <c r="O52" s="188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8"/>
      <c r="M53" s="188"/>
      <c r="N53" s="188"/>
      <c r="O53" s="188"/>
    </row>
    <row r="54" spans="1:15" ht="12.75">
      <c r="A54" s="431" t="s">
        <v>418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8"/>
      <c r="M54" s="188"/>
      <c r="N54" s="188"/>
      <c r="O54" s="188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8"/>
      <c r="M55" s="188"/>
      <c r="N55" s="188"/>
      <c r="O55" s="188"/>
    </row>
    <row r="56" spans="1:15" ht="12.75" customHeight="1">
      <c r="A56" s="436" t="s">
        <v>419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8"/>
      <c r="M56" s="188"/>
      <c r="N56" s="188"/>
      <c r="O56" s="188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8"/>
      <c r="M57" s="188"/>
      <c r="N57" s="188"/>
      <c r="O57" s="188"/>
    </row>
    <row r="58" spans="1:15" ht="12.75">
      <c r="A58" s="431" t="s">
        <v>420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8"/>
      <c r="M58" s="188"/>
      <c r="N58" s="188"/>
      <c r="O58" s="188"/>
    </row>
    <row r="59" spans="1:15" ht="12.75">
      <c r="A59" s="431" t="s">
        <v>421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8"/>
      <c r="M59" s="188"/>
      <c r="N59" s="188"/>
      <c r="O59" s="188"/>
    </row>
    <row r="60" spans="1:15" ht="12.75">
      <c r="A60" s="431" t="s">
        <v>422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8"/>
      <c r="M60" s="188"/>
      <c r="N60" s="188"/>
      <c r="O60" s="188"/>
    </row>
    <row r="61" spans="1:15" ht="12.75">
      <c r="A61" s="431" t="s">
        <v>378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8"/>
      <c r="M61" s="188"/>
      <c r="N61" s="188"/>
      <c r="O61" s="188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8"/>
      <c r="M62" s="188"/>
      <c r="N62" s="188"/>
      <c r="O62" s="188"/>
    </row>
    <row r="63" spans="1:15" ht="12.75">
      <c r="A63" s="431" t="s">
        <v>423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8"/>
      <c r="M63" s="188"/>
      <c r="N63" s="188"/>
      <c r="O63" s="188"/>
    </row>
    <row r="64" spans="1:15" ht="12.75">
      <c r="A64" s="431" t="s">
        <v>424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8"/>
      <c r="M64" s="188"/>
      <c r="N64" s="188"/>
      <c r="O64" s="188"/>
    </row>
    <row r="65" spans="1:15" ht="12.75">
      <c r="A65" s="431" t="s">
        <v>380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8"/>
      <c r="M65" s="188"/>
      <c r="N65" s="188"/>
      <c r="O65" s="188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8"/>
      <c r="M66" s="188"/>
      <c r="N66" s="188"/>
      <c r="O66" s="188"/>
    </row>
    <row r="67" spans="1:15" ht="12.75">
      <c r="A67" s="431" t="s">
        <v>379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8"/>
      <c r="M67" s="188"/>
      <c r="N67" s="188"/>
      <c r="O67" s="188"/>
    </row>
    <row r="68" spans="1:15" ht="12.75">
      <c r="A68" s="431" t="s">
        <v>381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8"/>
      <c r="M68" s="188"/>
      <c r="N68" s="188"/>
      <c r="O68" s="188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8"/>
      <c r="M69" s="188"/>
      <c r="N69" s="188"/>
      <c r="O69" s="188"/>
    </row>
    <row r="70" spans="1:15" ht="12.75">
      <c r="A70" s="431" t="s">
        <v>425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8"/>
      <c r="M70" s="188"/>
      <c r="N70" s="188"/>
      <c r="O70" s="188"/>
    </row>
    <row r="71" spans="1:15" ht="12.75">
      <c r="A71" s="431" t="s">
        <v>426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8"/>
      <c r="M71" s="188"/>
      <c r="N71" s="188"/>
      <c r="O71" s="188"/>
    </row>
    <row r="72" spans="1:15" ht="12.75">
      <c r="A72" s="431" t="s">
        <v>427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8"/>
      <c r="M72" s="188"/>
      <c r="N72" s="188"/>
      <c r="O72" s="188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8"/>
      <c r="M73" s="188"/>
      <c r="N73" s="188"/>
      <c r="O73" s="188"/>
    </row>
    <row r="74" spans="1:15" ht="12.75" customHeight="1">
      <c r="A74" s="512" t="s">
        <v>457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</row>
    <row r="75" spans="1:15" ht="12.75">
      <c r="A75" s="431" t="s">
        <v>370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8"/>
      <c r="M75" s="188"/>
      <c r="N75" s="188"/>
      <c r="O75" s="188"/>
    </row>
    <row r="76" spans="1:15" ht="12.75">
      <c r="A76" s="188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8"/>
      <c r="M76" s="188"/>
      <c r="N76" s="188"/>
      <c r="O76" s="188"/>
    </row>
    <row r="77" spans="1:15" ht="12.75">
      <c r="A77" s="188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8"/>
      <c r="M77" s="188"/>
      <c r="N77" s="188"/>
      <c r="O77" s="188"/>
    </row>
    <row r="78" spans="1:17" ht="12.75">
      <c r="A78" s="188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8"/>
      <c r="O78" s="188"/>
      <c r="P78" s="188"/>
      <c r="Q78" s="188"/>
    </row>
    <row r="79" spans="1:17" ht="12.75">
      <c r="A79" s="188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8"/>
      <c r="O79" s="188"/>
      <c r="P79" s="188"/>
      <c r="Q79" s="188"/>
    </row>
    <row r="80" spans="1:17" ht="12.75">
      <c r="A80" s="188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8"/>
      <c r="O80" s="188"/>
      <c r="P80" s="188"/>
      <c r="Q80" s="188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8"/>
      <c r="O81" s="188"/>
      <c r="P81" s="188"/>
      <c r="Q81" s="188"/>
    </row>
    <row r="82" spans="1:17" ht="12.75">
      <c r="A82" s="188"/>
      <c r="B82" s="18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8"/>
      <c r="O82" s="188"/>
      <c r="P82" s="188"/>
      <c r="Q82" s="188"/>
    </row>
    <row r="83" spans="1:17" ht="12.75">
      <c r="A83" s="188"/>
      <c r="B83" s="188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8"/>
      <c r="O83" s="188"/>
      <c r="P83" s="188"/>
      <c r="Q83" s="188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8"/>
      <c r="O84" s="188"/>
      <c r="P84" s="188"/>
      <c r="Q84" s="188"/>
    </row>
    <row r="85" spans="1:17" ht="12.75">
      <c r="A85" s="188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8"/>
      <c r="O85" s="188"/>
      <c r="P85" s="188"/>
      <c r="Q85" s="188"/>
    </row>
    <row r="86" spans="1:17" ht="12.75">
      <c r="A86" s="188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8"/>
      <c r="O86" s="188"/>
      <c r="P86" s="188"/>
      <c r="Q86" s="188"/>
    </row>
    <row r="87" spans="1:17" ht="12.75">
      <c r="A87" s="188"/>
      <c r="B87" s="188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8"/>
      <c r="O87" s="188"/>
      <c r="P87" s="188"/>
      <c r="Q87" s="188"/>
    </row>
    <row r="88" spans="1:17" ht="12.75">
      <c r="A88" s="188"/>
      <c r="B88" s="188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8"/>
      <c r="O88" s="188"/>
      <c r="P88" s="188"/>
      <c r="Q88" s="188"/>
    </row>
    <row r="89" spans="1:17" ht="12.75">
      <c r="A89" s="188"/>
      <c r="B89" s="188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8"/>
      <c r="O89" s="188"/>
      <c r="P89" s="188"/>
      <c r="Q89" s="188"/>
    </row>
    <row r="90" spans="1:17" ht="12.75">
      <c r="A90" s="188"/>
      <c r="B90" s="188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8"/>
      <c r="O90" s="188"/>
      <c r="P90" s="188"/>
      <c r="Q90" s="188"/>
    </row>
    <row r="91" spans="1:17" ht="12.75">
      <c r="A91" s="188"/>
      <c r="B91" s="188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8"/>
      <c r="O91" s="188"/>
      <c r="P91" s="188"/>
      <c r="Q91" s="188"/>
    </row>
    <row r="92" spans="1:17" ht="12.75">
      <c r="A92" s="188"/>
      <c r="B92" s="188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</row>
    <row r="93" spans="1:17" ht="12.75">
      <c r="A93" s="188"/>
      <c r="B93" s="188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Glenda Maldonado</cp:lastModifiedBy>
  <cp:lastPrinted>2012-01-24T17:17:04Z</cp:lastPrinted>
  <dcterms:created xsi:type="dcterms:W3CDTF">2001-11-07T16:15:53Z</dcterms:created>
  <dcterms:modified xsi:type="dcterms:W3CDTF">2012-02-28T14:51:57Z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