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<sst xmlns="http://schemas.openxmlformats.org/spreadsheetml/2006/main" count="876" uniqueCount="506">
  <si>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</si>
  <si>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</si>
  <si>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</si>
  <si>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</si>
  <si>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</si>
  <si>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</si>
  <si>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</si>
  <si>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</si>
  <si>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</si>
  <si>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</si>
  <si>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</si>
  <si>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</si>
  <si>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</si>
  <si>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</si>
  <si>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</si>
  <si>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</si>
  <si>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</si>
  <si>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</si>
  <si>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</si>
  <si>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</si>
  <si>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</si>
  <si>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</si>
  <si>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</si>
  <si>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</si>
  <si>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</si>
  <si>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</si>
  <si>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</si>
  <si>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</si>
  <si>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</si>
  <si>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</si>
  <si>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</si>
  <si>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</si>
  <si>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</si>
  <si>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</si>
  <si>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</si>
  <si>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</si>
  <si>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</si>
  <si>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</si>
  <si>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</si>
  <si>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</si>
  <si>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</si>
  <si>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</si>
  <si>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</si>
  <si>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</si>
  <si>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</si>
  <si>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</si>
  <si>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</si>
  <si>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</si>
  <si>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</si>
  <si>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</si>
  <si>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</si>
  <si>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</si>
  <si>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</si>
  <si>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</si>
  <si>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</si>
  <si>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</si>
  <si>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</si>
  <si>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</si>
  <si>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</si>
  <si>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</si>
  <si>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</si>
  <si>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</si>
  <si>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</si>
  <si>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</si>
  <si>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</si>
  <si>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</si>
  <si>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</si>
  <si>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</si>
  <si>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</si>
  <si>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</si>
  <si>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</si>
  <si>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</si>
  <si>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</si>
  <si>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</si>
  <si>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</si>
  <si>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</si>
  <si>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</si>
  <si>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</si>
  <si>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</si>
  <si>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</si>
  <si>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</si>
  <si>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</si>
  <si>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</si>
  <si>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</si>
  <si>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</si>
  <si>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</si>
  <si>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</si>
  <si>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</si>
  <si>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</si>
  <si>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</si>
  <si>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</si>
  <si>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</si>
  <si>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</si>
  <si>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</si>
  <si>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</si>
  <si>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</si>
  <si>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</si>
  <si>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</si>
  <si>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</si>
  <si>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</si>
  <si>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</si>
  <si>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</si>
  <si>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</si>
  <si>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</si>
  <si>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</si>
  <si>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</si>
  <si>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</si>
  <si>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</si>
  <si>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</si>
  <si>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</si>
  <si>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</si>
  <si>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</si>
  <si>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</si>
  <si>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</si>
  <si>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</si>
  <si>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</si>
  <si>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</si>
  <si>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</si>
  <si>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</si>
  <si>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</si>
  <si>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</si>
  <si>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</si>
  <si>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</si>
  <si>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</si>
  <si>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</si>
  <si>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</si>
  <si>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</si>
  <si>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</si>
  <si>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</si>
  <si>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</si>
  <si>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</si>
  <si>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</si>
  <si>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</si>
  <si>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</si>
  <si>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</si>
  <si>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</si>
  <si>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</si>
  <si>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</si>
  <si>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</si>
  <si>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</si>
  <si>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</si>
  <si>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</si>
  <si>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</si>
  <si>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</si>
  <si>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</si>
  <si>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</si>
  <si>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</si>
  <si>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</si>
  <si>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</si>
  <si>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</si>
  <si>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</si>
  <si>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</si>
  <si>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</si>
  <si>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</si>
  <si>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</si>
  <si>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</si>
  <si>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</si>
  <si>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</si>
  <si>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</si>
  <si>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</si>
  <si>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</si>
  <si>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</si>
  <si>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</si>
  <si>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</si>
  <si>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</si>
  <si>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</si>
  <si>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</si>
  <si>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</si>
  <si>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</si>
  <si>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</si>
  <si>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</si>
  <si>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</si>
  <si>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</si>
  <si>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</si>
  <si>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</si>
  <si>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</si>
  <si>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</si>
  <si>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</si>
  <si>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</si>
  <si>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</si>
  <si>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</si>
  <si>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</si>
  <si>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</si>
  <si>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</si>
  <si>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</si>
  <si>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</si>
  <si>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</si>
  <si>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</si>
  <si>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</si>
  <si>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</si>
  <si>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</si>
  <si>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</si>
  <si>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</si>
  <si>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</si>
  <si>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</si>
  <si>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</si>
  <si>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</si>
  <si>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</si>
  <si>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</si>
  <si>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</si>
  <si>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</si>
  <si>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</si>
  <si>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</si>
  <si>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</si>
  <si>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</si>
  <si>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</si>
  <si>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</si>
  <si>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</si>
  <si>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</si>
  <si>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</si>
  <si>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</si>
  <si>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</si>
  <si>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</si>
  <si>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</si>
  <si>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</si>
  <si>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</si>
  <si>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</si>
  <si>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</si>
  <si>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</si>
  <si>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</si>
  <si>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</si>
  <si>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</si>
  <si>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</si>
  <si>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</si>
  <si>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</si>
  <si>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</si>
  <si>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</si>
  <si>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</si>
  <si>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</si>
  <si>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</si>
  <si>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</si>
  <si>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</si>
  <si>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</si>
  <si>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</si>
  <si>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</si>
  <si>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</si>
  <si>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</si>
  <si>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</si>
  <si>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</si>
  <si>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</si>
  <si>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</si>
  <si>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</si>
  <si>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</si>
  <si>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</si>
  <si>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</si>
  <si>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</si>
  <si>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</si>
  <si>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</si>
  <si>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</si>
  <si>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</si>
  <si>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</si>
  <si>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</si>
  <si>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</si>
  <si>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</si>
  <si>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</si>
  <si>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</si>
  <si>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</si>
  <si>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</si>
  <si>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</si>
  <si>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</si>
  <si>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</si>
  <si>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</si>
  <si>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</si>
  <si>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</si>
  <si>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</si>
  <si>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</si>
  <si>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</si>
  <si>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</si>
  <si>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</si>
  <si>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</si>
  <si>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</si>
  <si>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</si>
  <si>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</si>
  <si>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</si>
  <si>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</si>
  <si>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</si>
  <si>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</si>
  <si>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</si>
  <si>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</si>
  <si>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</si>
  <si>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</si>
  <si>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</si>
  <si>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</si>
  <si>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</si>
  <si>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</si>
  <si>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</si>
  <si>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</si>
  <si>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</si>
  <si>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</si>
  <si>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</si>
  <si>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</si>
  <si>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</si>
  <si>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</si>
  <si>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</si>
  <si>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</si>
  <si>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</si>
  <si>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</si>
  <si>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</si>
  <si>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</si>
  <si>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</si>
  <si>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</si>
  <si>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</si>
  <si>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</si>
  <si>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</si>
  <si>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</si>
  <si>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</si>
  <si>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</si>
  <si>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</si>
  <si>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</si>
  <si>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</si>
  <si>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</si>
  <si>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</si>
  <si>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</si>
  <si>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</si>
  <si>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</si>
  <si>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</si>
  <si>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</si>
  <si>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</si>
  <si>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</si>
  <si>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</si>
  <si>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</si>
  <si>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</si>
  <si>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</si>
  <si>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</si>
  <si>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</si>
  <si>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</si>
  <si>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</si>
  <si>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</si>
  <si>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</si>
  <si>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</si>
  <si>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</si>
  <si>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</si>
  <si>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</si>
  <si>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</si>
  <si>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</si>
  <si>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</si>
  <si>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</si>
  <si>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</si>
  <si>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</si>
  <si>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</si>
  <si>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</si>
  <si>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</si>
  <si>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</si>
  <si>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</si>
  <si>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</si>
  <si>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</si>
  <si>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</si>
  <si>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</si>
  <si>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</si>
  <si>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</si>
  <si>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</si>
  <si>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</si>
  <si>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</si>
  <si>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</si>
  <si>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</si>
  <si>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</si>
  <si>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</si>
  <si>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</si>
  <si>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</si>
  <si>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</si>
  <si>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</si>
  <si>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</si>
  <si>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</si>
  <si>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</si>
  <si>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</si>
  <si>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</si>
  <si>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</si>
  <si>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</si>
  <si>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</si>
  <si>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</si>
  <si>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</si>
  <si>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</si>
  <si>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</si>
  <si>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</si>
  <si>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</si>
  <si>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</si>
  <si>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</si>
  <si>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</si>
  <si>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</si>
  <si>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</si>
  <si>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</si>
  <si>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</si>
  <si>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</si>
  <si>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</si>
  <si>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</si>
  <si>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</si>
  <si>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</si>
  <si>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</si>
  <si>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</si>
  <si>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</si>
  <si>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</si>
  <si>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</si>
  <si>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</si>
  <si>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</si>
  <si>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</si>
  <si>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</si>
  <si>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</si>
  <si>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</si>
  <si>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</si>
  <si>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</si>
  <si>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</si>
  <si>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</si>
  <si>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</si>
  <si>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</si>
  <si>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</si>
  <si>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</si>
  <si>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</si>
  <si>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</si>
  <si>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</si>
  <si>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</si>
  <si>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</si>
  <si>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</si>
  <si>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</si>
  <si>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</si>
  <si>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</si>
  <si>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</si>
  <si>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</si>
  <si>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</si>
  <si>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</si>
  <si>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</si>
  <si>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</si>
  <si>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</si>
  <si>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</si>
  <si>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</si>
  <si>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</si>
  <si>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</si>
  <si>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</si>
  <si>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</si>
  <si>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</si>
  <si>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</si>
  <si>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</si>
  <si>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</si>
  <si>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</si>
  <si>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</si>
  <si>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</si>
  <si>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</si>
  <si>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</si>
  <si>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</si>
  <si>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</si>
  <si>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</si>
  <si>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</si>
  <si>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</si>
  <si>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</si>
  <si>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</si>
  <si>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</si>
  <si>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</si>
  <si>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</si>
  <si>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</si>
  <si>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</si>
  <si>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</si>
  <si>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</si>
  <si>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</si>
  <si>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</si>
  <si>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</si>
  <si>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</si>
  <si>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</si>
  <si>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</si>
  <si>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</si>
  <si>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</si>
  <si>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</si>
  <si>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</si>
  <si>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</si>
  <si>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</si>
  <si>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</si>
  <si>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</si>
  <si>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</si>
  <si>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</si>
  <si>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</si>
  <si>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</si>
  <si>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</si>
  <si>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</si>
  <si>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</si>
  <si>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</si>
  <si>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</si>
  <si>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</si>
  <si>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</si>
  <si>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</si>
  <si>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</si>
  <si>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</si>
  <si>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</si>
  <si>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</si>
  <si>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</si>
  <si>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</si>
  <si>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</si>
  <si>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</si>
  <si>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</si>
  <si>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</si>
  <si>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</si>
  <si>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</si>
  <si>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</si>
  <si>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</si>
  <si>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</si>
  <si>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</si>
  <si>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</si>
  <si>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</si>
  <si>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</si>
  <si>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Does this include LCT?  NO.</t>
  </si>
  <si>
    <t>Does this include LCT?   NO.</t>
  </si>
  <si>
    <t>Reassessment</t>
  </si>
  <si>
    <t>Statement of Adjustments</t>
  </si>
  <si>
    <t>Agrees per JH</t>
  </si>
  <si>
    <t>Assessment</t>
  </si>
  <si>
    <t>Organization Costs Amortization and depreciation diff</t>
  </si>
  <si>
    <t>Utility Name: Orangeville Hydro Limited</t>
  </si>
  <si>
    <t>Total deemed interest  (REGINFO CELL D62)</t>
  </si>
  <si>
    <t>PILs TAXES - EB-2011-0190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</si>
</sst>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1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7" borderId="17" xfId="0" applyNumberFormat="1" applyFill="1" applyBorder="1" applyAlignment="1" applyProtection="1">
      <alignment horizontal="center" vertical="top"/>
      <protection locked="0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31" borderId="14" xfId="0" applyNumberFormat="1" applyFill="1" applyBorder="1" applyAlignment="1" applyProtection="1" quotePrefix="1">
      <alignment/>
      <protection/>
    </xf>
    <xf numFmtId="3" fontId="0" fillId="30" borderId="14" xfId="0" applyNumberFormat="1" applyFill="1" applyBorder="1" applyAlignment="1" applyProtection="1">
      <alignment vertical="top"/>
      <protection/>
    </xf>
    <xf numFmtId="10" fontId="0" fillId="31" borderId="14" xfId="0" applyNumberFormat="1" applyFill="1" applyBorder="1" applyAlignment="1" applyProtection="1" quotePrefix="1">
      <alignment vertical="top"/>
      <protection/>
    </xf>
    <xf numFmtId="37" fontId="0" fillId="31" borderId="14" xfId="0" applyNumberFormat="1" applyFill="1" applyBorder="1" applyAlignment="1" applyProtection="1">
      <alignment/>
      <protection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2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" fontId="0" fillId="0" borderId="58" xfId="0" applyNumberFormat="1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left" vertical="top"/>
    </xf>
    <xf numFmtId="3" fontId="0" fillId="0" borderId="14" xfId="0" applyNumberFormat="1" applyFill="1" applyBorder="1" applyAlignment="1" applyProtection="1">
      <alignment/>
      <protection/>
    </xf>
    <xf numFmtId="0" fontId="0" fillId="0" borderId="0" xfId="0" applyFont="1" applyAlignment="1">
      <alignment vertical="top"/>
    </xf>
    <xf numFmtId="10" fontId="0" fillId="0" borderId="0" xfId="63" applyFont="1" applyAlignment="1" applyProtection="1">
      <alignment vertical="top"/>
      <protection locked="0"/>
    </xf>
    <xf numFmtId="37" fontId="0" fillId="0" borderId="0" xfId="0" applyNumberFormat="1" applyBorder="1" applyAlignment="1">
      <alignment horizontal="left" vertical="top"/>
    </xf>
    <xf numFmtId="10" fontId="0" fillId="30" borderId="14" xfId="0" applyNumberFormat="1" applyFill="1" applyBorder="1" applyAlignment="1" applyProtection="1" quotePrefix="1">
      <alignment horizontal="right"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3" fontId="0" fillId="0" borderId="0" xfId="42" applyNumberFormat="1" applyFont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23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watchsu\Local%20Settings\Application%20Data\TOWER%20Software\TRIM5\TEMP\CONTEXT.5204\2003%20SIMPIL%20TCAL%20PILs_FI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HREE TAX RATES"/>
      <sheetName val="Checklist"/>
      <sheetName val="Background questionnaire"/>
      <sheetName val="PIL variance analysis"/>
    </sheetNames>
    <sheetDataSet>
      <sheetData sheetId="0">
        <row r="42">
          <cell r="D42">
            <v>343021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80" zoomScaleNormal="80" zoomScalePageLayoutView="0" workbookViewId="0" topLeftCell="A25">
      <selection activeCell="A2" sqref="A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505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503</v>
      </c>
      <c r="C3" s="8"/>
      <c r="D3" s="455" t="s">
        <v>447</v>
      </c>
      <c r="E3" s="8"/>
      <c r="F3" s="8"/>
      <c r="G3" s="8"/>
      <c r="H3" s="8"/>
    </row>
    <row r="4" spans="1:8" ht="12.75">
      <c r="A4" s="2" t="s">
        <v>481</v>
      </c>
      <c r="C4" s="8"/>
      <c r="D4" s="454" t="s">
        <v>442</v>
      </c>
      <c r="E4" s="428"/>
      <c r="H4" s="8"/>
    </row>
    <row r="5" spans="1:8" ht="12.75">
      <c r="A5" s="52"/>
      <c r="C5" s="8"/>
      <c r="D5" s="453" t="s">
        <v>443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315</v>
      </c>
      <c r="C18" s="8"/>
      <c r="D18" s="8"/>
    </row>
    <row r="19" spans="1:4" ht="15" customHeight="1">
      <c r="A19" s="500" t="s">
        <v>316</v>
      </c>
      <c r="B19" s="8" t="s">
        <v>313</v>
      </c>
      <c r="C19" s="8" t="s">
        <v>64</v>
      </c>
      <c r="D19" s="389"/>
    </row>
    <row r="20" spans="1:4" ht="13.5" thickBot="1">
      <c r="A20" s="501"/>
      <c r="B20" s="8" t="s">
        <v>314</v>
      </c>
      <c r="C20" s="8" t="s">
        <v>64</v>
      </c>
      <c r="D20" s="258"/>
    </row>
    <row r="21" spans="1:4" ht="12.75">
      <c r="A21" s="500" t="s">
        <v>312</v>
      </c>
      <c r="B21" s="8" t="s">
        <v>313</v>
      </c>
      <c r="C21" s="8"/>
      <c r="D21" s="424">
        <v>1</v>
      </c>
    </row>
    <row r="22" spans="1:4" ht="12.75">
      <c r="A22" s="500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482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14146928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1211684.3832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f>'[2]REGINFO'!$D$42</f>
        <v>343021</v>
      </c>
      <c r="E43" s="388">
        <f>D43</f>
        <v>343021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868663.3832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f>$D$45/3</f>
        <v>289554.4610666667</v>
      </c>
      <c r="E47" s="388">
        <f aca="true" t="shared" si="0" ref="E47:E53">D47</f>
        <v>289554.4610666667</v>
      </c>
      <c r="H47" s="40"/>
      <c r="J47" s="5"/>
      <c r="K47" s="5"/>
    </row>
    <row r="48" spans="1:11" ht="12.75">
      <c r="A48" t="s">
        <v>290</v>
      </c>
      <c r="D48" s="427">
        <f>$D$45/3</f>
        <v>289554.4610666667</v>
      </c>
      <c r="E48" s="388">
        <f>D48</f>
        <v>289554.4610666667</v>
      </c>
      <c r="F48" s="22"/>
      <c r="H48" s="40"/>
      <c r="J48" s="5"/>
      <c r="K48" s="5"/>
    </row>
    <row r="49" spans="1:11" ht="12.75">
      <c r="A49" t="s">
        <v>291</v>
      </c>
      <c r="D49" s="427">
        <v>0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8"/>
      <c r="E51" s="388">
        <f t="shared" si="0"/>
        <v>0</v>
      </c>
      <c r="H51" s="40"/>
      <c r="J51" s="5"/>
      <c r="K51" s="5"/>
    </row>
    <row r="52" spans="1:11" ht="12.75">
      <c r="A52" t="s">
        <v>462</v>
      </c>
      <c r="D52" s="428"/>
      <c r="E52" s="388">
        <f t="shared" si="0"/>
        <v>0</v>
      </c>
      <c r="H52" s="40"/>
      <c r="J52" s="5"/>
      <c r="K52" s="5"/>
    </row>
    <row r="53" spans="4:11" ht="12.75">
      <c r="D53" s="428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922129.9221333335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7073464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698858.2432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7073464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512826.13999999996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267727.50103522086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390276.82051761047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390276.82051761047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512826.13999999996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EB-2011-0190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Orangeville Hydro Limited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60">
        <f>REGINFO!E54</f>
        <v>922129.9221333335</v>
      </c>
      <c r="D16" s="17"/>
      <c r="E16" s="268">
        <f>G16-C16</f>
        <v>480128.0778666665</v>
      </c>
      <c r="F16" s="3"/>
      <c r="G16" s="268">
        <f>TAXREC!E50</f>
        <v>1402258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666532</v>
      </c>
      <c r="D20" s="18"/>
      <c r="E20" s="268">
        <f>G20-C20</f>
        <v>206956</v>
      </c>
      <c r="F20" s="6"/>
      <c r="G20" s="268">
        <f>TAXREC!E61</f>
        <v>873488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21539</v>
      </c>
      <c r="F21" s="6"/>
      <c r="G21" s="268">
        <f>TAXREC!E62</f>
        <v>21539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82" t="s">
        <v>395</v>
      </c>
      <c r="B30" s="127"/>
      <c r="C30" s="260"/>
      <c r="D30" s="18"/>
      <c r="E30" s="268">
        <f>G30-C30</f>
        <v>192442</v>
      </c>
      <c r="F30" s="6"/>
      <c r="G30" s="268">
        <f>TAXREC!E66</f>
        <v>192442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532223</v>
      </c>
      <c r="D33" s="132"/>
      <c r="E33" s="268">
        <f aca="true" t="shared" si="0" ref="E33:E42">G33-C33</f>
        <v>163891</v>
      </c>
      <c r="F33" s="6"/>
      <c r="G33" s="268">
        <f>TAXREC!E97+TAXREC!E98</f>
        <v>696114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390276.82051761047</v>
      </c>
      <c r="D37" s="132"/>
      <c r="E37" s="268">
        <f t="shared" si="0"/>
        <v>25927.179482389532</v>
      </c>
      <c r="F37" s="6"/>
      <c r="G37" s="268">
        <f>TAXREC!E51</f>
        <v>416204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2" t="s">
        <v>395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666162.101615723</v>
      </c>
      <c r="D50" s="102"/>
      <c r="E50" s="264">
        <f>E16+SUM(E20:E30)-SUM(E33:E48)</f>
        <v>711246.898384277</v>
      </c>
      <c r="F50" s="431" t="s">
        <v>367</v>
      </c>
      <c r="G50" s="264">
        <f>G16+SUM(G20:G30)-SUM(G33:G48)</f>
        <v>1377409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3">
        <f>IF($C$50&gt;'Tax Rates'!$E$11,'Tax Rates'!$F$16,IF($C$50&gt;'Tax Rates'!$C$11,'Tax Rates'!$E$16,'Tax Rates'!$C$16))</f>
        <v>0.3412</v>
      </c>
      <c r="D53" s="102"/>
      <c r="E53" s="269">
        <f>+G53-C53</f>
        <v>0.024010708251935797</v>
      </c>
      <c r="F53" s="114"/>
      <c r="G53" s="473">
        <f>TAXREC!E151</f>
        <v>0.3652107082519358</v>
      </c>
      <c r="H53" s="151"/>
      <c r="I53" s="470" t="s">
        <v>475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227294.50907128467</v>
      </c>
      <c r="D55" s="102"/>
      <c r="E55" s="268">
        <f>G55-C55</f>
        <v>312050.4909287153</v>
      </c>
      <c r="F55" s="431" t="s">
        <v>368</v>
      </c>
      <c r="G55" s="265">
        <f>TAXREC!E144</f>
        <v>539345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1" t="s">
        <v>368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227294.50907128467</v>
      </c>
      <c r="D60" s="133"/>
      <c r="E60" s="270">
        <f>+E55-E58</f>
        <v>312050.4909287153</v>
      </c>
      <c r="F60" s="431" t="s">
        <v>368</v>
      </c>
      <c r="G60" s="270">
        <f>+G55-G58</f>
        <v>539345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14146928</v>
      </c>
      <c r="D66" s="102"/>
      <c r="E66" s="268">
        <f>G66-C66</f>
        <v>4495045</v>
      </c>
      <c r="F66" s="6"/>
      <c r="G66" s="475">
        <v>18641973</v>
      </c>
      <c r="H66" s="151"/>
      <c r="I66" s="476" t="s">
        <v>476</v>
      </c>
    </row>
    <row r="67" spans="1:10" ht="12.75">
      <c r="A67" s="152" t="s">
        <v>360</v>
      </c>
      <c r="B67" s="125">
        <v>16</v>
      </c>
      <c r="C67" s="261">
        <f>IF(C66&gt;0,'Tax Rates'!C21,0)</f>
        <v>5000000</v>
      </c>
      <c r="D67" s="102"/>
      <c r="E67" s="268">
        <f>G67-C67</f>
        <v>0</v>
      </c>
      <c r="F67" s="6"/>
      <c r="G67" s="268">
        <f>'Tax Rates'!C57</f>
        <v>5000000</v>
      </c>
      <c r="H67" s="151"/>
      <c r="I67" s="476" t="s">
        <v>476</v>
      </c>
      <c r="J67" s="477" t="s">
        <v>477</v>
      </c>
    </row>
    <row r="68" spans="1:8" ht="12.75">
      <c r="A68" s="152" t="s">
        <v>42</v>
      </c>
      <c r="B68" s="125"/>
      <c r="C68" s="265">
        <f>IF((C66-C67)&gt;0,C66-C67,0)</f>
        <v>9146928</v>
      </c>
      <c r="D68" s="102"/>
      <c r="E68" s="268">
        <f>SUM(E66:E67)</f>
        <v>4495045</v>
      </c>
      <c r="F68" s="114"/>
      <c r="G68" s="265">
        <f>G66-G67</f>
        <v>13641973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27440.784</v>
      </c>
      <c r="D72" s="101"/>
      <c r="E72" s="268">
        <f>+G72-C72</f>
        <v>13485.135000000002</v>
      </c>
      <c r="F72" s="478"/>
      <c r="G72" s="265">
        <f>IF(G68&gt;0,G68*G70,0)*REGINFO!$B$6/REGINFO!$B$7</f>
        <v>40925.919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14146928</v>
      </c>
      <c r="D75" s="102"/>
      <c r="E75" s="268">
        <f>+G75-C75</f>
        <v>4014500</v>
      </c>
      <c r="F75" s="6"/>
      <c r="G75" s="475">
        <v>18161428</v>
      </c>
      <c r="H75" s="151"/>
      <c r="I75" s="476" t="s">
        <v>476</v>
      </c>
    </row>
    <row r="76" spans="1:9" ht="12.75">
      <c r="A76" s="152" t="s">
        <v>360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f>'Tax Rates'!C58</f>
        <v>10000000</v>
      </c>
      <c r="H76" s="151"/>
      <c r="I76" s="476" t="s">
        <v>476</v>
      </c>
    </row>
    <row r="77" spans="1:8" ht="12.75">
      <c r="A77" s="152" t="s">
        <v>42</v>
      </c>
      <c r="B77" s="125"/>
      <c r="C77" s="265">
        <f>IF((C75-C76)&gt;0,C75-C76,0)</f>
        <v>4146928</v>
      </c>
      <c r="D77" s="19"/>
      <c r="E77" s="268">
        <f>SUM(E75:E76)</f>
        <v>4014500</v>
      </c>
      <c r="F77" s="114"/>
      <c r="G77" s="265">
        <f>G75-G76</f>
        <v>8161428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9330.588</v>
      </c>
      <c r="D81" s="102"/>
      <c r="E81" s="268">
        <f>+G81-C81</f>
        <v>9032.625</v>
      </c>
      <c r="F81" s="6"/>
      <c r="G81" s="265">
        <f>G77*G79*B9/B10</f>
        <v>18363.213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7461.015538096098</v>
      </c>
      <c r="D82" s="102"/>
      <c r="E82" s="268">
        <f>+G82-C82</f>
        <v>-7461.015538096098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1869.572461903902</v>
      </c>
      <c r="D84" s="16"/>
      <c r="E84" s="268">
        <f>E81-E82</f>
        <v>16493.640538096097</v>
      </c>
      <c r="F84" s="103"/>
      <c r="G84" s="265">
        <f>G81-G82</f>
        <v>18363.213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0.33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5">
        <f>C60/(1-C88)</f>
        <v>339245.53592729056</v>
      </c>
      <c r="D90" s="20"/>
      <c r="E90" s="139"/>
      <c r="F90" s="430" t="s">
        <v>483</v>
      </c>
      <c r="G90" s="271">
        <f>TAXREC!E156</f>
        <v>539345</v>
      </c>
      <c r="H90" s="151"/>
    </row>
    <row r="91" spans="1:8" ht="12.75">
      <c r="A91" s="158" t="s">
        <v>370</v>
      </c>
      <c r="B91" s="127">
        <v>23</v>
      </c>
      <c r="C91" s="265">
        <f>C84/(1-C88)</f>
        <v>2790.406659558063</v>
      </c>
      <c r="D91" s="20"/>
      <c r="E91" s="139"/>
      <c r="F91" s="430" t="s">
        <v>483</v>
      </c>
      <c r="G91" s="271">
        <f>TAXREC!E158</f>
        <v>1823</v>
      </c>
      <c r="H91" s="151"/>
    </row>
    <row r="92" spans="1:8" ht="12.75">
      <c r="A92" s="158" t="s">
        <v>348</v>
      </c>
      <c r="B92" s="127">
        <v>24</v>
      </c>
      <c r="C92" s="265">
        <f>C72</f>
        <v>27440.784</v>
      </c>
      <c r="D92" s="20"/>
      <c r="E92" s="139"/>
      <c r="F92" s="430" t="s">
        <v>483</v>
      </c>
      <c r="G92" s="271">
        <f>TAXREC!E157</f>
        <v>40926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484</v>
      </c>
      <c r="B95" s="125">
        <v>25</v>
      </c>
      <c r="C95" s="270">
        <f>SUM(C90:C93)</f>
        <v>369476.7265868486</v>
      </c>
      <c r="D95" s="6"/>
      <c r="E95" s="139"/>
      <c r="F95" s="430" t="s">
        <v>483</v>
      </c>
      <c r="G95" s="414">
        <f>SUM(G90:G94)</f>
        <v>582094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491" t="s">
        <v>500</v>
      </c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21539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493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21539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485</v>
      </c>
      <c r="B122" s="127"/>
      <c r="C122" s="112"/>
      <c r="D122" s="3" t="s">
        <v>231</v>
      </c>
      <c r="E122" s="469">
        <f>+'Tax Rates'!F52</f>
        <v>0.36619999999999997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7887.581799999999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7887.581799999999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97">
        <f>E122-1.12%</f>
        <v>0.355</v>
      </c>
      <c r="F130" s="492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6">
        <f>E128/(1-E130)</f>
        <v>12228.80899224806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666162.101615723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496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97">
        <f>IF((E120+G50)&gt;'Tax Rates'!E47,'Tax Rates'!F52,IF((E120+G50)&gt;'Tax Rates'!D47,'Tax Rates'!E52,IF((E120+G50)&gt;'Tax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243948.56161167775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243948.56161167775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227294.50907128467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16654.05254039308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1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14146928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9146928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27440.784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27440.784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14146928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4146928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9330.588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Rates'!C56,0),0)</f>
        <v>7461.015538096098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1869.572461903902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6">
        <f>C84</f>
        <v>1869.572461903902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0.355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25820.236496733458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5">
        <f>SUM(E177:E179)</f>
        <v>25820.236496733458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492</v>
      </c>
      <c r="B183" s="130"/>
      <c r="C183" s="112"/>
      <c r="D183" s="119" t="s">
        <v>187</v>
      </c>
      <c r="E183" s="485">
        <f>E132</f>
        <v>12228.80899224806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5">
        <f>E181+E183</f>
        <v>38049.045488981516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512826.13999999996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390276.82051761047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9">
        <f>E193-E194</f>
        <v>122549.31948238949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8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416204</v>
      </c>
      <c r="F201" s="3"/>
      <c r="G201" s="488"/>
      <c r="H201" s="164"/>
    </row>
    <row r="202" spans="1:8" ht="12.75">
      <c r="A202" s="498" t="s">
        <v>504</v>
      </c>
      <c r="B202" s="127"/>
      <c r="C202" s="112"/>
      <c r="D202" s="120"/>
      <c r="E202" s="493">
        <f>E193</f>
        <v>512826.13999999996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494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122549.31948238949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4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zoomScale="90" zoomScaleNormal="90" zoomScalePageLayoutView="0" workbookViewId="0" topLeftCell="A118">
      <selection activeCell="C164" sqref="C16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Orangeville Hydro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Ratebase*REGINFO!D33*0.25%</f>
        <v>17683.66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f>18704515-3837523</f>
        <v>14866992</v>
      </c>
      <c r="D31" s="287"/>
      <c r="E31" s="285">
        <f>C31-D31</f>
        <v>14866992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3837523</v>
      </c>
      <c r="D32" s="287"/>
      <c r="E32" s="285">
        <f>C32-D32</f>
        <v>3837523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/>
      <c r="D33" s="287"/>
      <c r="E33" s="285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>
        <v>344945</v>
      </c>
      <c r="D34" s="287">
        <v>99396</v>
      </c>
      <c r="E34" s="285">
        <f>C34-D34</f>
        <v>245549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14866992</v>
      </c>
      <c r="D39" s="287"/>
      <c r="E39" s="285">
        <f>C39-D39</f>
        <v>14866992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f>655362-C44</f>
        <v>614436</v>
      </c>
      <c r="D40" s="287"/>
      <c r="E40" s="285">
        <f aca="true" t="shared" si="0" ref="E40:E48">C40-D40</f>
        <v>614436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>
        <v>402073</v>
      </c>
      <c r="D41" s="287"/>
      <c r="E41" s="285">
        <f t="shared" si="0"/>
        <v>402073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>
        <v>749891</v>
      </c>
      <c r="D42" s="287"/>
      <c r="E42" s="285">
        <f t="shared" si="0"/>
        <v>749891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873488</v>
      </c>
      <c r="D43" s="287"/>
      <c r="E43" s="285">
        <f t="shared" si="0"/>
        <v>873488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40926</v>
      </c>
      <c r="D44" s="287"/>
      <c r="E44" s="285">
        <f t="shared" si="0"/>
        <v>40926</v>
      </c>
      <c r="F44" s="11"/>
      <c r="G44" s="11"/>
      <c r="H44" s="6"/>
      <c r="I44" s="6"/>
    </row>
    <row r="45" spans="1:11" ht="12.75">
      <c r="A45" s="416"/>
      <c r="B45" s="23" t="s">
        <v>188</v>
      </c>
      <c r="C45" s="2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1501654</v>
      </c>
      <c r="D50" s="282">
        <f>SUM(D31:D36)-SUM(D39:D49)</f>
        <v>99396</v>
      </c>
      <c r="E50" s="282">
        <f>SUM(E31:E35)-SUM(E39:E48)</f>
        <v>1402258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416204</v>
      </c>
      <c r="D51" s="286"/>
      <c r="E51" s="283">
        <f>+C51-D51</f>
        <v>416204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531833</v>
      </c>
      <c r="D52" s="286"/>
      <c r="E52" s="284">
        <f>+C52-D52</f>
        <v>531833</v>
      </c>
      <c r="F52" s="8"/>
      <c r="G52" s="416" t="s">
        <v>496</v>
      </c>
    </row>
    <row r="53" spans="1:6" ht="12.75">
      <c r="A53" s="2" t="s">
        <v>131</v>
      </c>
      <c r="B53" s="8" t="s">
        <v>189</v>
      </c>
      <c r="C53" s="282">
        <f>C50-C51-C52</f>
        <v>553617</v>
      </c>
      <c r="D53" s="282">
        <f>D50-D51-D52</f>
        <v>99396</v>
      </c>
      <c r="E53" s="282">
        <f>E50-E51-E52</f>
        <v>454221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531833</v>
      </c>
      <c r="D59" s="288">
        <f>D52</f>
        <v>0</v>
      </c>
      <c r="E59" s="273">
        <f>+C59-D59</f>
        <v>531833</v>
      </c>
      <c r="F59" s="8"/>
      <c r="G59" s="416" t="s">
        <v>497</v>
      </c>
    </row>
    <row r="60" spans="1:7" ht="12.75">
      <c r="A60" s="4" t="s">
        <v>327</v>
      </c>
      <c r="B60" s="8" t="s">
        <v>187</v>
      </c>
      <c r="C60" s="318"/>
      <c r="D60" s="318"/>
      <c r="E60" s="273">
        <f>+C60-D60</f>
        <v>0</v>
      </c>
      <c r="F60" s="8"/>
      <c r="G60" t="s">
        <v>499</v>
      </c>
    </row>
    <row r="61" spans="1:7" ht="12.75">
      <c r="A61" t="s">
        <v>4</v>
      </c>
      <c r="B61" s="8" t="s">
        <v>187</v>
      </c>
      <c r="C61" s="288">
        <f>C43</f>
        <v>873488</v>
      </c>
      <c r="D61" s="288">
        <f>D43</f>
        <v>0</v>
      </c>
      <c r="E61" s="273">
        <f>+C61-D61</f>
        <v>873488</v>
      </c>
      <c r="F61" s="8"/>
      <c r="G61" s="416"/>
    </row>
    <row r="62" spans="1:6" ht="12.75">
      <c r="A62" t="s">
        <v>6</v>
      </c>
      <c r="B62" s="8" t="s">
        <v>187</v>
      </c>
      <c r="C62" s="318">
        <v>21539</v>
      </c>
      <c r="D62" s="288">
        <v>0</v>
      </c>
      <c r="E62" s="273">
        <f>+C62-D62</f>
        <v>21539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444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7" t="s">
        <v>395</v>
      </c>
      <c r="B66" s="8"/>
      <c r="C66" s="446">
        <f>'TAXREC 3 No True-up'!C47</f>
        <v>192442</v>
      </c>
      <c r="D66" s="446">
        <f>'TAXREC 3 No True-up'!D47</f>
        <v>0</v>
      </c>
      <c r="E66" s="273">
        <f>+C66-D66</f>
        <v>192442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1619302</v>
      </c>
      <c r="D70" s="273">
        <f>SUM(D59:D68)</f>
        <v>0</v>
      </c>
      <c r="E70" s="273">
        <f>SUM(E59:E68)</f>
        <v>1619302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3">
        <v>0</v>
      </c>
      <c r="D76" s="295"/>
      <c r="E76" s="479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1619302</v>
      </c>
      <c r="D82" s="251">
        <f>D70+D80</f>
        <v>0</v>
      </c>
      <c r="E82" s="251">
        <f>E70+E80</f>
        <v>1619302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432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682304</v>
      </c>
      <c r="D97" s="295"/>
      <c r="E97" s="273">
        <f>+C97-D97</f>
        <v>682304</v>
      </c>
      <c r="F97" s="8"/>
      <c r="G97" s="45" t="s">
        <v>498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13810</v>
      </c>
      <c r="D98" s="295"/>
      <c r="E98" s="273">
        <f>+C98-D98</f>
        <v>13810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395</v>
      </c>
      <c r="B108" s="8"/>
      <c r="C108" s="254">
        <f>'TAXREC 3 No True-up'!C73</f>
        <v>0</v>
      </c>
      <c r="D108" s="254">
        <f>'TAXREC 3 No True-up'!D73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696114</v>
      </c>
      <c r="D113" s="251">
        <f>SUM(D97:D111)</f>
        <v>0</v>
      </c>
      <c r="E113" s="251">
        <f>SUM(E97:E111)</f>
        <v>696114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696114</v>
      </c>
      <c r="D122" s="251">
        <f>D113+D120</f>
        <v>0</v>
      </c>
      <c r="E122" s="251">
        <f>+E113+E120</f>
        <v>696114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1476805</v>
      </c>
      <c r="D134" s="251">
        <f>D53+D82-D122</f>
        <v>99396</v>
      </c>
      <c r="E134" s="251">
        <f>E53+E82-E122</f>
        <v>1377409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487"/>
      <c r="J136" s="45"/>
      <c r="K136" s="45"/>
    </row>
    <row r="137" spans="1:11" ht="12.75">
      <c r="A137" s="46" t="s">
        <v>376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1476805</v>
      </c>
      <c r="D139" s="252">
        <f>D134-D136-D137-D138</f>
        <v>99396</v>
      </c>
      <c r="E139" s="252">
        <f>E134-E136-E137-E138</f>
        <v>1377409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356205</v>
      </c>
      <c r="D142" s="299"/>
      <c r="E142" s="252">
        <f>C142-D142</f>
        <v>356205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183140</v>
      </c>
      <c r="D143" s="299"/>
      <c r="E143" s="293">
        <f>C143-D143</f>
        <v>183140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539345</v>
      </c>
      <c r="D144" s="252">
        <f>D142+D143</f>
        <v>0</v>
      </c>
      <c r="E144" s="252">
        <f>E142+E143</f>
        <v>539345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539345</v>
      </c>
      <c r="D146" s="252">
        <f>D144-D145</f>
        <v>0</v>
      </c>
      <c r="E146" s="252">
        <f>E144-E145</f>
        <v>539345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C142/C139</f>
        <v>0.24119975216768633</v>
      </c>
      <c r="D149" s="495"/>
      <c r="E149" s="406">
        <f>C149</f>
        <v>0.24119975216768633</v>
      </c>
      <c r="F149" s="8"/>
      <c r="G149" s="484" t="s">
        <v>469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C143/C139</f>
        <v>0.12401095608424945</v>
      </c>
      <c r="D150" s="490"/>
      <c r="E150" s="406">
        <f>C150</f>
        <v>0.12401095608424945</v>
      </c>
      <c r="F150" s="8"/>
      <c r="G150" s="484" t="s">
        <v>470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0.3652107082519358</v>
      </c>
      <c r="D151" s="5"/>
      <c r="E151" s="406">
        <f>SUM(E149:E150)</f>
        <v>0.3652107082519358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480</v>
      </c>
      <c r="B155" s="8"/>
    </row>
    <row r="156" spans="1:5" ht="12.75">
      <c r="A156" t="s">
        <v>219</v>
      </c>
      <c r="B156" s="86" t="s">
        <v>187</v>
      </c>
      <c r="C156" s="251">
        <f>C146</f>
        <v>539345</v>
      </c>
      <c r="D156" s="251">
        <f>D146</f>
        <v>0</v>
      </c>
      <c r="E156" s="251">
        <f>E146</f>
        <v>539345</v>
      </c>
    </row>
    <row r="157" spans="1:5" ht="12.75">
      <c r="A157" t="s">
        <v>20</v>
      </c>
      <c r="B157" s="86" t="s">
        <v>187</v>
      </c>
      <c r="C157" s="480">
        <v>40926</v>
      </c>
      <c r="D157" s="251"/>
      <c r="E157" s="251">
        <f>C157+D157</f>
        <v>40926</v>
      </c>
    </row>
    <row r="158" spans="1:5" ht="12.75">
      <c r="A158" t="s">
        <v>218</v>
      </c>
      <c r="B158" s="86" t="s">
        <v>187</v>
      </c>
      <c r="C158" s="480">
        <v>1823</v>
      </c>
      <c r="D158" s="251"/>
      <c r="E158" s="251">
        <f>C158+D158</f>
        <v>1823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582094</v>
      </c>
      <c r="D160" s="251">
        <f>D156+D157+D158</f>
        <v>0</v>
      </c>
      <c r="E160" s="251">
        <f>E156+E157+E158</f>
        <v>582094</v>
      </c>
    </row>
    <row r="161" ht="12.75">
      <c r="C161" s="85"/>
    </row>
    <row r="162" spans="3:4" ht="12.75">
      <c r="C162" s="499">
        <v>582094</v>
      </c>
      <c r="D162" s="494" t="s">
        <v>501</v>
      </c>
    </row>
    <row r="163" spans="4:5" ht="12.75">
      <c r="D163" s="22"/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0">
      <selection activeCell="G28" sqref="G2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Orangeville Hydro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/>
      <c r="D16" s="295"/>
      <c r="E16" s="251">
        <f t="shared" si="0"/>
        <v>0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449</v>
      </c>
      <c r="B18" s="61"/>
      <c r="C18" s="295"/>
      <c r="D18" s="295"/>
      <c r="E18" s="251">
        <f t="shared" si="0"/>
        <v>0</v>
      </c>
    </row>
    <row r="19" spans="1:5" ht="12.75">
      <c r="A19" s="61" t="s">
        <v>449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449</v>
      </c>
      <c r="B30" s="61"/>
      <c r="C30" s="295"/>
      <c r="D30" s="295"/>
      <c r="E30" s="251">
        <f t="shared" si="1"/>
        <v>0</v>
      </c>
    </row>
    <row r="31" spans="1:5" ht="12.75">
      <c r="A31" s="61" t="s">
        <v>449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449</v>
      </c>
      <c r="B47" s="61"/>
      <c r="C47" s="295"/>
      <c r="D47" s="295"/>
      <c r="E47" s="251">
        <f t="shared" si="2"/>
        <v>0</v>
      </c>
    </row>
    <row r="48" spans="1:5" ht="12.75">
      <c r="A48" s="61" t="s">
        <v>449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449</v>
      </c>
      <c r="B59" s="61"/>
      <c r="C59" s="295"/>
      <c r="D59" s="295"/>
      <c r="E59" s="251">
        <f t="shared" si="3"/>
        <v>0</v>
      </c>
    </row>
    <row r="60" spans="1:5" ht="12.75">
      <c r="A60" s="61" t="s">
        <v>449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3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96" sqref="C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EB-2011-0190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466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Orangeville Hydro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17683.66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450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478</v>
      </c>
      <c r="B36" t="s">
        <v>187</v>
      </c>
      <c r="C36" s="296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479</v>
      </c>
      <c r="B96" s="8" t="s">
        <v>188</v>
      </c>
      <c r="C96" s="296"/>
      <c r="D96" s="295"/>
      <c r="E96" s="251">
        <f t="shared" si="5"/>
        <v>0</v>
      </c>
    </row>
    <row r="97" spans="1:5" ht="12.75">
      <c r="A97" s="67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80" zoomScaleNormal="80" zoomScalePageLayoutView="0" workbookViewId="0" topLeftCell="A1">
      <pane xSplit="1" ySplit="8" topLeftCell="B24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44" sqref="C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EB-2011-0190</v>
      </c>
    </row>
    <row r="3" spans="1:5" ht="12.75">
      <c r="A3" s="2" t="s">
        <v>385</v>
      </c>
      <c r="E3" s="92"/>
    </row>
    <row r="4" spans="1:6" ht="15.75">
      <c r="A4" s="464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Orangeville Hydro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454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391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455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438</v>
      </c>
      <c r="B27" t="s">
        <v>187</v>
      </c>
      <c r="C27" s="296">
        <v>7887</v>
      </c>
      <c r="D27" s="296"/>
      <c r="E27" s="313">
        <f t="shared" si="0"/>
        <v>7887</v>
      </c>
    </row>
    <row r="28" spans="1:5" ht="12.75">
      <c r="A28" s="67" t="s">
        <v>390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389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433</v>
      </c>
      <c r="B32" t="s">
        <v>187</v>
      </c>
      <c r="C32" s="296">
        <v>4187</v>
      </c>
      <c r="D32" s="296"/>
      <c r="E32" s="313">
        <f t="shared" si="0"/>
        <v>4187</v>
      </c>
    </row>
    <row r="33" spans="1:5" ht="12.75">
      <c r="A33" s="67" t="s">
        <v>434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451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452</v>
      </c>
      <c r="C35" s="296"/>
      <c r="D35" s="296"/>
      <c r="E35" s="313">
        <f t="shared" si="0"/>
        <v>0</v>
      </c>
    </row>
    <row r="36" spans="1:5" ht="12.75">
      <c r="A36" s="67" t="s">
        <v>435</v>
      </c>
      <c r="C36" s="296"/>
      <c r="D36" s="296"/>
      <c r="E36" s="313">
        <f t="shared" si="0"/>
        <v>0</v>
      </c>
    </row>
    <row r="37" spans="1:5" ht="12.75">
      <c r="A37" s="67" t="s">
        <v>436</v>
      </c>
      <c r="C37" s="296"/>
      <c r="D37" s="296"/>
      <c r="E37" s="313">
        <f t="shared" si="0"/>
        <v>0</v>
      </c>
    </row>
    <row r="38" spans="1:5" ht="12.75">
      <c r="A38" s="67" t="s">
        <v>458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393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387</v>
      </c>
      <c r="B41" t="s">
        <v>187</v>
      </c>
      <c r="C41" s="296">
        <v>126620</v>
      </c>
      <c r="D41" s="296"/>
      <c r="E41" s="313">
        <f t="shared" si="0"/>
        <v>126620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1:5" ht="12.75">
      <c r="A44" s="494" t="s">
        <v>502</v>
      </c>
      <c r="B44" t="s">
        <v>187</v>
      </c>
      <c r="C44" s="296">
        <f>54059-311</f>
        <v>53748</v>
      </c>
      <c r="D44" s="295"/>
      <c r="E44" s="251">
        <f t="shared" si="0"/>
        <v>53748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49" t="s">
        <v>397</v>
      </c>
      <c r="B47" t="s">
        <v>189</v>
      </c>
      <c r="C47" s="251">
        <f>SUM(C19:C46)</f>
        <v>192442</v>
      </c>
      <c r="D47" s="251">
        <f>SUM(D19:D46)</f>
        <v>0</v>
      </c>
      <c r="E47" s="251">
        <f>SUM(E19:E46)</f>
        <v>192442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389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437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8" t="s">
        <v>394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8" t="s">
        <v>387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48" t="s">
        <v>396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2">
      <selection activeCell="E52" sqref="E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EB-2011-0190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Orangeville Hydro Limited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8" t="s">
        <v>486</v>
      </c>
      <c r="B8" s="509"/>
      <c r="C8" s="509"/>
      <c r="D8" s="509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468</v>
      </c>
      <c r="B10" s="327"/>
      <c r="C10" s="376" t="s">
        <v>111</v>
      </c>
      <c r="D10" s="376"/>
      <c r="E10" s="376" t="s">
        <v>111</v>
      </c>
      <c r="F10" s="377" t="s">
        <v>491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473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474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2" t="s">
        <v>495</v>
      </c>
      <c r="B23" s="503"/>
      <c r="C23" s="503"/>
      <c r="D23" s="503"/>
      <c r="E23" s="503"/>
      <c r="F23" s="503"/>
      <c r="G23" s="438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0" t="s">
        <v>487</v>
      </c>
      <c r="B26" s="511"/>
      <c r="C26" s="511"/>
      <c r="D26" s="511"/>
      <c r="E26" s="511"/>
      <c r="F26" s="51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/>
      <c r="E28" s="370" t="s">
        <v>111</v>
      </c>
      <c r="F28" s="371" t="s">
        <v>491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2003</v>
      </c>
      <c r="C32" s="328">
        <v>0.1312</v>
      </c>
      <c r="D32" s="328"/>
      <c r="E32" s="329"/>
      <c r="F32" s="329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2003</v>
      </c>
      <c r="C33" s="330">
        <v>0.06</v>
      </c>
      <c r="D33" s="330"/>
      <c r="E33" s="331"/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2003</v>
      </c>
      <c r="C34" s="332">
        <f>SUM(C32:C33)</f>
        <v>0.1912</v>
      </c>
      <c r="D34" s="332"/>
      <c r="E34" s="333">
        <v>0.3412</v>
      </c>
      <c r="F34" s="333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2003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2003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2003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488</v>
      </c>
      <c r="B39" s="407" t="s">
        <v>473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489</v>
      </c>
      <c r="B40" s="408" t="s">
        <v>474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4" t="s">
        <v>335</v>
      </c>
      <c r="B41" s="503"/>
      <c r="C41" s="503"/>
      <c r="D41" s="503"/>
      <c r="E41" s="503"/>
      <c r="F41" s="50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5"/>
      <c r="B42" s="505"/>
      <c r="C42" s="505"/>
      <c r="D42" s="505"/>
      <c r="E42" s="505"/>
      <c r="F42" s="50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490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472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/>
      <c r="E50" s="353">
        <v>0.2612</v>
      </c>
      <c r="F50" s="353">
        <v>0.2412</v>
      </c>
      <c r="G50" s="194"/>
      <c r="H50" s="489">
        <v>0.2412</v>
      </c>
      <c r="I50" s="489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0.06</v>
      </c>
      <c r="F51" s="355">
        <v>0.125</v>
      </c>
      <c r="G51" s="194"/>
      <c r="H51" s="489">
        <v>0.125</v>
      </c>
      <c r="I51" s="489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0.1912</v>
      </c>
      <c r="D52" s="332"/>
      <c r="E52" s="333">
        <f>SUM(E50:E51)</f>
        <v>0.3212</v>
      </c>
      <c r="F52" s="333">
        <f>SUM(F50:F51)</f>
        <v>0.36619999999999997</v>
      </c>
      <c r="G52" s="194"/>
      <c r="H52" s="489">
        <f>+H51+H50</f>
        <v>0.36619999999999997</v>
      </c>
      <c r="I52" s="489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473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474</v>
      </c>
      <c r="C58" s="363">
        <v>10000000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2" t="s">
        <v>351</v>
      </c>
      <c r="B59" s="506"/>
      <c r="C59" s="506"/>
      <c r="D59" s="506"/>
      <c r="E59" s="506"/>
      <c r="F59" s="50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7"/>
      <c r="B60" s="507"/>
      <c r="C60" s="507"/>
      <c r="D60" s="507"/>
      <c r="E60" s="507"/>
      <c r="F60" s="50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2">
      <selection activeCell="K18" sqref="K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EB-2011-0190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Orangeville Hydro Limited</v>
      </c>
      <c r="O3" s="417" t="str">
        <f>REGINFO!E1</f>
        <v>Version 2009.1</v>
      </c>
    </row>
    <row r="4" spans="1:15" ht="12.75">
      <c r="A4" s="2" t="str">
        <f>REGINFO!A4</f>
        <v>Reporting period:  2003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/>
      <c r="D11" s="391"/>
      <c r="E11" s="397"/>
      <c r="F11" s="420"/>
      <c r="G11" s="397"/>
      <c r="H11" s="420"/>
      <c r="I11" s="397"/>
      <c r="J11" s="391"/>
      <c r="K11" s="397"/>
      <c r="L11" s="391"/>
      <c r="M11" s="397"/>
      <c r="N11" s="391"/>
      <c r="O11" s="397">
        <f>C11</f>
        <v>0</v>
      </c>
    </row>
    <row r="12" spans="1:15" ht="27" customHeight="1">
      <c r="A12" s="81" t="s">
        <v>398</v>
      </c>
      <c r="B12" s="66" t="s">
        <v>190</v>
      </c>
      <c r="C12" s="396"/>
      <c r="D12" s="392"/>
      <c r="E12" s="396"/>
      <c r="F12" s="95"/>
      <c r="G12" s="419"/>
      <c r="H12" s="95"/>
      <c r="I12" s="419"/>
      <c r="J12" s="392"/>
      <c r="K12" s="419"/>
      <c r="L12" s="392"/>
      <c r="M12" s="419"/>
      <c r="N12" s="392"/>
      <c r="O12" s="397">
        <f aca="true" t="shared" si="0" ref="O12:O20">SUM(C12:N12)</f>
        <v>0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/>
      <c r="N15" s="392"/>
      <c r="O15" s="397">
        <f t="shared" si="0"/>
        <v>0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/>
      <c r="N17" s="392"/>
      <c r="O17" s="397">
        <f t="shared" si="0"/>
        <v>0</v>
      </c>
    </row>
    <row r="18" spans="1:15" ht="25.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2" t="s">
        <v>404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471</v>
      </c>
      <c r="B20" s="66" t="s">
        <v>188</v>
      </c>
      <c r="C20" s="419"/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0</v>
      </c>
      <c r="N22" s="391"/>
      <c r="O22" s="450">
        <f>SUM(O11:O20)</f>
        <v>0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405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408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13" t="s">
        <v>409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421"/>
      <c r="Q33" s="421"/>
      <c r="R33" s="421"/>
      <c r="S33" s="421"/>
    </row>
    <row r="34" spans="1:19" ht="12.75">
      <c r="A34" s="512" t="s">
        <v>410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421"/>
      <c r="Q34" s="421"/>
      <c r="R34" s="421"/>
      <c r="S34" s="421"/>
    </row>
    <row r="35" spans="1:19" ht="12.75">
      <c r="A35" s="512" t="s">
        <v>431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21"/>
      <c r="Q35" s="421"/>
      <c r="R35" s="421"/>
      <c r="S35" s="421"/>
    </row>
    <row r="36" spans="1:19" ht="12.75">
      <c r="A36" s="512" t="s">
        <v>411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21"/>
      <c r="Q36" s="421"/>
      <c r="R36" s="421"/>
      <c r="S36" s="421"/>
    </row>
    <row r="37" spans="1:19" ht="12.75">
      <c r="A37" s="437" t="s">
        <v>371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1"/>
      <c r="Q37" s="421"/>
      <c r="R37" s="421"/>
      <c r="S37" s="421"/>
    </row>
    <row r="38" spans="1:19" ht="12.75">
      <c r="A38" s="437" t="s">
        <v>372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1"/>
      <c r="Q38" s="421"/>
      <c r="R38" s="421"/>
      <c r="S38" s="421"/>
    </row>
    <row r="39" spans="1:19" ht="12.75">
      <c r="A39" s="437" t="s">
        <v>412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1"/>
      <c r="Q39" s="421"/>
      <c r="R39" s="421"/>
      <c r="S39" s="421"/>
    </row>
    <row r="40" spans="1:19" ht="12.75">
      <c r="A40" s="437" t="s">
        <v>413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1"/>
      <c r="Q40" s="421"/>
      <c r="R40" s="421"/>
      <c r="S40" s="421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1"/>
      <c r="Q41" s="421"/>
      <c r="R41" s="421"/>
      <c r="S41" s="421"/>
    </row>
    <row r="42" spans="1:15" ht="12.75">
      <c r="A42" s="439" t="s">
        <v>414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415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416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417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418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419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420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417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422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423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424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381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427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383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382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384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428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429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430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12" t="s">
        <v>460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</row>
    <row r="75" spans="1:15" ht="12.75">
      <c r="A75" s="434" t="s">
        <v>373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50" r:id="rId1"/>
  <headerFooter alignWithMargins="0">
    <oddHeader>&amp;R&amp;9Halton Hills Hydro Inc.
EB-2008-0381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swatchsu</cp:lastModifiedBy>
  <cp:lastPrinted>2011-07-07T17:50:16Z</cp:lastPrinted>
  <dcterms:created xsi:type="dcterms:W3CDTF">2001-11-07T16:15:53Z</dcterms:created>
  <dcterms:modified xsi:type="dcterms:W3CDTF">2011-10-17T19:42:56Z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