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36" yWindow="288" windowWidth="14520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Calculation'!$A$1:$O$78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<sst xmlns="http://schemas.openxmlformats.org/spreadsheetml/2006/main" count="890" uniqueCount="508">
  <si>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</si>
  <si>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</si>
  <si>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</si>
  <si>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</si>
  <si>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</si>
  <si>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</si>
  <si>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</si>
  <si>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</si>
  <si>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</si>
  <si>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</si>
  <si>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</si>
  <si>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</si>
  <si>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</si>
  <si>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</si>
  <si>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</si>
  <si>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</si>
  <si>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</si>
  <si>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</si>
  <si>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</si>
  <si>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</si>
  <si>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</si>
  <si>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</si>
  <si>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</si>
  <si>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</si>
  <si>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</si>
  <si>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</si>
  <si>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</si>
  <si>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</si>
  <si>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</si>
  <si>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</si>
  <si>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</si>
  <si>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</si>
  <si>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</si>
  <si>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</si>
  <si>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</si>
  <si>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</si>
  <si>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</si>
  <si>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</si>
  <si>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</si>
  <si>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</si>
  <si>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</si>
  <si>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</si>
  <si>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</si>
  <si>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</si>
  <si>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</si>
  <si>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</si>
  <si>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</si>
  <si>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</si>
  <si>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</si>
  <si>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</si>
  <si>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</si>
  <si>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</si>
  <si>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</si>
  <si>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</si>
  <si>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</si>
  <si>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</si>
  <si>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</si>
  <si>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</si>
  <si>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</si>
  <si>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</si>
  <si>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</si>
  <si>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</si>
  <si>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</si>
  <si>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</si>
  <si>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</si>
  <si>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</si>
  <si>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</si>
  <si>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</si>
  <si>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</si>
  <si>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</si>
  <si>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</si>
  <si>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</si>
  <si>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</si>
  <si>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</si>
  <si>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</si>
  <si>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</si>
  <si>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</si>
  <si>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</si>
  <si>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</si>
  <si>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</si>
  <si>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</si>
  <si>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</si>
  <si>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</si>
  <si>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</si>
  <si>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</si>
  <si>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</si>
  <si>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</si>
  <si>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</si>
  <si>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</si>
  <si>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</si>
  <si>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</si>
  <si>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</si>
  <si>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</si>
  <si>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</si>
  <si>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</si>
  <si>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</si>
  <si>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</si>
  <si>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</si>
  <si>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</si>
  <si>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</si>
  <si>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</si>
  <si>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</si>
  <si>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</si>
  <si>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</si>
  <si>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</si>
  <si>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</si>
  <si>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</si>
  <si>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</si>
  <si>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</si>
  <si>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</si>
  <si>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</si>
  <si>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</si>
  <si>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</si>
  <si>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</si>
  <si>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</si>
  <si>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</si>
  <si>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</si>
  <si>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</si>
  <si>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</si>
  <si>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</si>
  <si>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</si>
  <si>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</si>
  <si>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</si>
  <si>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</si>
  <si>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</si>
  <si>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</si>
  <si>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</si>
  <si>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</si>
  <si>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</si>
  <si>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</si>
  <si>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</si>
  <si>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</si>
  <si>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</si>
  <si>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</si>
  <si>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</si>
  <si>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</si>
  <si>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</si>
  <si>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</si>
  <si>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</si>
  <si>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</si>
  <si>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</si>
  <si>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</si>
  <si>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</si>
  <si>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</si>
  <si>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</si>
  <si>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</si>
  <si>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</si>
  <si>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</si>
  <si>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</si>
  <si>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</si>
  <si>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</si>
  <si>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</si>
  <si>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</si>
  <si>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</si>
  <si>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</si>
  <si>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</si>
  <si>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</si>
  <si>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</si>
  <si>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</si>
  <si>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</si>
  <si>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</si>
  <si>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</si>
  <si>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</si>
  <si>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</si>
  <si>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</si>
  <si>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</si>
  <si>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</si>
  <si>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</si>
  <si>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</si>
  <si>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</si>
  <si>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</si>
  <si>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</si>
  <si>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</si>
  <si>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</si>
  <si>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</si>
  <si>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</si>
  <si>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</si>
  <si>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</si>
  <si>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</si>
  <si>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</si>
  <si>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</si>
  <si>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</si>
  <si>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</si>
  <si>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</si>
  <si>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</si>
  <si>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</si>
  <si>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</si>
  <si>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</si>
  <si>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</si>
  <si>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</si>
  <si>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</si>
  <si>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</si>
  <si>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</si>
  <si>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</si>
  <si>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</si>
  <si>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</si>
  <si>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</si>
  <si>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</si>
  <si>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</si>
  <si>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</si>
  <si>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</si>
  <si>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</si>
  <si>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</si>
  <si>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</si>
  <si>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</si>
  <si>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</si>
  <si>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</si>
  <si>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</si>
  <si>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</si>
  <si>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</si>
  <si>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</si>
  <si>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</si>
  <si>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</si>
  <si>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</si>
  <si>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</si>
  <si>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</si>
  <si>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</si>
  <si>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</si>
  <si>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</si>
  <si>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</si>
  <si>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</si>
  <si>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</si>
  <si>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</si>
  <si>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</si>
  <si>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</si>
  <si>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</si>
  <si>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</si>
  <si>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</si>
  <si>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</si>
  <si>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</si>
  <si>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</si>
  <si>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</si>
  <si>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</si>
  <si>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</si>
  <si>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</si>
  <si>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</si>
  <si>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</si>
  <si>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</si>
  <si>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</si>
  <si>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</si>
  <si>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</si>
  <si>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</si>
  <si>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</si>
  <si>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</si>
  <si>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</si>
  <si>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</si>
  <si>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</si>
  <si>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</si>
  <si>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</si>
  <si>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</si>
  <si>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</si>
  <si>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</si>
  <si>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</si>
  <si>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</si>
  <si>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</si>
  <si>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</si>
  <si>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</si>
  <si>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</si>
  <si>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</si>
  <si>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</si>
  <si>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</si>
  <si>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</si>
  <si>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</si>
  <si>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</si>
  <si>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</si>
  <si>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</si>
  <si>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</si>
  <si>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</si>
  <si>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</si>
  <si>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</si>
  <si>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</si>
  <si>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</si>
  <si>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</si>
  <si>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</si>
  <si>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</si>
  <si>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</si>
  <si>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</si>
  <si>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</si>
  <si>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</si>
  <si>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</si>
  <si>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</si>
  <si>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</si>
  <si>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</si>
  <si>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</si>
  <si>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</si>
  <si>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</si>
  <si>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</si>
  <si>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</si>
  <si>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</si>
  <si>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</si>
  <si>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</si>
  <si>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</si>
  <si>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</si>
  <si>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</si>
  <si>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</si>
  <si>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</si>
  <si>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</si>
  <si>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</si>
  <si>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</si>
  <si>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</si>
  <si>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</si>
  <si>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</si>
  <si>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</si>
  <si>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</si>
  <si>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</si>
  <si>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</si>
  <si>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</si>
  <si>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</si>
  <si>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</si>
  <si>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</si>
  <si>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</si>
  <si>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</si>
  <si>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</si>
  <si>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</si>
  <si>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</si>
  <si>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</si>
  <si>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</si>
  <si>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</si>
  <si>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</si>
  <si>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</si>
  <si>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</si>
  <si>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</si>
  <si>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</si>
  <si>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</si>
  <si>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</si>
  <si>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</si>
  <si>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</si>
  <si>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</si>
  <si>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</si>
  <si>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</si>
  <si>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</si>
  <si>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</si>
  <si>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</si>
  <si>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</si>
  <si>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</si>
  <si>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</si>
  <si>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</si>
  <si>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</si>
  <si>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</si>
  <si>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</si>
  <si>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</si>
  <si>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</si>
  <si>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</si>
  <si>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</si>
  <si>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</si>
  <si>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</si>
  <si>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</si>
  <si>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</si>
  <si>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</si>
  <si>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</si>
  <si>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</si>
  <si>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</si>
  <si>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</si>
  <si>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</si>
  <si>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</si>
  <si>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</si>
  <si>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</si>
  <si>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</si>
  <si>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</si>
  <si>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</si>
  <si>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</si>
  <si>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</si>
  <si>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</si>
  <si>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</si>
  <si>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</si>
  <si>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</si>
  <si>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</si>
  <si>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</si>
  <si>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</si>
  <si>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</si>
  <si>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</si>
  <si>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</si>
  <si>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</si>
  <si>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</si>
  <si>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</si>
  <si>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</si>
  <si>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</si>
  <si>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</si>
  <si>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</si>
  <si>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</si>
  <si>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</si>
  <si>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</si>
  <si>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</si>
  <si>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</si>
  <si>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</si>
  <si>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</si>
  <si>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</si>
  <si>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</si>
  <si>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</si>
  <si>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</si>
  <si>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</si>
  <si>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</si>
  <si>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</si>
  <si>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</si>
  <si>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</si>
  <si>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</si>
  <si>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</si>
  <si>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</si>
  <si>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</si>
  <si>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</si>
  <si>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</si>
  <si>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</si>
  <si>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</si>
  <si>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</si>
  <si>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</si>
  <si>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</si>
  <si>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</si>
  <si>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</si>
  <si>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</si>
  <si>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</si>
  <si>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</si>
  <si>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</si>
  <si>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</si>
  <si>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</si>
  <si>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</si>
  <si>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</si>
  <si>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</si>
  <si>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</si>
  <si>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</si>
  <si>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</si>
  <si>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</si>
  <si>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</si>
  <si>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</si>
  <si>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</si>
  <si>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</si>
  <si>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</si>
  <si>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</si>
  <si>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</si>
  <si>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</si>
  <si>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</si>
  <si>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</si>
  <si>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</si>
  <si>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</si>
  <si>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</si>
  <si>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</si>
  <si>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</si>
  <si>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</si>
  <si>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</si>
  <si>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</si>
  <si>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</si>
  <si>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</si>
  <si>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</si>
  <si>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</si>
  <si>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</si>
  <si>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</si>
  <si>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</si>
  <si>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</si>
  <si>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</si>
  <si>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</si>
  <si>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</si>
  <si>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</si>
  <si>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</si>
  <si>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</si>
  <si>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</si>
  <si>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</si>
  <si>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</si>
  <si>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</si>
  <si>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</si>
  <si>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</si>
  <si>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</si>
  <si>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</si>
  <si>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</si>
  <si>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</si>
  <si>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</si>
  <si>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</si>
  <si>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</si>
  <si>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</si>
  <si>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</si>
  <si>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</si>
  <si>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</si>
  <si>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</si>
  <si>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</si>
  <si>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</si>
  <si>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</si>
  <si>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</si>
  <si>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</si>
  <si>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</si>
  <si>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</si>
  <si>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</si>
  <si>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</si>
  <si>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</si>
  <si>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</si>
  <si>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</si>
  <si>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</si>
  <si>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</si>
  <si>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</si>
  <si>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</si>
  <si>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</si>
  <si>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</si>
  <si>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</si>
  <si>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</si>
  <si>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</si>
  <si>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Utility Name: Oakville Hydro</t>
  </si>
  <si>
    <t>Y</t>
  </si>
  <si>
    <t>N</t>
  </si>
  <si>
    <t xml:space="preserve">     Personnel </t>
  </si>
  <si>
    <t xml:space="preserve">     Material </t>
  </si>
  <si>
    <t xml:space="preserve">     Other Costs</t>
  </si>
  <si>
    <t>Interest on leases</t>
  </si>
  <si>
    <t>Interest income on Development Charge Fund</t>
  </si>
  <si>
    <t>Recovery of transition costs</t>
  </si>
  <si>
    <t>PILs TAXES - EB-2011-0189</t>
  </si>
  <si>
    <t>Statement of Adjustments</t>
  </si>
  <si>
    <t>Other - Post Retirement Benefits</t>
  </si>
  <si>
    <t>Board-approved PILs tax proxy from Decisions    (1 a)</t>
  </si>
  <si>
    <t>Lease payments made - adjusted as per notice of reassessment</t>
  </si>
  <si>
    <t>Period costs not in P&amp;L - Capitalized transition costs deducted.</t>
  </si>
  <si>
    <t>TAXCALC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</si>
</sst>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0" fontId="58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10" fontId="59" fillId="35" borderId="0" xfId="0" applyNumberFormat="1" applyFont="1" applyFill="1" applyBorder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left" vertical="top"/>
    </xf>
    <xf numFmtId="37" fontId="59" fillId="0" borderId="0" xfId="0" applyNumberFormat="1" applyFont="1" applyBorder="1" applyAlignment="1">
      <alignment horizontal="left" vertical="top"/>
    </xf>
    <xf numFmtId="0" fontId="60" fillId="0" borderId="0" xfId="0" applyFont="1" applyAlignment="1">
      <alignment horizontal="center" vertical="top"/>
    </xf>
    <xf numFmtId="0" fontId="59" fillId="0" borderId="25" xfId="0" applyFont="1" applyBorder="1" applyAlignment="1">
      <alignment horizontal="left" vertical="top"/>
    </xf>
    <xf numFmtId="0" fontId="60" fillId="0" borderId="25" xfId="0" applyFont="1" applyBorder="1" applyAlignment="1">
      <alignment horizontal="center" vertical="top"/>
    </xf>
    <xf numFmtId="0" fontId="59" fillId="0" borderId="26" xfId="0" applyFont="1" applyBorder="1" applyAlignment="1">
      <alignment vertical="top"/>
    </xf>
    <xf numFmtId="0" fontId="59" fillId="0" borderId="0" xfId="0" applyFont="1" applyFill="1" applyBorder="1" applyAlignment="1">
      <alignment vertical="top"/>
    </xf>
    <xf numFmtId="0" fontId="59" fillId="0" borderId="25" xfId="0" applyFont="1" applyBorder="1" applyAlignment="1">
      <alignment vertical="top"/>
    </xf>
    <xf numFmtId="0" fontId="59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\O\Oakville%20Hydro%20Corporation-60234865\zz%20Work-in-Progress\1562%20Disposition\Updated%20by%20Maryanne\Oakville_EVD_PILs-2001Q4_20111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\O\Oakville%20Hydro%20Corporation-60234865\zz%20Work-in-Progress\1562%20Disposition\Updated%20by%20Maryanne\PILs%20Continuity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80" zoomScaleNormal="80" zoomScalePageLayoutView="0" workbookViewId="0" topLeftCell="A4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492</v>
      </c>
      <c r="C3" s="8"/>
      <c r="D3" s="452" t="s">
        <v>448</v>
      </c>
      <c r="E3" s="8"/>
      <c r="F3" s="8"/>
      <c r="G3" s="8"/>
      <c r="H3" s="8"/>
    </row>
    <row r="4" spans="1:8" ht="12.75">
      <c r="A4" s="2" t="s">
        <v>476</v>
      </c>
      <c r="C4" s="8"/>
      <c r="D4" s="451" t="s">
        <v>443</v>
      </c>
      <c r="E4" s="425"/>
      <c r="H4" s="8"/>
    </row>
    <row r="5" spans="1:8" ht="12.75">
      <c r="A5" s="52"/>
      <c r="C5" s="8"/>
      <c r="D5" s="450" t="s">
        <v>444</v>
      </c>
      <c r="E5" s="395"/>
      <c r="H5" s="8"/>
    </row>
    <row r="6" spans="1:8" ht="12.75">
      <c r="A6" s="2" t="s">
        <v>126</v>
      </c>
      <c r="B6" s="385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6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5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5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5" t="s">
        <v>494</v>
      </c>
    </row>
    <row r="18" spans="1:4" ht="15" customHeight="1">
      <c r="A18" s="386" t="s">
        <v>312</v>
      </c>
      <c r="C18" s="8"/>
      <c r="D18" s="8"/>
    </row>
    <row r="19" spans="1:4" ht="15" customHeight="1">
      <c r="A19" s="496" t="s">
        <v>313</v>
      </c>
      <c r="B19" s="8" t="s">
        <v>310</v>
      </c>
      <c r="C19" s="8" t="s">
        <v>64</v>
      </c>
      <c r="D19" s="385" t="s">
        <v>493</v>
      </c>
    </row>
    <row r="20" spans="1:4" ht="13.5" thickBot="1">
      <c r="A20" s="497"/>
      <c r="B20" s="8" t="s">
        <v>311</v>
      </c>
      <c r="C20" s="8" t="s">
        <v>64</v>
      </c>
      <c r="D20" s="255" t="s">
        <v>493</v>
      </c>
    </row>
    <row r="21" spans="1:4" ht="12.75">
      <c r="A21" s="496" t="s">
        <v>309</v>
      </c>
      <c r="B21" s="8" t="s">
        <v>310</v>
      </c>
      <c r="C21" s="8"/>
      <c r="D21" s="420">
        <v>1</v>
      </c>
    </row>
    <row r="22" spans="1:4" ht="12.75">
      <c r="A22" s="496"/>
      <c r="B22" s="8" t="s">
        <v>311</v>
      </c>
      <c r="C22" s="8"/>
      <c r="D22" s="420">
        <v>1</v>
      </c>
    </row>
    <row r="23" spans="1:4" ht="7.5" customHeight="1">
      <c r="A23" s="45"/>
      <c r="C23" s="8"/>
      <c r="D23" s="385"/>
    </row>
    <row r="24" spans="1:4" ht="12.75">
      <c r="A24" s="45" t="s">
        <v>211</v>
      </c>
      <c r="C24" s="8" t="s">
        <v>212</v>
      </c>
      <c r="D24" s="421" t="s">
        <v>477</v>
      </c>
    </row>
    <row r="25" ht="6.75" customHeight="1" thickBot="1">
      <c r="A25" s="12"/>
    </row>
    <row r="26" spans="1:5" ht="12.75">
      <c r="A26" s="252" t="s">
        <v>67</v>
      </c>
      <c r="C26" s="8"/>
      <c r="E26" s="440" t="s">
        <v>294</v>
      </c>
    </row>
    <row r="27" spans="1:5" ht="12.75">
      <c r="A27" s="253" t="s">
        <v>68</v>
      </c>
      <c r="C27" s="8"/>
      <c r="E27" s="441" t="s">
        <v>295</v>
      </c>
    </row>
    <row r="28" spans="1:3" ht="12.75">
      <c r="A28" s="253" t="s">
        <v>69</v>
      </c>
      <c r="C28" s="38"/>
    </row>
    <row r="29" ht="12.75">
      <c r="A29" s="254" t="s">
        <v>70</v>
      </c>
    </row>
    <row r="30" ht="12.75">
      <c r="A30" s="35"/>
    </row>
    <row r="31" spans="1:8" ht="12.75">
      <c r="A31" t="s">
        <v>284</v>
      </c>
      <c r="D31" s="418">
        <v>111346108.28</v>
      </c>
      <c r="H31" s="5"/>
    </row>
    <row r="32" ht="6" customHeight="1"/>
    <row r="33" spans="1:8" ht="12.75">
      <c r="A33" t="s">
        <v>71</v>
      </c>
      <c r="D33" s="419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7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9">
        <v>0.0988</v>
      </c>
      <c r="H37" s="41"/>
    </row>
    <row r="38" ht="4.5" customHeight="1">
      <c r="H38" s="34"/>
    </row>
    <row r="39" spans="1:8" ht="12.75">
      <c r="A39" t="s">
        <v>74</v>
      </c>
      <c r="D39" s="419">
        <v>0.07</v>
      </c>
      <c r="H39" s="41"/>
    </row>
    <row r="40" ht="6" customHeight="1">
      <c r="H40" s="34"/>
    </row>
    <row r="41" spans="1:8" ht="12.75">
      <c r="A41" t="s">
        <v>75</v>
      </c>
      <c r="D41" s="248">
        <f>+(Ratebase*D33*D37)+(Ratebase*D35*D39)</f>
        <v>9237273.1429088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170821</v>
      </c>
      <c r="E43" s="384">
        <f>D43</f>
        <v>170821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8">
        <f>D41-D43</f>
        <v>9066452.1429088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23">
        <v>3022150.7143029333</v>
      </c>
      <c r="E47" s="384">
        <f aca="true" t="shared" si="0" ref="E47:E53">D47</f>
        <v>3022150.7143029333</v>
      </c>
      <c r="H47" s="40"/>
      <c r="J47" s="5"/>
      <c r="K47" s="5"/>
    </row>
    <row r="48" spans="1:11" ht="12.75">
      <c r="A48" t="s">
        <v>287</v>
      </c>
      <c r="D48" s="423">
        <v>3022150.7143029333</v>
      </c>
      <c r="E48" s="384">
        <f>D48</f>
        <v>3022150.7143029333</v>
      </c>
      <c r="F48" s="22"/>
      <c r="H48" s="40"/>
      <c r="J48" s="5"/>
      <c r="K48" s="5"/>
    </row>
    <row r="49" spans="1:11" ht="12.75">
      <c r="A49" t="s">
        <v>288</v>
      </c>
      <c r="D49" s="424">
        <v>3022150.7143029333</v>
      </c>
      <c r="E49" s="384">
        <v>0</v>
      </c>
      <c r="F49" s="22"/>
      <c r="H49" s="40"/>
      <c r="J49" s="5"/>
      <c r="K49" s="5"/>
    </row>
    <row r="50" spans="1:11" ht="12.75">
      <c r="A50" t="s">
        <v>289</v>
      </c>
      <c r="D50" s="425"/>
      <c r="E50" s="384">
        <f t="shared" si="0"/>
        <v>0</v>
      </c>
      <c r="H50" s="40"/>
      <c r="J50" s="5"/>
      <c r="K50" s="5"/>
    </row>
    <row r="51" spans="1:11" ht="12.75">
      <c r="A51" t="s">
        <v>440</v>
      </c>
      <c r="D51" s="425"/>
      <c r="E51" s="384">
        <f t="shared" si="0"/>
        <v>0</v>
      </c>
      <c r="H51" s="40"/>
      <c r="J51" s="5"/>
      <c r="K51" s="5"/>
    </row>
    <row r="52" spans="1:11" ht="12.75">
      <c r="A52" t="s">
        <v>463</v>
      </c>
      <c r="D52" s="425"/>
      <c r="E52" s="384">
        <f t="shared" si="0"/>
        <v>0</v>
      </c>
      <c r="H52" s="40"/>
      <c r="J52" s="5"/>
      <c r="K52" s="5"/>
    </row>
    <row r="53" spans="4:11" ht="12.75">
      <c r="D53" s="425"/>
      <c r="E53" s="384">
        <f t="shared" si="0"/>
        <v>0</v>
      </c>
      <c r="H53" s="40"/>
      <c r="J53" s="5"/>
      <c r="K53" s="5"/>
    </row>
    <row r="54" spans="1:11" ht="12.75">
      <c r="A54" s="2" t="s">
        <v>290</v>
      </c>
      <c r="E54" s="251">
        <f>SUM(E43:E53)</f>
        <v>6215122.428605867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9">
        <f>D31*D33</f>
        <v>50105748.726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9">
        <f>D56*D37</f>
        <v>4950447.9741288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9">
        <f>D31*D35</f>
        <v>61240359.554000005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49">
        <f>D60*D39</f>
        <v>4286825.168780001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0">
        <f>IF(D41&gt;0,(((D43+D47)/D41)*D62),0)</f>
        <v>1481791.3572886083</v>
      </c>
      <c r="F64" s="5"/>
      <c r="H64" s="32"/>
      <c r="J64" s="5"/>
      <c r="K64" s="5"/>
    </row>
    <row r="65" spans="1:11" ht="12.75">
      <c r="A65" s="33" t="s">
        <v>379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0">
        <f>IF(D41&gt;0,(((D43+D47+D48)/D41)*D62),0)</f>
        <v>2884308.2630343046</v>
      </c>
      <c r="F66" s="5"/>
      <c r="H66" s="32"/>
      <c r="J66" s="5"/>
      <c r="K66" s="5"/>
    </row>
    <row r="67" spans="1:11" ht="12.75">
      <c r="A67" s="33" t="s">
        <v>380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0">
        <f>IF(D41&gt;0,(((D43+D47+D48)/D41)*D62),0)</f>
        <v>2884308.2630343046</v>
      </c>
      <c r="F68" s="5"/>
      <c r="H68" s="32"/>
      <c r="J68" s="5"/>
    </row>
    <row r="69" spans="1:10" ht="12.75">
      <c r="A69" s="33" t="s">
        <v>381</v>
      </c>
      <c r="B69" s="5"/>
      <c r="C69" s="5"/>
      <c r="D69" s="5"/>
      <c r="F69" s="5"/>
      <c r="H69" s="32"/>
      <c r="J69" s="5"/>
    </row>
    <row r="70" spans="1:10" ht="12.75">
      <c r="A70" s="45" t="s">
        <v>449</v>
      </c>
      <c r="B70" s="5"/>
      <c r="C70" s="5"/>
      <c r="D70" s="250">
        <f>D62</f>
        <v>4286825.168780001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90" zoomScaleNormal="90" zoomScalePageLayoutView="0" workbookViewId="0" topLeftCell="A8">
      <selection activeCell="H8" sqref="H1:H1638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0" t="s">
        <v>501</v>
      </c>
      <c r="B1" s="201" t="s">
        <v>128</v>
      </c>
      <c r="C1" s="202" t="s">
        <v>34</v>
      </c>
      <c r="D1" s="203"/>
      <c r="E1" s="204" t="s">
        <v>23</v>
      </c>
      <c r="F1" s="205" t="s">
        <v>23</v>
      </c>
      <c r="G1" s="206" t="s">
        <v>465</v>
      </c>
      <c r="H1" s="207"/>
    </row>
    <row r="2" spans="1:8" ht="12.75">
      <c r="A2" s="208" t="s">
        <v>464</v>
      </c>
      <c r="B2" s="209"/>
      <c r="C2" s="210" t="s">
        <v>35</v>
      </c>
      <c r="D2" s="211"/>
      <c r="E2" s="212" t="s">
        <v>24</v>
      </c>
      <c r="F2" s="213" t="s">
        <v>24</v>
      </c>
      <c r="G2" s="182" t="s">
        <v>466</v>
      </c>
      <c r="H2" s="214"/>
    </row>
    <row r="3" spans="1:8" ht="12.75">
      <c r="A3" s="208" t="s">
        <v>49</v>
      </c>
      <c r="B3" s="215"/>
      <c r="C3" s="216"/>
      <c r="D3" s="211"/>
      <c r="E3" s="137" t="s">
        <v>21</v>
      </c>
      <c r="F3" s="217" t="s">
        <v>21</v>
      </c>
      <c r="G3" s="137"/>
      <c r="H3" s="214"/>
    </row>
    <row r="4" spans="1:8" ht="12.75">
      <c r="A4" s="218" t="s">
        <v>41</v>
      </c>
      <c r="B4" s="219"/>
      <c r="C4" s="216"/>
      <c r="D4" s="211"/>
      <c r="E4" s="137" t="s">
        <v>249</v>
      </c>
      <c r="F4" s="217" t="s">
        <v>22</v>
      </c>
      <c r="G4" s="137"/>
      <c r="H4" s="214"/>
    </row>
    <row r="5" spans="1:8" ht="12.75">
      <c r="A5" s="208">
        <f>REGINFO!E2</f>
        <v>0</v>
      </c>
      <c r="B5" s="219"/>
      <c r="C5" s="216"/>
      <c r="D5" s="211"/>
      <c r="E5" s="137"/>
      <c r="F5" s="217"/>
      <c r="G5" s="182" t="str">
        <f>REGINFO!E1</f>
        <v>Version 2009.1</v>
      </c>
      <c r="H5" s="214"/>
    </row>
    <row r="6" spans="1:8" ht="12.75">
      <c r="A6" s="208" t="str">
        <f>REGINFO!A3</f>
        <v>Utility Name: Oakville Hydro</v>
      </c>
      <c r="B6" s="115"/>
      <c r="D6" s="137"/>
      <c r="E6" s="115"/>
      <c r="G6" s="115"/>
      <c r="H6" s="462"/>
    </row>
    <row r="7" spans="1:8" ht="12.75">
      <c r="A7" s="208" t="str">
        <f>REGINFO!A4</f>
        <v>Reporting period:  2002</v>
      </c>
      <c r="B7" s="115"/>
      <c r="D7" s="137"/>
      <c r="E7" s="115"/>
      <c r="G7" s="115"/>
      <c r="H7" s="462"/>
    </row>
    <row r="8" spans="2:12" ht="12.75">
      <c r="B8" s="219"/>
      <c r="C8" s="227"/>
      <c r="D8" s="211"/>
      <c r="E8" s="137"/>
      <c r="F8" s="217"/>
      <c r="G8" s="182" t="s">
        <v>87</v>
      </c>
      <c r="H8" s="214"/>
      <c r="J8" s="47" t="s">
        <v>129</v>
      </c>
      <c r="K8" s="47"/>
      <c r="L8" s="47"/>
    </row>
    <row r="9" spans="1:8" ht="12.75">
      <c r="A9" s="208" t="s">
        <v>126</v>
      </c>
      <c r="B9" s="426">
        <f>REGINFO!B6</f>
        <v>365</v>
      </c>
      <c r="C9" s="228" t="s">
        <v>127</v>
      </c>
      <c r="D9" s="211"/>
      <c r="E9" s="137"/>
      <c r="F9" s="217"/>
      <c r="G9" s="182" t="s">
        <v>90</v>
      </c>
      <c r="H9" s="214"/>
    </row>
    <row r="10" spans="1:8" ht="12.75">
      <c r="A10" s="208" t="s">
        <v>255</v>
      </c>
      <c r="B10" s="426">
        <f>REGINFO!B7</f>
        <v>365</v>
      </c>
      <c r="C10" s="228" t="s">
        <v>127</v>
      </c>
      <c r="D10" s="211"/>
      <c r="E10" s="229"/>
      <c r="F10" s="217"/>
      <c r="G10" s="230" t="s">
        <v>88</v>
      </c>
      <c r="H10" s="214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50"/>
      <c r="B13" s="220"/>
      <c r="C13" s="221"/>
      <c r="D13" s="222"/>
      <c r="E13" s="223"/>
      <c r="F13" s="224"/>
      <c r="G13" s="225"/>
      <c r="H13" s="226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340</v>
      </c>
      <c r="B16" s="125">
        <v>1</v>
      </c>
      <c r="C16" s="257">
        <f>REGINFO!E54</f>
        <v>6215122.428605867</v>
      </c>
      <c r="D16" s="17"/>
      <c r="E16" s="265">
        <f>G16-C16</f>
        <v>-2367122.4286058666</v>
      </c>
      <c r="F16" s="3"/>
      <c r="G16" s="265">
        <f>TAXREC!E50</f>
        <v>3848000</v>
      </c>
      <c r="H16" s="489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59">
        <v>6390639</v>
      </c>
      <c r="D20" s="18"/>
      <c r="E20" s="265">
        <f>G20-C20</f>
        <v>3553361</v>
      </c>
      <c r="F20" s="6"/>
      <c r="G20" s="265">
        <f>TAXREC!E61</f>
        <v>9944000</v>
      </c>
      <c r="H20" s="490"/>
    </row>
    <row r="21" spans="1:8" ht="12.75">
      <c r="A21" s="158" t="s">
        <v>56</v>
      </c>
      <c r="B21" s="127">
        <v>3</v>
      </c>
      <c r="C21" s="259"/>
      <c r="D21" s="18"/>
      <c r="E21" s="265">
        <f>G21-C21</f>
        <v>5225972</v>
      </c>
      <c r="F21" s="6"/>
      <c r="G21" s="265">
        <f>TAXREC!E62</f>
        <v>5225972</v>
      </c>
      <c r="H21" s="151"/>
    </row>
    <row r="22" spans="1:8" ht="12.75">
      <c r="A22" s="158" t="s">
        <v>263</v>
      </c>
      <c r="B22" s="127">
        <v>4</v>
      </c>
      <c r="C22" s="259"/>
      <c r="D22" s="18"/>
      <c r="E22" s="265">
        <f>G22-C22</f>
        <v>32068</v>
      </c>
      <c r="F22" s="6"/>
      <c r="G22" s="265">
        <f>TAXREC!E63</f>
        <v>32068</v>
      </c>
      <c r="H22" s="489"/>
    </row>
    <row r="23" spans="1:8" ht="12.75">
      <c r="A23" s="158" t="s">
        <v>262</v>
      </c>
      <c r="B23" s="127">
        <v>4</v>
      </c>
      <c r="C23" s="259"/>
      <c r="D23" s="18"/>
      <c r="E23" s="265">
        <f>G23-C23</f>
        <v>26536</v>
      </c>
      <c r="F23" s="6"/>
      <c r="G23" s="265">
        <f>TAXREC!E64</f>
        <v>26536</v>
      </c>
      <c r="H23" s="489"/>
    </row>
    <row r="24" spans="1:8" ht="12.75">
      <c r="A24" s="158" t="s">
        <v>264</v>
      </c>
      <c r="B24" s="127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489"/>
    </row>
    <row r="25" spans="1:8" ht="12.75">
      <c r="A25" s="158" t="s">
        <v>53</v>
      </c>
      <c r="B25" s="127"/>
      <c r="C25" s="105" t="s">
        <v>102</v>
      </c>
      <c r="D25" s="18"/>
      <c r="E25" s="185"/>
      <c r="F25" s="33"/>
      <c r="G25" s="185"/>
      <c r="H25" s="489"/>
    </row>
    <row r="26" spans="1:8" ht="12.75">
      <c r="A26" s="158" t="s">
        <v>156</v>
      </c>
      <c r="B26" s="127">
        <v>6</v>
      </c>
      <c r="C26" s="259"/>
      <c r="D26" s="18"/>
      <c r="E26" s="265">
        <f>G26-C26</f>
        <v>943133</v>
      </c>
      <c r="F26" s="6"/>
      <c r="G26" s="265">
        <f>TAXREC!E92</f>
        <v>943133</v>
      </c>
      <c r="H26" s="489"/>
    </row>
    <row r="27" spans="1:8" ht="12.75">
      <c r="A27" s="158" t="s">
        <v>159</v>
      </c>
      <c r="B27" s="127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489"/>
    </row>
    <row r="28" spans="1:8" ht="12.75">
      <c r="A28" s="158" t="s">
        <v>158</v>
      </c>
      <c r="B28" s="127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489"/>
    </row>
    <row r="29" spans="1:8" ht="12.75">
      <c r="A29" s="158" t="s">
        <v>157</v>
      </c>
      <c r="B29" s="127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489"/>
    </row>
    <row r="30" spans="1:8" ht="15">
      <c r="A30" s="477" t="s">
        <v>396</v>
      </c>
      <c r="B30" s="127"/>
      <c r="C30" s="257"/>
      <c r="D30" s="18"/>
      <c r="E30" s="265">
        <f>G30-C30</f>
        <v>48663</v>
      </c>
      <c r="F30" s="6"/>
      <c r="G30" s="265">
        <f>TAXREC!E66</f>
        <v>48663</v>
      </c>
      <c r="H30" s="489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341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59">
        <v>4148654</v>
      </c>
      <c r="D33" s="132"/>
      <c r="E33" s="265">
        <f aca="true" t="shared" si="0" ref="E33:E42">G33-C33</f>
        <v>3581417</v>
      </c>
      <c r="F33" s="6"/>
      <c r="G33" s="265">
        <f>TAXREC!E97+TAXREC!E98</f>
        <v>7730071</v>
      </c>
      <c r="H33" s="490"/>
    </row>
    <row r="34" spans="1:8" ht="12.75">
      <c r="A34" s="158" t="s">
        <v>57</v>
      </c>
      <c r="B34" s="127">
        <v>8</v>
      </c>
      <c r="C34" s="259"/>
      <c r="D34" s="132"/>
      <c r="E34" s="265">
        <f t="shared" si="0"/>
        <v>5106204</v>
      </c>
      <c r="F34" s="6"/>
      <c r="G34" s="265">
        <f>TAXREC!E99</f>
        <v>5106204</v>
      </c>
      <c r="H34" s="151"/>
    </row>
    <row r="35" spans="1:8" ht="12.75">
      <c r="A35" s="158" t="s">
        <v>45</v>
      </c>
      <c r="B35" s="127">
        <v>9</v>
      </c>
      <c r="C35" s="259">
        <v>0</v>
      </c>
      <c r="D35" s="132"/>
      <c r="E35" s="265">
        <f t="shared" si="0"/>
        <v>0</v>
      </c>
      <c r="F35" s="6"/>
      <c r="G35" s="265">
        <f>TAXREC!E100</f>
        <v>0</v>
      </c>
      <c r="H35" s="151"/>
    </row>
    <row r="36" spans="1:8" ht="12.75">
      <c r="A36" s="158" t="s">
        <v>265</v>
      </c>
      <c r="B36" s="127">
        <v>10</v>
      </c>
      <c r="C36" s="259"/>
      <c r="D36" s="132"/>
      <c r="E36" s="265">
        <f t="shared" si="0"/>
        <v>0</v>
      </c>
      <c r="F36" s="6"/>
      <c r="G36" s="265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8">
        <f>REGINFO!D66</f>
        <v>2884308.2630343046</v>
      </c>
      <c r="D37" s="132"/>
      <c r="E37" s="265">
        <f t="shared" si="0"/>
        <v>506691.7369656954</v>
      </c>
      <c r="F37" s="6"/>
      <c r="G37" s="265">
        <f>TAXREC!E51</f>
        <v>3391000</v>
      </c>
      <c r="H37" s="151"/>
    </row>
    <row r="38" spans="1:8" ht="12.75">
      <c r="A38" s="155" t="s">
        <v>261</v>
      </c>
      <c r="B38" s="125">
        <v>4</v>
      </c>
      <c r="C38" s="259"/>
      <c r="D38" s="132"/>
      <c r="E38" s="265">
        <f t="shared" si="0"/>
        <v>26536</v>
      </c>
      <c r="F38" s="6"/>
      <c r="G38" s="265">
        <f>TAXREC!E104</f>
        <v>26536</v>
      </c>
      <c r="H38" s="489"/>
    </row>
    <row r="39" spans="1:8" ht="12.75">
      <c r="A39" s="155" t="s">
        <v>260</v>
      </c>
      <c r="B39" s="125">
        <v>4</v>
      </c>
      <c r="C39" s="259"/>
      <c r="D39" s="132"/>
      <c r="E39" s="265">
        <f t="shared" si="0"/>
        <v>32068</v>
      </c>
      <c r="F39" s="6"/>
      <c r="G39" s="265">
        <f>TAXREC!E105</f>
        <v>32068</v>
      </c>
      <c r="H39" s="489"/>
    </row>
    <row r="40" spans="1:8" ht="12.75">
      <c r="A40" s="155" t="s">
        <v>12</v>
      </c>
      <c r="B40" s="125">
        <v>3</v>
      </c>
      <c r="C40" s="259"/>
      <c r="D40" s="132"/>
      <c r="E40" s="265">
        <f t="shared" si="0"/>
        <v>0</v>
      </c>
      <c r="F40" s="6"/>
      <c r="G40" s="265">
        <f>TAXREC!E106</f>
        <v>0</v>
      </c>
      <c r="H40" s="151"/>
    </row>
    <row r="41" spans="1:8" ht="12.75">
      <c r="A41" s="155" t="s">
        <v>13</v>
      </c>
      <c r="B41" s="125">
        <v>3</v>
      </c>
      <c r="C41" s="259"/>
      <c r="D41" s="132"/>
      <c r="E41" s="265">
        <f t="shared" si="0"/>
        <v>0</v>
      </c>
      <c r="F41" s="6"/>
      <c r="G41" s="265">
        <f>TAXREC!E107</f>
        <v>0</v>
      </c>
      <c r="H41" s="151"/>
    </row>
    <row r="42" spans="1:8" ht="12.75">
      <c r="A42" s="155" t="s">
        <v>184</v>
      </c>
      <c r="B42" s="125">
        <v>11</v>
      </c>
      <c r="C42" s="259"/>
      <c r="D42" s="132"/>
      <c r="E42" s="265">
        <f t="shared" si="0"/>
        <v>0</v>
      </c>
      <c r="F42" s="6"/>
      <c r="G42" s="265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59"/>
      <c r="D44" s="132"/>
      <c r="E44" s="265">
        <f>G44-C44</f>
        <v>1117869</v>
      </c>
      <c r="F44" s="6"/>
      <c r="G44" s="248">
        <f>TAXREC!E130</f>
        <v>1117869</v>
      </c>
      <c r="H44" s="489"/>
    </row>
    <row r="45" spans="1:8" ht="12.75">
      <c r="A45" s="158" t="s">
        <v>153</v>
      </c>
      <c r="B45" s="127">
        <v>12</v>
      </c>
      <c r="C45" s="259"/>
      <c r="D45" s="132"/>
      <c r="E45" s="265">
        <f>G45-C45</f>
        <v>0</v>
      </c>
      <c r="F45" s="6"/>
      <c r="G45" s="248">
        <f>TAXREC!E131</f>
        <v>0</v>
      </c>
      <c r="H45" s="151"/>
    </row>
    <row r="46" spans="1:8" ht="12.75">
      <c r="A46" s="158" t="s">
        <v>155</v>
      </c>
      <c r="B46" s="127">
        <v>12</v>
      </c>
      <c r="C46" s="259"/>
      <c r="D46" s="132"/>
      <c r="E46" s="265">
        <f>G46-C46</f>
        <v>0</v>
      </c>
      <c r="F46" s="6"/>
      <c r="G46" s="248">
        <f>TAXREC!E110</f>
        <v>0</v>
      </c>
      <c r="H46" s="151"/>
    </row>
    <row r="47" spans="1:8" ht="12.75">
      <c r="A47" s="158" t="s">
        <v>154</v>
      </c>
      <c r="B47" s="127">
        <v>12</v>
      </c>
      <c r="C47" s="259"/>
      <c r="D47" s="132"/>
      <c r="E47" s="265">
        <f>G47-C47</f>
        <v>0</v>
      </c>
      <c r="F47" s="6"/>
      <c r="G47" s="248">
        <f>TAXREC!E111</f>
        <v>0</v>
      </c>
      <c r="H47" s="151"/>
    </row>
    <row r="48" spans="1:8" ht="15">
      <c r="A48" s="477" t="s">
        <v>396</v>
      </c>
      <c r="B48" s="127"/>
      <c r="C48" s="257"/>
      <c r="D48" s="132"/>
      <c r="E48" s="265">
        <f>G48-C48</f>
        <v>783139</v>
      </c>
      <c r="F48" s="6"/>
      <c r="G48" s="248">
        <f>TAXREC!E108</f>
        <v>783139</v>
      </c>
      <c r="H48" s="489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327</v>
      </c>
      <c r="B50" s="125"/>
      <c r="C50" s="261">
        <f>C16+SUM(C20:C30)-SUM(C33:C48)</f>
        <v>5572799.165571561</v>
      </c>
      <c r="D50" s="102"/>
      <c r="E50" s="261">
        <f>E16+SUM(E20:E30)-SUM(E33:E48)</f>
        <v>-3691314.165571562</v>
      </c>
      <c r="F50" s="428" t="s">
        <v>368</v>
      </c>
      <c r="G50" s="261">
        <f>G16+SUM(G20:G30)-SUM(G33:G48)</f>
        <v>1881485</v>
      </c>
      <c r="H50" s="489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9" ht="12.75">
      <c r="A52" s="158" t="s">
        <v>335</v>
      </c>
      <c r="B52" s="127"/>
      <c r="C52" s="108"/>
      <c r="D52" s="132"/>
      <c r="E52" s="139"/>
      <c r="F52" s="6"/>
      <c r="G52" s="139"/>
      <c r="H52" s="151"/>
      <c r="I52" s="116"/>
    </row>
    <row r="53" spans="1:9" ht="12.75">
      <c r="A53" s="158" t="s">
        <v>339</v>
      </c>
      <c r="B53" s="127">
        <v>13</v>
      </c>
      <c r="C53" s="260">
        <f>IF($C$50&gt;'Tax Rates'!$E$11,'Tax Rates'!$F$16,IF($C$50&gt;'Tax Rates'!$C$11,'Tax Rates'!$E$16,'Tax Rates'!$C$16))</f>
        <v>0.3862</v>
      </c>
      <c r="D53" s="102"/>
      <c r="E53" s="266">
        <f>+G53-C53</f>
        <v>0</v>
      </c>
      <c r="F53" s="114"/>
      <c r="G53" s="470">
        <f>TAXREC!E151</f>
        <v>0.3862</v>
      </c>
      <c r="H53" s="489"/>
      <c r="I53" s="116"/>
    </row>
    <row r="54" spans="1:9" ht="12.75">
      <c r="A54" s="158"/>
      <c r="B54" s="127"/>
      <c r="C54" s="105"/>
      <c r="D54" s="132"/>
      <c r="E54" s="139"/>
      <c r="F54" s="6"/>
      <c r="G54" s="139"/>
      <c r="H54" s="151"/>
      <c r="I54" s="116"/>
    </row>
    <row r="55" spans="1:9" ht="12.75">
      <c r="A55" s="158" t="s">
        <v>28</v>
      </c>
      <c r="B55" s="127"/>
      <c r="C55" s="262">
        <f>IF(C50&gt;0,C50*C53,0)</f>
        <v>2152215.037743737</v>
      </c>
      <c r="D55" s="102"/>
      <c r="E55" s="265">
        <f>G55-C55</f>
        <v>-1934559.037743737</v>
      </c>
      <c r="F55" s="428" t="s">
        <v>369</v>
      </c>
      <c r="G55" s="262">
        <f>TAXREC!E144</f>
        <v>217656</v>
      </c>
      <c r="H55" s="491"/>
      <c r="I55" s="116"/>
    </row>
    <row r="56" spans="1:9" ht="12.75">
      <c r="A56" s="158"/>
      <c r="B56" s="127"/>
      <c r="C56" s="105"/>
      <c r="D56" s="132"/>
      <c r="E56" s="139"/>
      <c r="F56" s="114"/>
      <c r="G56" s="139"/>
      <c r="H56" s="151"/>
      <c r="I56" s="116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3"/>
      <c r="D58" s="132"/>
      <c r="E58" s="265">
        <f>+G58-C58</f>
        <v>5155</v>
      </c>
      <c r="F58" s="428" t="s">
        <v>369</v>
      </c>
      <c r="G58" s="268">
        <f>TAXREC!E145</f>
        <v>5155</v>
      </c>
      <c r="H58" s="489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4">
        <f>+C55-C58</f>
        <v>2152215.037743737</v>
      </c>
      <c r="D60" s="133"/>
      <c r="E60" s="267">
        <f>+E55-E58</f>
        <v>-1939714.037743737</v>
      </c>
      <c r="F60" s="428" t="s">
        <v>369</v>
      </c>
      <c r="G60" s="267">
        <f>+G55-G58</f>
        <v>212501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2">
        <f>Ratebase</f>
        <v>111346108.28</v>
      </c>
      <c r="D66" s="102"/>
      <c r="E66" s="265">
        <f>G66-C66</f>
        <v>32859426.72</v>
      </c>
      <c r="F66" s="6"/>
      <c r="G66" s="472">
        <v>144205535</v>
      </c>
      <c r="H66" s="490"/>
      <c r="I66" s="473" t="s">
        <v>475</v>
      </c>
    </row>
    <row r="67" spans="1:9" ht="12.75">
      <c r="A67" s="152" t="s">
        <v>361</v>
      </c>
      <c r="B67" s="125">
        <v>16</v>
      </c>
      <c r="C67" s="258">
        <f>IF(C66&gt;0,'Tax Rates'!C21,0)</f>
        <v>5000000</v>
      </c>
      <c r="D67" s="102"/>
      <c r="E67" s="265">
        <f>G67-C67</f>
        <v>-656390</v>
      </c>
      <c r="F67" s="6"/>
      <c r="G67" s="472">
        <v>4343610</v>
      </c>
      <c r="H67" s="490"/>
      <c r="I67" s="473" t="s">
        <v>475</v>
      </c>
    </row>
    <row r="68" spans="1:8" ht="12.75">
      <c r="A68" s="152" t="s">
        <v>42</v>
      </c>
      <c r="B68" s="125"/>
      <c r="C68" s="262">
        <f>IF((C66-C67)&gt;0,C66-C67,0)</f>
        <v>106346108.28</v>
      </c>
      <c r="D68" s="102"/>
      <c r="E68" s="265">
        <f>SUM(E66:E67)</f>
        <v>32203036.72</v>
      </c>
      <c r="F68" s="114"/>
      <c r="G68" s="262">
        <f>G66-G67</f>
        <v>139861925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362</v>
      </c>
      <c r="B70" s="125">
        <v>17</v>
      </c>
      <c r="C70" s="299">
        <f>'Tax Rates'!C18</f>
        <v>0.003</v>
      </c>
      <c r="D70" s="102"/>
      <c r="E70" s="266">
        <f>+G70-C70</f>
        <v>0</v>
      </c>
      <c r="F70" s="6"/>
      <c r="G70" s="299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314</v>
      </c>
      <c r="B72" s="125"/>
      <c r="C72" s="262">
        <f>IF(C68&gt;0,C68*C70,0)*REGINFO!$B$6/REGINFO!$B$7</f>
        <v>319038.32484</v>
      </c>
      <c r="D72" s="101"/>
      <c r="E72" s="265">
        <f>+G72-C72</f>
        <v>100547.45016000001</v>
      </c>
      <c r="F72" s="474"/>
      <c r="G72" s="262">
        <f>IF(G68&gt;0,G68*G70,0)*REGINFO!$B$6/REGINFO!$B$7</f>
        <v>419585.775</v>
      </c>
      <c r="H72" s="490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2">
        <f>Ratebase</f>
        <v>111346108.28</v>
      </c>
      <c r="D75" s="102"/>
      <c r="E75" s="265">
        <f>+G75-C75</f>
        <v>28568760.72</v>
      </c>
      <c r="F75" s="6"/>
      <c r="G75" s="472">
        <v>139914869</v>
      </c>
      <c r="H75" s="490"/>
      <c r="I75" s="473" t="s">
        <v>475</v>
      </c>
    </row>
    <row r="76" spans="1:9" ht="12.75">
      <c r="A76" s="152" t="s">
        <v>361</v>
      </c>
      <c r="B76" s="125">
        <v>19</v>
      </c>
      <c r="C76" s="258">
        <f>IF(C75&gt;0,'Tax Rates'!C22,0)</f>
        <v>10000000</v>
      </c>
      <c r="D76" s="18"/>
      <c r="E76" s="265">
        <f>+G76-C76</f>
        <v>-10000000</v>
      </c>
      <c r="F76" s="6"/>
      <c r="G76" s="472">
        <v>0</v>
      </c>
      <c r="H76" s="151"/>
      <c r="I76" s="473" t="s">
        <v>475</v>
      </c>
    </row>
    <row r="77" spans="1:8" ht="12.75">
      <c r="A77" s="152" t="s">
        <v>42</v>
      </c>
      <c r="B77" s="125"/>
      <c r="C77" s="262">
        <f>IF((C75-C76)&gt;0,C75-C76,0)</f>
        <v>101346108.28</v>
      </c>
      <c r="D77" s="19"/>
      <c r="E77" s="265">
        <f>SUM(E75:E76)</f>
        <v>18568760.72</v>
      </c>
      <c r="F77" s="114"/>
      <c r="G77" s="262">
        <f>G75-G76</f>
        <v>139914869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362</v>
      </c>
      <c r="B79" s="125">
        <v>20</v>
      </c>
      <c r="C79" s="299">
        <f>'Tax Rates'!C19</f>
        <v>0.00225</v>
      </c>
      <c r="D79" s="102"/>
      <c r="E79" s="266">
        <f>G79-C79</f>
        <v>0</v>
      </c>
      <c r="F79" s="6"/>
      <c r="G79" s="266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2">
        <f>IF(C77&gt;0,C77*C79,0)*REGINFO!$B$6/REGINFO!$B$7</f>
        <v>228028.74362999998</v>
      </c>
      <c r="D81" s="102"/>
      <c r="E81" s="265">
        <f>+G81-C81</f>
        <v>86779.71162000002</v>
      </c>
      <c r="F81" s="6"/>
      <c r="G81" s="262">
        <f>G77*G79*B9/B10</f>
        <v>314808.45525</v>
      </c>
      <c r="H81" s="151"/>
    </row>
    <row r="82" spans="1:8" ht="12.75">
      <c r="A82" s="152" t="s">
        <v>316</v>
      </c>
      <c r="B82" s="125">
        <v>21</v>
      </c>
      <c r="C82" s="298">
        <f>IF(C77&gt;0,IF(C60&gt;0,C50*'Tax Rates'!C20,0),0)</f>
        <v>62415.35065440148</v>
      </c>
      <c r="D82" s="102"/>
      <c r="E82" s="265">
        <f>+G82-C82</f>
        <v>-56103.35065440148</v>
      </c>
      <c r="F82" s="6"/>
      <c r="G82" s="298">
        <v>6312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2">
        <f>C81-C82</f>
        <v>165613.39297559852</v>
      </c>
      <c r="D84" s="16"/>
      <c r="E84" s="265">
        <f>E81-E82</f>
        <v>142883.06227440148</v>
      </c>
      <c r="F84" s="103"/>
      <c r="G84" s="262">
        <f>G81-G82</f>
        <v>308496.45525</v>
      </c>
      <c r="H84" s="490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2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5"/>
      <c r="H87" s="151"/>
    </row>
    <row r="88" spans="1:8" ht="12.75">
      <c r="A88" s="152" t="s">
        <v>226</v>
      </c>
      <c r="B88" s="125"/>
      <c r="C88" s="260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5"/>
      <c r="H88" s="151"/>
    </row>
    <row r="89" spans="1:8" ht="12.75">
      <c r="A89" s="150"/>
      <c r="B89" s="129"/>
      <c r="C89" s="110"/>
      <c r="D89" s="11"/>
      <c r="E89" s="114"/>
      <c r="F89" s="6"/>
      <c r="G89" s="195"/>
      <c r="H89" s="151"/>
    </row>
    <row r="90" spans="1:8" ht="12.75">
      <c r="A90" s="158" t="s">
        <v>370</v>
      </c>
      <c r="B90" s="127">
        <v>22</v>
      </c>
      <c r="C90" s="262">
        <f>C60/(1-C88)</f>
        <v>3443544.0603899793</v>
      </c>
      <c r="D90" s="20"/>
      <c r="E90" s="139"/>
      <c r="F90" s="427" t="s">
        <v>484</v>
      </c>
      <c r="G90" s="268">
        <f>TAXREC!E156</f>
        <v>212501</v>
      </c>
      <c r="H90" s="490"/>
    </row>
    <row r="91" spans="1:8" ht="12.75">
      <c r="A91" s="158" t="s">
        <v>371</v>
      </c>
      <c r="B91" s="127">
        <v>23</v>
      </c>
      <c r="C91" s="262">
        <f>C84/(1-C88)</f>
        <v>264981.4287609576</v>
      </c>
      <c r="D91" s="20"/>
      <c r="E91" s="139"/>
      <c r="F91" s="427" t="s">
        <v>484</v>
      </c>
      <c r="G91" s="268">
        <f>TAXREC!E158</f>
        <v>308496</v>
      </c>
      <c r="H91" s="490"/>
    </row>
    <row r="92" spans="1:8" ht="12.75">
      <c r="A92" s="158" t="s">
        <v>349</v>
      </c>
      <c r="B92" s="127">
        <v>24</v>
      </c>
      <c r="C92" s="262">
        <f>C72</f>
        <v>319038.32484</v>
      </c>
      <c r="D92" s="20"/>
      <c r="E92" s="139"/>
      <c r="F92" s="427" t="s">
        <v>484</v>
      </c>
      <c r="G92" s="268">
        <f>TAXREC!E157</f>
        <v>419586</v>
      </c>
      <c r="H92" s="490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485</v>
      </c>
      <c r="B95" s="125">
        <v>25</v>
      </c>
      <c r="C95" s="267">
        <f>SUM(C90:C93)</f>
        <v>4027563.8139909366</v>
      </c>
      <c r="D95" s="6"/>
      <c r="E95" s="139"/>
      <c r="F95" s="427" t="s">
        <v>484</v>
      </c>
      <c r="G95" s="410">
        <f>SUM(G90:G94)</f>
        <v>940583</v>
      </c>
      <c r="H95" s="493"/>
    </row>
    <row r="96" spans="1:8" ht="12.75">
      <c r="A96" s="400" t="s">
        <v>305</v>
      </c>
      <c r="B96" s="125"/>
      <c r="C96" s="105"/>
      <c r="D96" s="6"/>
      <c r="E96" s="109"/>
      <c r="F96" s="6"/>
      <c r="G96" s="139"/>
      <c r="H96" s="163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4"/>
      <c r="B98" s="124"/>
      <c r="C98" s="111"/>
      <c r="D98" s="7"/>
      <c r="E98" s="142"/>
      <c r="F98" s="7"/>
      <c r="G98" s="196"/>
      <c r="H98" s="163"/>
    </row>
    <row r="99" spans="1:8" ht="12.75">
      <c r="A99" s="156" t="s">
        <v>302</v>
      </c>
      <c r="B99" s="123"/>
      <c r="C99" s="112"/>
      <c r="D99" s="3"/>
      <c r="E99" s="112"/>
      <c r="F99" s="3"/>
      <c r="G99" s="197"/>
      <c r="H99" s="163"/>
    </row>
    <row r="100" spans="1:8" ht="13.5">
      <c r="A100" s="165" t="s">
        <v>246</v>
      </c>
      <c r="B100" s="123"/>
      <c r="C100" s="112"/>
      <c r="D100" s="3"/>
      <c r="E100" s="143" t="s">
        <v>248</v>
      </c>
      <c r="F100" s="37"/>
      <c r="G100" s="197"/>
      <c r="H100" s="163"/>
    </row>
    <row r="101" spans="1:8" ht="12.75">
      <c r="A101" s="156" t="s">
        <v>347</v>
      </c>
      <c r="B101" s="123"/>
      <c r="C101" s="112"/>
      <c r="D101" s="3"/>
      <c r="E101" s="112"/>
      <c r="F101" s="37"/>
      <c r="G101" s="197"/>
      <c r="H101" s="163"/>
    </row>
    <row r="102" spans="1:8" ht="12.75">
      <c r="A102" s="158" t="s">
        <v>56</v>
      </c>
      <c r="B102" s="127">
        <v>3</v>
      </c>
      <c r="C102" s="112"/>
      <c r="D102" s="3"/>
      <c r="E102" s="248">
        <f>E21</f>
        <v>5225972</v>
      </c>
      <c r="F102" s="37"/>
      <c r="G102" s="198"/>
      <c r="H102" s="163"/>
    </row>
    <row r="103" spans="1:8" ht="12.75">
      <c r="A103" s="158" t="s">
        <v>10</v>
      </c>
      <c r="B103" s="127">
        <v>4</v>
      </c>
      <c r="C103" s="112"/>
      <c r="D103" s="3"/>
      <c r="E103" s="248">
        <f>E22</f>
        <v>32068</v>
      </c>
      <c r="F103" s="494"/>
      <c r="G103" s="198"/>
      <c r="H103" s="163"/>
    </row>
    <row r="104" spans="1:8" ht="12.75">
      <c r="A104" s="158" t="s">
        <v>100</v>
      </c>
      <c r="B104" s="127">
        <v>4</v>
      </c>
      <c r="C104" s="112"/>
      <c r="D104" s="3"/>
      <c r="E104" s="248">
        <f>E23</f>
        <v>26536</v>
      </c>
      <c r="F104" s="494"/>
      <c r="G104" s="198"/>
      <c r="H104" s="163"/>
    </row>
    <row r="105" spans="1:8" ht="12.75">
      <c r="A105" s="158" t="s">
        <v>44</v>
      </c>
      <c r="B105" s="127">
        <v>5</v>
      </c>
      <c r="C105" s="112"/>
      <c r="D105" s="3"/>
      <c r="E105" s="248">
        <f>E24</f>
        <v>0</v>
      </c>
      <c r="F105" s="494"/>
      <c r="G105" s="198"/>
      <c r="H105" s="163"/>
    </row>
    <row r="106" spans="1:8" ht="12.75">
      <c r="A106" s="158" t="s">
        <v>364</v>
      </c>
      <c r="B106" s="127">
        <v>6</v>
      </c>
      <c r="C106" s="112"/>
      <c r="D106" s="3"/>
      <c r="E106" s="248">
        <f>E26</f>
        <v>943133</v>
      </c>
      <c r="F106" s="494"/>
      <c r="G106" s="198"/>
      <c r="H106" s="163"/>
    </row>
    <row r="107" spans="1:8" ht="12.75">
      <c r="A107" s="158" t="s">
        <v>365</v>
      </c>
      <c r="B107" s="127">
        <v>6</v>
      </c>
      <c r="C107" s="112"/>
      <c r="D107" s="3"/>
      <c r="E107" s="248">
        <f>E28</f>
        <v>0</v>
      </c>
      <c r="F107" s="494"/>
      <c r="G107" s="198"/>
      <c r="H107" s="163"/>
    </row>
    <row r="108" spans="1:8" ht="12.75">
      <c r="A108" s="156" t="s">
        <v>363</v>
      </c>
      <c r="B108" s="127"/>
      <c r="C108" s="112"/>
      <c r="D108" s="3"/>
      <c r="E108" s="30"/>
      <c r="F108" s="494"/>
      <c r="G108" s="198"/>
      <c r="H108" s="163"/>
    </row>
    <row r="109" spans="1:8" ht="12.75">
      <c r="A109" s="158" t="s">
        <v>57</v>
      </c>
      <c r="B109" s="127">
        <v>8</v>
      </c>
      <c r="C109" s="112"/>
      <c r="D109" s="3"/>
      <c r="E109" s="248">
        <f>E34</f>
        <v>5106204</v>
      </c>
      <c r="F109" s="494"/>
      <c r="G109" s="198"/>
      <c r="H109" s="163"/>
    </row>
    <row r="110" spans="1:8" ht="12.75">
      <c r="A110" s="158" t="s">
        <v>45</v>
      </c>
      <c r="B110" s="127">
        <v>9</v>
      </c>
      <c r="C110" s="112"/>
      <c r="D110" s="3"/>
      <c r="E110" s="248">
        <f>E35</f>
        <v>0</v>
      </c>
      <c r="F110" s="494"/>
      <c r="G110" s="198"/>
      <c r="H110" s="163"/>
    </row>
    <row r="111" spans="1:8" ht="12.75">
      <c r="A111" s="158" t="s">
        <v>44</v>
      </c>
      <c r="B111" s="127">
        <v>10</v>
      </c>
      <c r="C111" s="112"/>
      <c r="D111" s="3"/>
      <c r="E111" s="248">
        <f>E36</f>
        <v>0</v>
      </c>
      <c r="F111" s="494"/>
      <c r="G111" s="198"/>
      <c r="H111" s="163"/>
    </row>
    <row r="112" spans="1:8" ht="12.75">
      <c r="A112" s="155" t="s">
        <v>319</v>
      </c>
      <c r="B112" s="127">
        <v>11</v>
      </c>
      <c r="C112" s="112"/>
      <c r="D112" s="3"/>
      <c r="E112" s="469">
        <f>E206</f>
        <v>0</v>
      </c>
      <c r="F112" s="494"/>
      <c r="G112" s="198"/>
      <c r="H112" s="163"/>
    </row>
    <row r="113" spans="1:8" ht="12.75">
      <c r="A113" s="155" t="s">
        <v>15</v>
      </c>
      <c r="B113" s="125">
        <v>4</v>
      </c>
      <c r="C113" s="112"/>
      <c r="D113" s="3"/>
      <c r="E113" s="248">
        <f>E38</f>
        <v>26536</v>
      </c>
      <c r="F113" s="494"/>
      <c r="G113" s="198"/>
      <c r="H113" s="163"/>
    </row>
    <row r="114" spans="1:8" ht="12.75">
      <c r="A114" s="155" t="s">
        <v>101</v>
      </c>
      <c r="B114" s="125">
        <v>4</v>
      </c>
      <c r="C114" s="112"/>
      <c r="D114" s="3"/>
      <c r="E114" s="248">
        <f>E39</f>
        <v>32068</v>
      </c>
      <c r="F114" s="494"/>
      <c r="G114" s="198"/>
      <c r="H114" s="163"/>
    </row>
    <row r="115" spans="1:8" ht="12.75">
      <c r="A115" s="155" t="s">
        <v>12</v>
      </c>
      <c r="B115" s="125">
        <v>3</v>
      </c>
      <c r="C115" s="112"/>
      <c r="D115" s="3"/>
      <c r="E115" s="248">
        <f>E40</f>
        <v>0</v>
      </c>
      <c r="F115" s="494"/>
      <c r="G115" s="198"/>
      <c r="H115" s="163"/>
    </row>
    <row r="116" spans="1:8" ht="12.75">
      <c r="A116" s="155" t="s">
        <v>13</v>
      </c>
      <c r="B116" s="125">
        <v>3</v>
      </c>
      <c r="C116" s="112"/>
      <c r="D116" s="3"/>
      <c r="E116" s="248">
        <f>E41</f>
        <v>0</v>
      </c>
      <c r="F116" s="494"/>
      <c r="G116" s="198"/>
      <c r="H116" s="163"/>
    </row>
    <row r="117" spans="1:8" ht="12.75">
      <c r="A117" s="158" t="s">
        <v>366</v>
      </c>
      <c r="B117" s="127">
        <v>12</v>
      </c>
      <c r="C117" s="112"/>
      <c r="D117" s="3"/>
      <c r="E117" s="248">
        <f>E44</f>
        <v>1117869</v>
      </c>
      <c r="F117" s="494"/>
      <c r="G117" s="198"/>
      <c r="H117" s="163"/>
    </row>
    <row r="118" spans="1:8" ht="12.75">
      <c r="A118" s="158" t="s">
        <v>367</v>
      </c>
      <c r="B118" s="127">
        <v>12</v>
      </c>
      <c r="C118" s="112"/>
      <c r="D118" s="3"/>
      <c r="E118" s="248">
        <f>E46</f>
        <v>0</v>
      </c>
      <c r="F118" s="37"/>
      <c r="G118" s="198"/>
      <c r="H118" s="163"/>
    </row>
    <row r="119" spans="1:8" ht="12.75">
      <c r="A119" s="158"/>
      <c r="B119" s="127"/>
      <c r="C119" s="112"/>
      <c r="D119" s="3"/>
      <c r="E119" s="110"/>
      <c r="F119" s="37"/>
      <c r="G119" s="198"/>
      <c r="H119" s="163"/>
    </row>
    <row r="120" spans="1:8" ht="12.75">
      <c r="A120" s="152" t="s">
        <v>219</v>
      </c>
      <c r="B120" s="127">
        <v>26</v>
      </c>
      <c r="C120" s="112"/>
      <c r="D120" s="117" t="s">
        <v>189</v>
      </c>
      <c r="E120" s="262">
        <f>SUM(E102:E107)-SUM(E109:E118)</f>
        <v>-54968</v>
      </c>
      <c r="F120" s="37"/>
      <c r="G120" s="198"/>
      <c r="H120" s="163"/>
    </row>
    <row r="121" spans="1:8" ht="12.75">
      <c r="A121" s="152"/>
      <c r="B121" s="127"/>
      <c r="C121" s="112"/>
      <c r="D121" s="117"/>
      <c r="E121" s="110"/>
      <c r="F121" s="37"/>
      <c r="G121" s="198"/>
      <c r="H121" s="163"/>
    </row>
    <row r="122" spans="1:8" ht="12.75">
      <c r="A122" s="157" t="s">
        <v>487</v>
      </c>
      <c r="B122" s="127"/>
      <c r="C122" s="112"/>
      <c r="D122" s="3" t="s">
        <v>230</v>
      </c>
      <c r="E122" s="466">
        <f>'Tax Rates'!F52</f>
        <v>0.3862</v>
      </c>
      <c r="F122" s="467"/>
      <c r="G122" s="198" t="s">
        <v>102</v>
      </c>
      <c r="H122" s="163"/>
    </row>
    <row r="123" spans="1:8" ht="12.75">
      <c r="A123" s="158"/>
      <c r="B123" s="127"/>
      <c r="C123" s="112"/>
      <c r="D123" s="3"/>
      <c r="E123" s="110"/>
      <c r="F123" s="37"/>
      <c r="G123" s="198" t="s">
        <v>102</v>
      </c>
      <c r="H123" s="163"/>
    </row>
    <row r="124" spans="1:8" ht="12.75">
      <c r="A124" s="158" t="s">
        <v>245</v>
      </c>
      <c r="B124" s="127"/>
      <c r="C124" s="112"/>
      <c r="D124" s="3" t="s">
        <v>189</v>
      </c>
      <c r="E124" s="262">
        <f>E120*E122</f>
        <v>-21228.6416</v>
      </c>
      <c r="F124" s="37"/>
      <c r="G124" s="198"/>
      <c r="H124" s="163"/>
    </row>
    <row r="125" spans="1:8" ht="12.75">
      <c r="A125" s="158"/>
      <c r="B125" s="127"/>
      <c r="C125" s="112"/>
      <c r="D125" s="3"/>
      <c r="E125" s="110"/>
      <c r="F125" s="37"/>
      <c r="G125" s="198"/>
      <c r="H125" s="163"/>
    </row>
    <row r="126" spans="1:8" ht="12.75">
      <c r="A126" s="158" t="s">
        <v>114</v>
      </c>
      <c r="B126" s="127">
        <v>14</v>
      </c>
      <c r="C126" s="112"/>
      <c r="D126" s="3"/>
      <c r="E126" s="262">
        <f>E58</f>
        <v>5155</v>
      </c>
      <c r="F126" s="494"/>
      <c r="G126" s="198"/>
      <c r="H126" s="163"/>
    </row>
    <row r="127" spans="1:8" ht="12.75">
      <c r="A127" s="158"/>
      <c r="B127" s="127"/>
      <c r="C127" s="112"/>
      <c r="D127" s="3"/>
      <c r="E127" s="110"/>
      <c r="F127" s="37"/>
      <c r="G127" s="198"/>
      <c r="H127" s="163"/>
    </row>
    <row r="128" spans="1:8" ht="12.75">
      <c r="A128" s="158" t="s">
        <v>117</v>
      </c>
      <c r="B128" s="127"/>
      <c r="C128" s="112"/>
      <c r="D128" s="3"/>
      <c r="E128" s="262">
        <f>E124-E126</f>
        <v>-26383.6416</v>
      </c>
      <c r="F128" s="37"/>
      <c r="G128" s="198"/>
      <c r="H128" s="163"/>
    </row>
    <row r="129" spans="1:8" ht="12.75">
      <c r="A129" s="166"/>
      <c r="B129" s="127"/>
      <c r="C129" s="112"/>
      <c r="D129" s="3"/>
      <c r="E129" s="110"/>
      <c r="F129" s="37"/>
      <c r="G129" s="198"/>
      <c r="H129" s="163"/>
    </row>
    <row r="130" spans="1:8" ht="12.75">
      <c r="A130" s="152" t="s">
        <v>196</v>
      </c>
      <c r="B130" s="127"/>
      <c r="C130" s="112"/>
      <c r="D130" s="3"/>
      <c r="E130" s="466">
        <f>IF((E120+C50)&gt;'Tax Rates'!$E$47,'Tax Rates'!$F$52-1.12%,IF((E120+C50)&gt;'Tax Rates'!$D$47,'Tax Rates'!$E$52-1.12%,IF((E120+C50)&gt;'Tax Rates'!$C$47,'Tax Rates'!$D$52-1.12%,'Tax Rates'!$C$52-1.12%)))</f>
        <v>0.375</v>
      </c>
      <c r="F130" s="494"/>
      <c r="G130" s="198"/>
      <c r="H130" s="163"/>
    </row>
    <row r="131" spans="1:8" ht="12.75">
      <c r="A131" s="150"/>
      <c r="B131" s="127"/>
      <c r="C131" s="112"/>
      <c r="D131" s="3"/>
      <c r="E131" s="110"/>
      <c r="F131" s="494"/>
      <c r="G131" s="198"/>
      <c r="H131" s="163"/>
    </row>
    <row r="132" spans="1:8" ht="12.75">
      <c r="A132" s="167" t="s">
        <v>353</v>
      </c>
      <c r="B132" s="130"/>
      <c r="C132" s="112"/>
      <c r="D132" s="3"/>
      <c r="E132" s="261">
        <f>E128/(1-E130)</f>
        <v>-42213.82656</v>
      </c>
      <c r="F132" s="494"/>
      <c r="G132" s="198"/>
      <c r="H132" s="163"/>
    </row>
    <row r="133" spans="1:8" ht="12.75">
      <c r="A133" s="167"/>
      <c r="B133" s="130"/>
      <c r="C133" s="112"/>
      <c r="D133" s="3"/>
      <c r="E133" s="107"/>
      <c r="F133" s="494"/>
      <c r="G133" s="198"/>
      <c r="H133" s="163"/>
    </row>
    <row r="134" spans="1:8" ht="27">
      <c r="A134" s="168" t="s">
        <v>356</v>
      </c>
      <c r="B134" s="130"/>
      <c r="C134" s="112"/>
      <c r="D134" s="3"/>
      <c r="E134" s="107"/>
      <c r="F134" s="494"/>
      <c r="G134" s="198"/>
      <c r="H134" s="163"/>
    </row>
    <row r="135" spans="1:8" ht="12.75">
      <c r="A135" s="169"/>
      <c r="B135" s="130"/>
      <c r="C135" s="112"/>
      <c r="D135" s="3"/>
      <c r="E135" s="107"/>
      <c r="F135" s="494"/>
      <c r="G135" s="198"/>
      <c r="H135" s="163"/>
    </row>
    <row r="136" spans="1:8" ht="26.25">
      <c r="A136" s="170" t="s">
        <v>234</v>
      </c>
      <c r="B136" s="130"/>
      <c r="C136" s="112"/>
      <c r="D136" s="118" t="s">
        <v>189</v>
      </c>
      <c r="E136" s="300">
        <f>C50</f>
        <v>5572799.165571561</v>
      </c>
      <c r="F136" s="494"/>
      <c r="G136" s="198"/>
      <c r="H136" s="163"/>
    </row>
    <row r="137" spans="1:8" ht="12.75">
      <c r="A137" s="170"/>
      <c r="B137" s="130"/>
      <c r="C137" s="112"/>
      <c r="D137" s="119"/>
      <c r="E137" s="145"/>
      <c r="F137" s="494"/>
      <c r="G137" s="198"/>
      <c r="H137" s="163"/>
    </row>
    <row r="138" spans="1:8" ht="12.75">
      <c r="A138" s="170" t="s">
        <v>236</v>
      </c>
      <c r="B138" s="130"/>
      <c r="C138" s="112"/>
      <c r="D138" s="119" t="s">
        <v>230</v>
      </c>
      <c r="E138" s="466">
        <f>IF((E120+E136)&gt;'Tax Rates'!E47,'Tax Rates'!F52,IF((E120+E136)&gt;'Tax Rates'!D47,'Tax Rates'!E52,IF((E120+E136)&gt;'Tax Rates'!C47,'Tax Rates'!D52,'Tax Rates'!C52)))</f>
        <v>0.3862</v>
      </c>
      <c r="F138" s="494"/>
      <c r="G138" s="198"/>
      <c r="H138" s="163"/>
    </row>
    <row r="139" spans="1:8" ht="12.75">
      <c r="A139" s="170"/>
      <c r="B139" s="130"/>
      <c r="C139" s="112"/>
      <c r="D139" s="119"/>
      <c r="E139" s="144"/>
      <c r="F139" s="494"/>
      <c r="G139" s="198"/>
      <c r="H139" s="163"/>
    </row>
    <row r="140" spans="1:8" ht="12.75">
      <c r="A140" s="170" t="s">
        <v>228</v>
      </c>
      <c r="B140" s="130"/>
      <c r="C140" s="112"/>
      <c r="D140" s="118" t="s">
        <v>189</v>
      </c>
      <c r="E140" s="301">
        <f>IF(E136&gt;0,E136*E138,0)</f>
        <v>2152215.037743737</v>
      </c>
      <c r="F140" s="494"/>
      <c r="G140" s="198"/>
      <c r="H140" s="163"/>
    </row>
    <row r="141" spans="1:8" ht="12.75">
      <c r="A141" s="170"/>
      <c r="B141" s="130"/>
      <c r="C141" s="112"/>
      <c r="D141" s="119"/>
      <c r="E141" s="144"/>
      <c r="F141" s="494"/>
      <c r="G141" s="198"/>
      <c r="H141" s="163"/>
    </row>
    <row r="142" spans="1:8" ht="12.75">
      <c r="A142" s="170" t="s">
        <v>237</v>
      </c>
      <c r="B142" s="130"/>
      <c r="C142" s="112"/>
      <c r="D142" s="118" t="s">
        <v>188</v>
      </c>
      <c r="E142" s="302">
        <v>0</v>
      </c>
      <c r="F142" s="494"/>
      <c r="G142" s="198"/>
      <c r="H142" s="163"/>
    </row>
    <row r="143" spans="1:8" ht="12.75">
      <c r="A143" s="170"/>
      <c r="B143" s="130"/>
      <c r="C143" s="112"/>
      <c r="D143" s="119"/>
      <c r="E143" s="144"/>
      <c r="F143" s="494"/>
      <c r="G143" s="198"/>
      <c r="H143" s="163"/>
    </row>
    <row r="144" spans="1:8" ht="12.75">
      <c r="A144" s="170" t="s">
        <v>229</v>
      </c>
      <c r="B144" s="130"/>
      <c r="C144" s="112"/>
      <c r="D144" s="119" t="s">
        <v>189</v>
      </c>
      <c r="E144" s="300">
        <f>E140-E142</f>
        <v>2152215.037743737</v>
      </c>
      <c r="F144" s="494"/>
      <c r="G144" s="198"/>
      <c r="H144" s="163"/>
    </row>
    <row r="145" spans="1:8" ht="12.75">
      <c r="A145" s="170"/>
      <c r="B145" s="130"/>
      <c r="C145" s="112"/>
      <c r="D145" s="119"/>
      <c r="E145" s="144"/>
      <c r="F145" s="494"/>
      <c r="G145" s="198"/>
      <c r="H145" s="163"/>
    </row>
    <row r="146" spans="1:8" ht="26.25">
      <c r="A146" s="170" t="s">
        <v>238</v>
      </c>
      <c r="B146" s="130"/>
      <c r="C146" s="112"/>
      <c r="D146" s="118" t="s">
        <v>188</v>
      </c>
      <c r="E146" s="300">
        <f>C60</f>
        <v>2152215.037743737</v>
      </c>
      <c r="F146" s="494"/>
      <c r="G146" s="198"/>
      <c r="H146" s="163"/>
    </row>
    <row r="147" spans="1:8" ht="12.75">
      <c r="A147" s="170"/>
      <c r="B147" s="130"/>
      <c r="C147" s="112"/>
      <c r="D147" s="119"/>
      <c r="E147" s="144"/>
      <c r="F147" s="494"/>
      <c r="G147" s="198"/>
      <c r="H147" s="163"/>
    </row>
    <row r="148" spans="1:8" ht="12.75">
      <c r="A148" s="170" t="s">
        <v>231</v>
      </c>
      <c r="B148" s="130"/>
      <c r="C148" s="112"/>
      <c r="D148" s="118" t="s">
        <v>189</v>
      </c>
      <c r="E148" s="300">
        <f>E144-E146</f>
        <v>0</v>
      </c>
      <c r="F148" s="494"/>
      <c r="G148" s="198"/>
      <c r="H148" s="163"/>
    </row>
    <row r="149" spans="1:8" ht="12.75">
      <c r="A149" s="170"/>
      <c r="B149" s="130"/>
      <c r="C149" s="112"/>
      <c r="D149" s="119"/>
      <c r="E149" s="144"/>
      <c r="F149" s="494"/>
      <c r="G149" s="198"/>
      <c r="H149" s="163"/>
    </row>
    <row r="150" spans="1:8" ht="12.75">
      <c r="A150" s="383" t="s">
        <v>20</v>
      </c>
      <c r="B150" s="130"/>
      <c r="C150" s="112"/>
      <c r="D150" s="119"/>
      <c r="E150" s="476"/>
      <c r="F150" s="494"/>
      <c r="G150" s="198"/>
      <c r="H150" s="163"/>
    </row>
    <row r="151" spans="1:8" ht="12.75">
      <c r="A151" s="170" t="s">
        <v>17</v>
      </c>
      <c r="B151" s="130"/>
      <c r="C151" s="112"/>
      <c r="D151" s="119" t="s">
        <v>189</v>
      </c>
      <c r="E151" s="300">
        <f>C66</f>
        <v>111346108.28</v>
      </c>
      <c r="F151" s="494"/>
      <c r="G151" s="198"/>
      <c r="H151" s="163"/>
    </row>
    <row r="152" spans="1:8" ht="12.75">
      <c r="A152" s="170" t="s">
        <v>359</v>
      </c>
      <c r="B152" s="130"/>
      <c r="C152" s="112"/>
      <c r="D152" s="118" t="s">
        <v>188</v>
      </c>
      <c r="E152" s="303">
        <f>IF(E151&gt;0,'Tax Rates'!C39,0)</f>
        <v>5000000</v>
      </c>
      <c r="F152" s="494"/>
      <c r="G152" s="198"/>
      <c r="H152" s="163"/>
    </row>
    <row r="153" spans="1:8" ht="12.75">
      <c r="A153" s="170" t="s">
        <v>232</v>
      </c>
      <c r="B153" s="130"/>
      <c r="C153" s="112"/>
      <c r="D153" s="118" t="s">
        <v>189</v>
      </c>
      <c r="E153" s="300">
        <f>E151-E152</f>
        <v>106346108.28</v>
      </c>
      <c r="F153" s="494"/>
      <c r="G153" s="198"/>
      <c r="H153" s="163"/>
    </row>
    <row r="154" spans="1:8" ht="12.75">
      <c r="A154" s="170"/>
      <c r="B154" s="130"/>
      <c r="C154" s="112"/>
      <c r="D154" s="119"/>
      <c r="E154" s="144"/>
      <c r="F154" s="494"/>
      <c r="G154" s="198"/>
      <c r="H154" s="163"/>
    </row>
    <row r="155" spans="1:8" ht="12.75">
      <c r="A155" s="170" t="s">
        <v>360</v>
      </c>
      <c r="B155" s="130"/>
      <c r="C155" s="112"/>
      <c r="D155" s="119" t="s">
        <v>230</v>
      </c>
      <c r="E155" s="304">
        <f>'Tax Rates'!C54</f>
        <v>0.003</v>
      </c>
      <c r="F155" s="494"/>
      <c r="G155" s="198"/>
      <c r="H155" s="163"/>
    </row>
    <row r="156" spans="1:8" ht="12.75">
      <c r="A156" s="170"/>
      <c r="B156" s="130"/>
      <c r="C156" s="112"/>
      <c r="D156" s="119"/>
      <c r="E156" s="144"/>
      <c r="F156" s="494"/>
      <c r="G156" s="198"/>
      <c r="H156" s="163"/>
    </row>
    <row r="157" spans="1:8" ht="12.75">
      <c r="A157" s="170" t="s">
        <v>233</v>
      </c>
      <c r="B157" s="130"/>
      <c r="C157" s="112"/>
      <c r="D157" s="119" t="s">
        <v>189</v>
      </c>
      <c r="E157" s="300">
        <f>IF(E153&gt;0,E153*E155*B9/B10,0)</f>
        <v>319038.32484</v>
      </c>
      <c r="F157" s="37"/>
      <c r="G157" s="198"/>
      <c r="H157" s="163"/>
    </row>
    <row r="158" spans="1:8" ht="26.25">
      <c r="A158" s="170" t="s">
        <v>306</v>
      </c>
      <c r="B158" s="130"/>
      <c r="C158" s="112"/>
      <c r="D158" s="118" t="s">
        <v>188</v>
      </c>
      <c r="E158" s="303">
        <f>C72</f>
        <v>319038.32484</v>
      </c>
      <c r="F158" s="37"/>
      <c r="G158" s="198"/>
      <c r="H158" s="163"/>
    </row>
    <row r="159" spans="1:8" ht="12.75" customHeight="1">
      <c r="A159" s="171" t="s">
        <v>243</v>
      </c>
      <c r="B159" s="130"/>
      <c r="C159" s="112"/>
      <c r="D159" s="118" t="s">
        <v>189</v>
      </c>
      <c r="E159" s="471">
        <f>E157-E158</f>
        <v>0</v>
      </c>
      <c r="F159" s="37"/>
      <c r="G159" s="198"/>
      <c r="H159" s="163"/>
    </row>
    <row r="160" spans="1:8" ht="12.75">
      <c r="A160" s="170"/>
      <c r="B160" s="130"/>
      <c r="C160" s="112"/>
      <c r="D160" s="119"/>
      <c r="E160" s="144"/>
      <c r="F160" s="37"/>
      <c r="G160" s="198"/>
      <c r="H160" s="163"/>
    </row>
    <row r="161" spans="1:8" ht="12.75">
      <c r="A161" s="383" t="s">
        <v>235</v>
      </c>
      <c r="B161" s="130"/>
      <c r="C161" s="112"/>
      <c r="D161" s="119"/>
      <c r="E161" s="302"/>
      <c r="F161" s="37"/>
      <c r="G161" s="198"/>
      <c r="H161" s="163"/>
    </row>
    <row r="162" spans="1:8" ht="12.75">
      <c r="A162" s="170" t="s">
        <v>17</v>
      </c>
      <c r="B162" s="130"/>
      <c r="C162" s="112"/>
      <c r="D162" s="119"/>
      <c r="E162" s="300">
        <f>C75</f>
        <v>111346108.28</v>
      </c>
      <c r="F162" s="494"/>
      <c r="G162" s="198"/>
      <c r="H162" s="163"/>
    </row>
    <row r="163" spans="1:8" ht="12.75">
      <c r="A163" s="170" t="s">
        <v>358</v>
      </c>
      <c r="B163" s="130"/>
      <c r="C163" s="112"/>
      <c r="D163" s="118" t="s">
        <v>188</v>
      </c>
      <c r="E163" s="303">
        <f>IF(E162&gt;0,'Tax Rates'!C40,0)</f>
        <v>10000000</v>
      </c>
      <c r="F163" s="37"/>
      <c r="G163" s="198"/>
      <c r="H163" s="163"/>
    </row>
    <row r="164" spans="1:8" ht="12.75">
      <c r="A164" s="170" t="s">
        <v>239</v>
      </c>
      <c r="B164" s="130"/>
      <c r="C164" s="112"/>
      <c r="D164" s="119" t="s">
        <v>189</v>
      </c>
      <c r="E164" s="300">
        <f>E162-E163</f>
        <v>101346108.28</v>
      </c>
      <c r="F164" s="37"/>
      <c r="G164" s="198"/>
      <c r="H164" s="163"/>
    </row>
    <row r="165" spans="1:8" ht="12.75">
      <c r="A165" s="170"/>
      <c r="B165" s="130"/>
      <c r="C165" s="112"/>
      <c r="D165" s="119"/>
      <c r="E165" s="144"/>
      <c r="F165" s="37"/>
      <c r="G165" s="198"/>
      <c r="H165" s="163"/>
    </row>
    <row r="166" spans="1:8" ht="12.75">
      <c r="A166" s="170" t="s">
        <v>307</v>
      </c>
      <c r="B166" s="130"/>
      <c r="C166" s="112"/>
      <c r="D166" s="119"/>
      <c r="E166" s="304">
        <f>'Tax Rates'!C55</f>
        <v>0.00225</v>
      </c>
      <c r="F166" s="37"/>
      <c r="G166" s="198"/>
      <c r="H166" s="163"/>
    </row>
    <row r="167" spans="1:8" ht="12.75">
      <c r="A167" s="170"/>
      <c r="B167" s="130"/>
      <c r="C167" s="112"/>
      <c r="D167" s="119"/>
      <c r="E167" s="144"/>
      <c r="F167" s="37"/>
      <c r="G167" s="198"/>
      <c r="H167" s="163"/>
    </row>
    <row r="168" spans="1:8" ht="12.75">
      <c r="A168" s="170" t="s">
        <v>240</v>
      </c>
      <c r="B168" s="130"/>
      <c r="C168" s="112"/>
      <c r="D168" s="119"/>
      <c r="E168" s="300">
        <f>IF(E164&gt;0,E164*E166*B9/B10,0)</f>
        <v>228028.74362999998</v>
      </c>
      <c r="F168" s="37"/>
      <c r="G168" s="198"/>
      <c r="H168" s="163"/>
    </row>
    <row r="169" spans="1:8" ht="12.75">
      <c r="A169" s="170" t="s">
        <v>317</v>
      </c>
      <c r="B169" s="130"/>
      <c r="C169" s="112"/>
      <c r="D169" s="118" t="s">
        <v>188</v>
      </c>
      <c r="E169" s="305">
        <f>IF(E164&gt;0,IF(E144&gt;0,E136*'Tax Rates'!C56,0),0)</f>
        <v>62415.35065440148</v>
      </c>
      <c r="F169" s="37"/>
      <c r="G169" s="198"/>
      <c r="H169" s="163"/>
    </row>
    <row r="170" spans="1:8" ht="12.75">
      <c r="A170" s="170" t="s">
        <v>241</v>
      </c>
      <c r="B170" s="130"/>
      <c r="C170" s="112"/>
      <c r="D170" s="119" t="s">
        <v>189</v>
      </c>
      <c r="E170" s="300">
        <f>E168-E169</f>
        <v>165613.39297559852</v>
      </c>
      <c r="F170" s="37"/>
      <c r="G170" s="198"/>
      <c r="H170" s="163"/>
    </row>
    <row r="171" spans="1:8" ht="12.75">
      <c r="A171" s="170"/>
      <c r="B171" s="130"/>
      <c r="C171" s="112"/>
      <c r="D171" s="119"/>
      <c r="E171" s="238"/>
      <c r="F171" s="37"/>
      <c r="G171" s="198"/>
      <c r="H171" s="163"/>
    </row>
    <row r="172" spans="1:8" ht="12.75">
      <c r="A172" s="411" t="s">
        <v>348</v>
      </c>
      <c r="B172" s="130"/>
      <c r="C172" s="112"/>
      <c r="D172" s="118" t="s">
        <v>188</v>
      </c>
      <c r="E172" s="303">
        <f>C84</f>
        <v>165613.39297559852</v>
      </c>
      <c r="F172" s="37"/>
      <c r="G172" s="198"/>
      <c r="H172" s="163"/>
    </row>
    <row r="173" spans="1:8" ht="12.75">
      <c r="A173" s="155" t="s">
        <v>244</v>
      </c>
      <c r="B173" s="130"/>
      <c r="C173" s="112"/>
      <c r="D173" s="119" t="s">
        <v>189</v>
      </c>
      <c r="E173" s="471">
        <f>E170-E172</f>
        <v>0</v>
      </c>
      <c r="F173" s="37"/>
      <c r="G173" s="198"/>
      <c r="H173" s="163"/>
    </row>
    <row r="174" spans="1:8" ht="12.75">
      <c r="A174" s="155"/>
      <c r="B174" s="130"/>
      <c r="C174" s="112"/>
      <c r="D174" s="119"/>
      <c r="E174" s="144"/>
      <c r="F174" s="37"/>
      <c r="G174" s="198"/>
      <c r="H174" s="163"/>
    </row>
    <row r="175" spans="1:8" ht="12.75">
      <c r="A175" s="155" t="s">
        <v>345</v>
      </c>
      <c r="B175" s="130"/>
      <c r="C175" s="112"/>
      <c r="D175" s="119"/>
      <c r="E175" s="466">
        <v>0.375</v>
      </c>
      <c r="F175" s="467"/>
      <c r="G175" s="198"/>
      <c r="H175" s="163"/>
    </row>
    <row r="176" spans="1:8" ht="12.75">
      <c r="A176" s="155"/>
      <c r="B176" s="130"/>
      <c r="C176" s="112"/>
      <c r="D176" s="119"/>
      <c r="E176" s="144"/>
      <c r="F176" s="37"/>
      <c r="G176" s="198"/>
      <c r="H176" s="163"/>
    </row>
    <row r="177" spans="1:8" ht="12.75">
      <c r="A177" s="167" t="s">
        <v>242</v>
      </c>
      <c r="B177" s="130"/>
      <c r="C177" s="112"/>
      <c r="D177" s="119" t="s">
        <v>187</v>
      </c>
      <c r="E177" s="300">
        <f>E148/(1-E175)</f>
        <v>0</v>
      </c>
      <c r="F177" s="37"/>
      <c r="G177" s="198"/>
      <c r="H177" s="163"/>
    </row>
    <row r="178" spans="1:8" ht="12.75">
      <c r="A178" s="167" t="s">
        <v>33</v>
      </c>
      <c r="B178" s="130"/>
      <c r="C178" s="112"/>
      <c r="D178" s="119" t="s">
        <v>187</v>
      </c>
      <c r="E178" s="300">
        <f>E173/(1-E175)</f>
        <v>0</v>
      </c>
      <c r="F178" s="37"/>
      <c r="G178" s="198"/>
      <c r="H178" s="163"/>
    </row>
    <row r="179" spans="1:8" ht="12.75">
      <c r="A179" s="167" t="s">
        <v>20</v>
      </c>
      <c r="B179" s="130"/>
      <c r="C179" s="112"/>
      <c r="D179" s="119" t="s">
        <v>187</v>
      </c>
      <c r="E179" s="300">
        <f>E159</f>
        <v>0</v>
      </c>
      <c r="F179" s="37"/>
      <c r="G179" s="198"/>
      <c r="H179" s="163"/>
    </row>
    <row r="180" spans="1:8" ht="12.75">
      <c r="A180" s="155"/>
      <c r="B180" s="130"/>
      <c r="C180" s="112"/>
      <c r="D180" s="119"/>
      <c r="E180" s="144"/>
      <c r="F180" s="37"/>
      <c r="G180" s="198"/>
      <c r="H180" s="163"/>
    </row>
    <row r="181" spans="1:8" ht="12.75">
      <c r="A181" s="167" t="s">
        <v>354</v>
      </c>
      <c r="B181" s="130"/>
      <c r="C181" s="112"/>
      <c r="D181" s="119" t="s">
        <v>189</v>
      </c>
      <c r="E181" s="300">
        <f>SUM(E177:E179)</f>
        <v>0</v>
      </c>
      <c r="F181" s="37"/>
      <c r="G181" s="198"/>
      <c r="H181" s="163"/>
    </row>
    <row r="182" spans="1:8" ht="12.75">
      <c r="A182" s="155"/>
      <c r="B182" s="130"/>
      <c r="C182" s="112"/>
      <c r="D182" s="119"/>
      <c r="E182" s="144"/>
      <c r="F182" s="37"/>
      <c r="G182" s="198"/>
      <c r="H182" s="163"/>
    </row>
    <row r="183" spans="1:8" ht="12.75">
      <c r="A183" s="167" t="s">
        <v>346</v>
      </c>
      <c r="B183" s="130"/>
      <c r="C183" s="112"/>
      <c r="D183" s="119" t="s">
        <v>187</v>
      </c>
      <c r="E183" s="300">
        <f>E132</f>
        <v>-42213.82656</v>
      </c>
      <c r="F183" s="37"/>
      <c r="G183" s="198"/>
      <c r="H183" s="163"/>
    </row>
    <row r="184" spans="1:8" ht="12.75">
      <c r="A184" s="167"/>
      <c r="B184" s="130"/>
      <c r="C184" s="112"/>
      <c r="D184" s="119"/>
      <c r="E184" s="144"/>
      <c r="F184" s="37"/>
      <c r="G184" s="198"/>
      <c r="H184" s="163"/>
    </row>
    <row r="185" spans="1:8" ht="13.5">
      <c r="A185" s="172" t="s">
        <v>355</v>
      </c>
      <c r="B185" s="130"/>
      <c r="C185" s="112"/>
      <c r="D185" s="119" t="s">
        <v>189</v>
      </c>
      <c r="E185" s="300">
        <f>E181+E183</f>
        <v>-42213.82656</v>
      </c>
      <c r="F185" s="494"/>
      <c r="G185" s="198"/>
      <c r="H185" s="163"/>
    </row>
    <row r="186" spans="1:8" ht="12.75">
      <c r="A186" s="161" t="s">
        <v>247</v>
      </c>
      <c r="B186" s="127"/>
      <c r="C186" s="112"/>
      <c r="D186" s="119"/>
      <c r="E186" s="146"/>
      <c r="F186" s="37"/>
      <c r="G186" s="198"/>
      <c r="H186" s="163"/>
    </row>
    <row r="187" spans="1:8" ht="12.75">
      <c r="A187" s="161"/>
      <c r="B187" s="127"/>
      <c r="C187" s="112"/>
      <c r="D187" s="119"/>
      <c r="E187" s="147"/>
      <c r="F187" s="37"/>
      <c r="G187" s="198"/>
      <c r="H187" s="163"/>
    </row>
    <row r="188" spans="1:8" ht="13.5" thickBot="1">
      <c r="A188" s="150"/>
      <c r="B188" s="127"/>
      <c r="C188" s="112"/>
      <c r="D188" s="119"/>
      <c r="E188" s="147"/>
      <c r="F188" s="37"/>
      <c r="G188" s="198"/>
      <c r="H188" s="163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7" t="s">
        <v>58</v>
      </c>
      <c r="B190" s="127"/>
      <c r="C190" s="114"/>
      <c r="D190" s="119"/>
      <c r="E190" s="146"/>
      <c r="F190" s="3"/>
      <c r="G190" s="123"/>
      <c r="H190" s="163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3"/>
    </row>
    <row r="192" spans="1:8" ht="12.75">
      <c r="A192" s="154"/>
      <c r="B192" s="123"/>
      <c r="C192" s="115"/>
      <c r="D192" s="119"/>
      <c r="E192" s="147"/>
      <c r="F192" s="3"/>
      <c r="G192" s="123"/>
      <c r="H192" s="163"/>
    </row>
    <row r="193" spans="1:8" ht="12.75">
      <c r="A193" s="155" t="s">
        <v>223</v>
      </c>
      <c r="B193" s="127"/>
      <c r="C193" s="112"/>
      <c r="D193" s="120"/>
      <c r="E193" s="306">
        <f>REGINFO!D62</f>
        <v>4286825.168780001</v>
      </c>
      <c r="F193" s="3"/>
      <c r="G193" s="123"/>
      <c r="H193" s="163"/>
    </row>
    <row r="194" spans="1:8" ht="12.75">
      <c r="A194" s="155" t="s">
        <v>250</v>
      </c>
      <c r="B194" s="127"/>
      <c r="C194" s="112"/>
      <c r="D194" s="120"/>
      <c r="E194" s="306">
        <f>REGINFO!D66</f>
        <v>2884308.2630343046</v>
      </c>
      <c r="F194" s="3"/>
      <c r="G194" s="123"/>
      <c r="H194" s="163"/>
    </row>
    <row r="195" spans="1:8" ht="12.75">
      <c r="A195" s="155"/>
      <c r="B195" s="127"/>
      <c r="C195" s="112"/>
      <c r="D195" s="120"/>
      <c r="E195" s="149"/>
      <c r="F195" s="3"/>
      <c r="G195" s="123"/>
      <c r="H195" s="163"/>
    </row>
    <row r="196" spans="1:8" ht="12.75">
      <c r="A196" s="155" t="s">
        <v>342</v>
      </c>
      <c r="B196" s="127"/>
      <c r="C196" s="112"/>
      <c r="D196" s="120"/>
      <c r="E196" s="306">
        <f>E193-E194</f>
        <v>1402516.9057456963</v>
      </c>
      <c r="F196" s="3"/>
      <c r="G196" s="123"/>
      <c r="H196" s="163"/>
    </row>
    <row r="197" spans="1:8" ht="12.75">
      <c r="A197" s="155" t="s">
        <v>343</v>
      </c>
      <c r="B197" s="127"/>
      <c r="C197" s="112"/>
      <c r="D197" s="120"/>
      <c r="E197" s="147"/>
      <c r="F197" s="3"/>
      <c r="G197" s="123"/>
      <c r="H197" s="163"/>
    </row>
    <row r="198" spans="1:8" ht="12.75">
      <c r="A198" s="155"/>
      <c r="B198" s="127"/>
      <c r="C198" s="112"/>
      <c r="D198" s="120"/>
      <c r="E198" s="147"/>
      <c r="F198" s="3"/>
      <c r="G198" s="123"/>
      <c r="H198" s="163"/>
    </row>
    <row r="199" spans="1:8" ht="12.75">
      <c r="A199" s="167" t="s">
        <v>256</v>
      </c>
      <c r="B199" s="127"/>
      <c r="C199" s="112"/>
      <c r="D199" s="120"/>
      <c r="E199" s="147"/>
      <c r="F199" s="3"/>
      <c r="G199" s="479"/>
      <c r="H199" s="163"/>
    </row>
    <row r="200" spans="1:8" ht="12.75">
      <c r="A200" s="175" t="s">
        <v>85</v>
      </c>
      <c r="B200" s="127"/>
      <c r="C200" s="112"/>
      <c r="D200" s="120"/>
      <c r="E200" s="147"/>
      <c r="F200" s="3"/>
      <c r="G200" s="479"/>
      <c r="H200" s="163"/>
    </row>
    <row r="201" spans="1:8" ht="12.75">
      <c r="A201" s="155" t="s">
        <v>251</v>
      </c>
      <c r="B201" s="127"/>
      <c r="C201" s="112"/>
      <c r="D201" s="120"/>
      <c r="E201" s="306">
        <f>G37+G42</f>
        <v>3391000</v>
      </c>
      <c r="F201" s="495"/>
      <c r="G201" s="479"/>
      <c r="H201" s="163"/>
    </row>
    <row r="202" spans="1:8" ht="12.75">
      <c r="A202" s="155" t="s">
        <v>344</v>
      </c>
      <c r="B202" s="127"/>
      <c r="C202" s="112"/>
      <c r="D202" s="120"/>
      <c r="E202" s="306">
        <f>REGINFO!D62</f>
        <v>4286825.168780001</v>
      </c>
      <c r="F202" s="3"/>
      <c r="G202" s="123"/>
      <c r="H202" s="163"/>
    </row>
    <row r="203" spans="1:8" ht="12.75">
      <c r="A203" s="155"/>
      <c r="B203" s="127"/>
      <c r="C203" s="112"/>
      <c r="D203" s="120"/>
      <c r="E203" s="149"/>
      <c r="F203" s="3"/>
      <c r="G203" s="123"/>
      <c r="H203" s="163"/>
    </row>
    <row r="204" spans="1:8" ht="12.75">
      <c r="A204" s="155" t="s">
        <v>84</v>
      </c>
      <c r="B204" s="127"/>
      <c r="C204" s="112"/>
      <c r="D204" s="120"/>
      <c r="E204" s="301">
        <f>IF((E201-E202)&gt;0,E201-E202,0)</f>
        <v>0</v>
      </c>
      <c r="F204" s="3"/>
      <c r="G204" s="123"/>
      <c r="H204" s="163"/>
    </row>
    <row r="205" spans="1:8" ht="12.75">
      <c r="A205" s="155"/>
      <c r="B205" s="127"/>
      <c r="C205" s="112"/>
      <c r="D205" s="120"/>
      <c r="E205" s="149"/>
      <c r="F205" s="3"/>
      <c r="G205" s="123"/>
      <c r="H205" s="163"/>
    </row>
    <row r="206" spans="1:8" ht="12.75">
      <c r="A206" s="167" t="s">
        <v>318</v>
      </c>
      <c r="B206" s="127"/>
      <c r="C206" s="112"/>
      <c r="D206" s="120"/>
      <c r="E206" s="468">
        <f>IF((E201-E202)&gt;0,E201-E202,0)</f>
        <v>0</v>
      </c>
      <c r="F206" s="3"/>
      <c r="G206" s="123"/>
      <c r="H206" s="163"/>
    </row>
    <row r="207" spans="1:8" ht="12.75">
      <c r="A207" s="155"/>
      <c r="B207" s="127"/>
      <c r="C207" s="112"/>
      <c r="D207" s="120"/>
      <c r="E207" s="149"/>
      <c r="F207" s="3"/>
      <c r="G207" s="123"/>
      <c r="H207" s="163"/>
    </row>
    <row r="208" spans="1:8" ht="13.5" thickBot="1">
      <c r="A208" s="176" t="s">
        <v>224</v>
      </c>
      <c r="B208" s="177"/>
      <c r="C208" s="178"/>
      <c r="D208" s="179"/>
      <c r="E208" s="307">
        <f>+E196-E204</f>
        <v>1402516.9057456963</v>
      </c>
      <c r="F208" s="74"/>
      <c r="G208" s="199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1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08">
      <selection activeCell="F108" sqref="F1:F1638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501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Oakville Hydro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6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493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494</v>
      </c>
      <c r="D15" s="25"/>
      <c r="E15" s="25"/>
      <c r="F15" s="20"/>
      <c r="G15" s="3"/>
      <c r="H15" s="3"/>
      <c r="I15" s="3"/>
    </row>
    <row r="16" spans="1:9" ht="12.75">
      <c r="A16" s="297" t="s">
        <v>227</v>
      </c>
      <c r="B16" s="20" t="s">
        <v>64</v>
      </c>
      <c r="C16" s="8" t="s">
        <v>494</v>
      </c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 t="s">
        <v>494</v>
      </c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6" t="s">
        <v>325</v>
      </c>
      <c r="B23" s="397"/>
      <c r="C23" s="398"/>
      <c r="D23" s="399"/>
      <c r="E23" s="28"/>
      <c r="F23" s="11"/>
      <c r="G23" s="11"/>
      <c r="H23" s="6"/>
      <c r="I23" s="6"/>
    </row>
    <row r="24" spans="1:9" ht="12.75">
      <c r="A24" s="396" t="s">
        <v>258</v>
      </c>
      <c r="B24" s="397"/>
      <c r="C24" s="398"/>
      <c r="D24" s="399"/>
      <c r="E24" s="28"/>
      <c r="F24" s="11"/>
      <c r="G24" s="11"/>
      <c r="H24" s="6"/>
      <c r="I24" s="6"/>
    </row>
    <row r="25" spans="1:9" ht="12.75">
      <c r="A25" s="396" t="s">
        <v>222</v>
      </c>
      <c r="B25" s="397"/>
      <c r="C25" s="398"/>
      <c r="D25" s="399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6" t="s">
        <v>323</v>
      </c>
      <c r="B27" s="397"/>
      <c r="C27" s="398"/>
      <c r="D27" s="399"/>
      <c r="E27" s="28"/>
      <c r="F27" s="11"/>
      <c r="G27" s="11"/>
      <c r="H27" s="6"/>
      <c r="I27" s="6"/>
    </row>
    <row r="28" spans="1:9" ht="12.75">
      <c r="A28" s="396" t="s">
        <v>324</v>
      </c>
      <c r="B28" s="397"/>
      <c r="C28" s="398"/>
      <c r="D28" s="399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5" t="s">
        <v>273</v>
      </c>
      <c r="B31" s="23" t="s">
        <v>187</v>
      </c>
      <c r="C31" s="283">
        <f>146955000-C32</f>
        <v>124735000</v>
      </c>
      <c r="D31" s="284"/>
      <c r="E31" s="282">
        <f>C31-D31</f>
        <v>124735000</v>
      </c>
      <c r="F31" s="11"/>
      <c r="G31" s="11"/>
      <c r="H31" s="6"/>
      <c r="I31" s="6"/>
    </row>
    <row r="32" spans="1:9" ht="12.75">
      <c r="A32" s="4" t="s">
        <v>220</v>
      </c>
      <c r="B32" s="23" t="s">
        <v>187</v>
      </c>
      <c r="C32" s="283">
        <f>146955000-124735000</f>
        <v>22220000</v>
      </c>
      <c r="D32" s="284"/>
      <c r="E32" s="282">
        <f>C32-D32</f>
        <v>22220000</v>
      </c>
      <c r="F32" s="11"/>
      <c r="G32" s="11"/>
      <c r="H32" s="6"/>
      <c r="I32" s="6"/>
    </row>
    <row r="33" spans="1:9" ht="12.75">
      <c r="A33" s="4" t="s">
        <v>210</v>
      </c>
      <c r="B33" s="23" t="s">
        <v>187</v>
      </c>
      <c r="C33" s="283">
        <v>2688000</v>
      </c>
      <c r="D33" s="284"/>
      <c r="E33" s="282">
        <f>C33-D33</f>
        <v>2688000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1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3">
        <v>124735000</v>
      </c>
      <c r="D39" s="284"/>
      <c r="E39" s="282">
        <f>C39-D39</f>
        <v>124735000</v>
      </c>
      <c r="F39" s="11"/>
      <c r="G39" s="11"/>
      <c r="H39" s="6"/>
      <c r="I39" s="6"/>
    </row>
    <row r="40" spans="1:9" ht="12.75">
      <c r="A40" s="46" t="s">
        <v>495</v>
      </c>
      <c r="B40" s="23" t="s">
        <v>188</v>
      </c>
      <c r="C40" s="283">
        <v>7727000</v>
      </c>
      <c r="D40" s="284"/>
      <c r="E40" s="282">
        <f aca="true" t="shared" si="0" ref="E40:E48">C40-D40</f>
        <v>7727000</v>
      </c>
      <c r="F40" s="11"/>
      <c r="G40" s="11"/>
      <c r="H40" s="6"/>
      <c r="I40" s="6"/>
    </row>
    <row r="41" spans="1:9" ht="12.75">
      <c r="A41" s="4" t="s">
        <v>496</v>
      </c>
      <c r="B41" s="23" t="s">
        <v>188</v>
      </c>
      <c r="C41" s="283">
        <v>408000</v>
      </c>
      <c r="D41" s="284"/>
      <c r="E41" s="282">
        <f t="shared" si="0"/>
        <v>408000</v>
      </c>
      <c r="F41" s="11"/>
      <c r="G41" s="11"/>
      <c r="H41" s="6"/>
      <c r="I41" s="6"/>
    </row>
    <row r="42" spans="1:9" ht="12.75">
      <c r="A42" s="4" t="s">
        <v>497</v>
      </c>
      <c r="B42" s="23" t="s">
        <v>188</v>
      </c>
      <c r="C42" s="283">
        <f>5226000-2245000-480000</f>
        <v>2501000</v>
      </c>
      <c r="D42" s="284"/>
      <c r="E42" s="282">
        <f t="shared" si="0"/>
        <v>2501000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283">
        <v>9944000</v>
      </c>
      <c r="D43" s="284"/>
      <c r="E43" s="282">
        <f t="shared" si="0"/>
        <v>9944000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283">
        <v>480000</v>
      </c>
      <c r="D44" s="284"/>
      <c r="E44" s="282">
        <f t="shared" si="0"/>
        <v>480000</v>
      </c>
      <c r="F44" s="11"/>
      <c r="G44" s="11"/>
      <c r="H44" s="6"/>
      <c r="I44" s="6"/>
    </row>
    <row r="45" spans="1:11" ht="12.75">
      <c r="A45" s="4"/>
      <c r="B45" s="23" t="s">
        <v>188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3"/>
      <c r="D46" s="284"/>
      <c r="E46" s="282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79">
        <f>SUM(C31:C36)-SUM(C39:C49)</f>
        <v>3848000</v>
      </c>
      <c r="D50" s="279">
        <f>SUM(D31:D36)-SUM(D39:D49)</f>
        <v>0</v>
      </c>
      <c r="E50" s="279">
        <f>SUM(E31:E35)-SUM(E39:E48)</f>
        <v>3848000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3">
        <v>3391000</v>
      </c>
      <c r="D51" s="283"/>
      <c r="E51" s="280">
        <f>+C51-D51</f>
        <v>3391000</v>
      </c>
      <c r="F51" s="487"/>
      <c r="G51" s="11"/>
      <c r="H51" s="6"/>
      <c r="I51" s="6"/>
    </row>
    <row r="52" spans="1:6" ht="12.75">
      <c r="A52" t="s">
        <v>182</v>
      </c>
      <c r="B52" s="8" t="s">
        <v>188</v>
      </c>
      <c r="C52" s="283">
        <v>-641000</v>
      </c>
      <c r="D52" s="283"/>
      <c r="E52" s="281">
        <f>+C52-D52</f>
        <v>-641000</v>
      </c>
      <c r="F52" s="8"/>
    </row>
    <row r="53" spans="1:6" ht="12.75">
      <c r="A53" s="2" t="s">
        <v>131</v>
      </c>
      <c r="B53" s="8" t="s">
        <v>189</v>
      </c>
      <c r="C53" s="279">
        <f>C50-C51-C52</f>
        <v>1098000</v>
      </c>
      <c r="D53" s="279">
        <f>D50-D51-D52</f>
        <v>0</v>
      </c>
      <c r="E53" s="279">
        <f>E50-E51-E52</f>
        <v>1098000</v>
      </c>
      <c r="F53" s="486"/>
    </row>
    <row r="54" spans="1:6" ht="22.5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5">
        <f>C52</f>
        <v>-641000</v>
      </c>
      <c r="D59" s="285">
        <f>D52</f>
        <v>0</v>
      </c>
      <c r="E59" s="270">
        <f>+C59-D59</f>
        <v>-641000</v>
      </c>
      <c r="F59" s="488"/>
    </row>
    <row r="60" spans="1:6" ht="12.75">
      <c r="A60" s="4" t="s">
        <v>326</v>
      </c>
      <c r="B60" s="8" t="s">
        <v>187</v>
      </c>
      <c r="C60" s="315"/>
      <c r="D60" s="315"/>
      <c r="E60" s="270">
        <f>+C60-D60</f>
        <v>0</v>
      </c>
      <c r="F60" s="8"/>
    </row>
    <row r="61" spans="1:7" ht="12.75">
      <c r="A61" t="s">
        <v>4</v>
      </c>
      <c r="B61" s="8" t="s">
        <v>187</v>
      </c>
      <c r="C61" s="285">
        <f>C43</f>
        <v>9944000</v>
      </c>
      <c r="D61" s="285">
        <f>D43</f>
        <v>0</v>
      </c>
      <c r="E61" s="270">
        <f>+C61-D61</f>
        <v>9944000</v>
      </c>
      <c r="F61" s="488"/>
      <c r="G61" s="412"/>
    </row>
    <row r="62" spans="1:6" ht="12.75">
      <c r="A62" t="s">
        <v>6</v>
      </c>
      <c r="B62" s="8" t="s">
        <v>187</v>
      </c>
      <c r="C62" s="315">
        <v>5225972</v>
      </c>
      <c r="D62" s="285">
        <v>0</v>
      </c>
      <c r="E62" s="270">
        <f>+C62-D62</f>
        <v>5225972</v>
      </c>
      <c r="F62" s="8"/>
    </row>
    <row r="63" spans="1:6" ht="12.75">
      <c r="A63" s="31" t="s">
        <v>276</v>
      </c>
      <c r="B63" s="8" t="s">
        <v>187</v>
      </c>
      <c r="C63" s="313">
        <f>'Tax Reserves'!C22</f>
        <v>32068</v>
      </c>
      <c r="D63" s="314">
        <f>'Tax Reserves'!D22</f>
        <v>0</v>
      </c>
      <c r="E63" s="270">
        <f>C63-D63</f>
        <v>32068</v>
      </c>
      <c r="F63" s="486"/>
    </row>
    <row r="64" spans="1:6" ht="12.75">
      <c r="A64" s="4" t="s">
        <v>52</v>
      </c>
      <c r="B64" s="8" t="s">
        <v>187</v>
      </c>
      <c r="C64" s="313">
        <f>'Tax Reserves'!C63</f>
        <v>26536</v>
      </c>
      <c r="D64" s="314">
        <f>'Tax Reserves'!D63</f>
        <v>0</v>
      </c>
      <c r="E64" s="270">
        <f>+C64-D64</f>
        <v>26536</v>
      </c>
      <c r="F64" s="486"/>
    </row>
    <row r="65" spans="1:6" ht="12.75">
      <c r="A65" t="s">
        <v>445</v>
      </c>
      <c r="B65" s="8" t="s">
        <v>187</v>
      </c>
      <c r="C65" s="284"/>
      <c r="D65" s="284"/>
      <c r="E65" s="270">
        <f>+C65-D65</f>
        <v>0</v>
      </c>
      <c r="F65" s="486"/>
    </row>
    <row r="66" spans="1:6" ht="15">
      <c r="A66" s="464" t="s">
        <v>396</v>
      </c>
      <c r="B66" s="8"/>
      <c r="C66" s="443">
        <f>'TAXREC 3 No True-up'!C47</f>
        <v>48663</v>
      </c>
      <c r="D66" s="443">
        <f>'TAXREC 3 No True-up'!D47</f>
        <v>0</v>
      </c>
      <c r="E66" s="270">
        <f>+C66-D66</f>
        <v>48663</v>
      </c>
      <c r="F66" s="486"/>
    </row>
    <row r="67" spans="1:6" ht="12.75">
      <c r="A67" t="s">
        <v>160</v>
      </c>
      <c r="B67" s="8" t="s">
        <v>187</v>
      </c>
      <c r="C67" s="248">
        <f>'TAXREC 2'!C77</f>
        <v>0</v>
      </c>
      <c r="D67" s="248">
        <f>'TAXREC 2'!D77</f>
        <v>0</v>
      </c>
      <c r="E67" s="270">
        <f>+C67-D67</f>
        <v>0</v>
      </c>
      <c r="F67" s="485"/>
    </row>
    <row r="68" spans="1:11" ht="12.75">
      <c r="A68" t="s">
        <v>161</v>
      </c>
      <c r="B68" s="8" t="s">
        <v>187</v>
      </c>
      <c r="C68" s="248">
        <f>'TAXREC 2'!C78</f>
        <v>0</v>
      </c>
      <c r="D68" s="248">
        <f>'TAXREC 2'!D78</f>
        <v>0</v>
      </c>
      <c r="E68" s="270">
        <f>+C68-D68</f>
        <v>0</v>
      </c>
      <c r="F68" s="8"/>
      <c r="H68" s="45"/>
      <c r="I68" s="23"/>
      <c r="J68" s="23"/>
      <c r="K68" s="75"/>
    </row>
    <row r="69" spans="3:11" ht="12.75">
      <c r="C69" s="22"/>
      <c r="D69" s="22"/>
      <c r="E69" s="295"/>
      <c r="F69" s="8"/>
      <c r="H69" s="45"/>
      <c r="I69" s="23"/>
      <c r="J69" s="23"/>
      <c r="K69" s="75"/>
    </row>
    <row r="70" spans="1:11" ht="12.75">
      <c r="A70" s="10" t="s">
        <v>106</v>
      </c>
      <c r="B70" s="8"/>
      <c r="C70" s="270">
        <f>SUM(C59:C68)</f>
        <v>14636239</v>
      </c>
      <c r="D70" s="270">
        <f>SUM(D59:D68)</f>
        <v>0</v>
      </c>
      <c r="E70" s="270">
        <f>SUM(E59:E68)</f>
        <v>14636239</v>
      </c>
      <c r="F70" s="8"/>
      <c r="G70" s="22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2"/>
      <c r="D73" s="292"/>
      <c r="E73" s="270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2"/>
      <c r="D74" s="292"/>
      <c r="E74" s="270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2"/>
      <c r="D75" s="292"/>
      <c r="E75" s="270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498</v>
      </c>
      <c r="B76" s="8" t="s">
        <v>187</v>
      </c>
      <c r="C76" s="292">
        <v>933505</v>
      </c>
      <c r="D76" s="292"/>
      <c r="E76" s="270">
        <f t="shared" si="1"/>
        <v>933505</v>
      </c>
      <c r="F76" s="488"/>
      <c r="G76" s="76"/>
      <c r="H76" s="77"/>
      <c r="I76" s="78"/>
      <c r="J76" s="77"/>
      <c r="K76" s="77"/>
    </row>
    <row r="77" spans="1:11" ht="12.75">
      <c r="A77" s="68" t="s">
        <v>499</v>
      </c>
      <c r="B77" s="8" t="s">
        <v>187</v>
      </c>
      <c r="C77" s="292">
        <v>9628</v>
      </c>
      <c r="D77" s="292"/>
      <c r="E77" s="270">
        <f t="shared" si="1"/>
        <v>9628</v>
      </c>
      <c r="F77" s="48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2"/>
      <c r="D78" s="292"/>
      <c r="E78" s="270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2"/>
      <c r="D79" s="292"/>
      <c r="E79" s="270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48">
        <f>SUM(C73:C79)</f>
        <v>943133</v>
      </c>
      <c r="D80" s="248">
        <f>SUM(D73:D79)</f>
        <v>0</v>
      </c>
      <c r="E80" s="248">
        <f>SUM(E73:E79)</f>
        <v>943133</v>
      </c>
      <c r="F80" s="486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48">
        <f>C70+C80</f>
        <v>15579372</v>
      </c>
      <c r="D82" s="248">
        <f>D70+D80</f>
        <v>0</v>
      </c>
      <c r="E82" s="248">
        <f>E70+E80</f>
        <v>15579372</v>
      </c>
      <c r="F82" s="8"/>
      <c r="G82" s="30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30"/>
      <c r="H83" s="45"/>
      <c r="I83" s="45"/>
      <c r="J83" s="45"/>
      <c r="K83" s="45"/>
    </row>
    <row r="84" spans="1:11" ht="12.75">
      <c r="A84" s="278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Interest on leases</v>
      </c>
      <c r="B88" s="271"/>
      <c r="C88" s="288">
        <f t="shared" si="3"/>
        <v>933505</v>
      </c>
      <c r="D88" s="288">
        <f t="shared" si="3"/>
        <v>0</v>
      </c>
      <c r="E88" s="288">
        <f t="shared" si="3"/>
        <v>933505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Interest income on Development Charge Fund</v>
      </c>
      <c r="B89" s="271"/>
      <c r="C89" s="288">
        <f t="shared" si="3"/>
        <v>9628</v>
      </c>
      <c r="D89" s="288">
        <f t="shared" si="3"/>
        <v>0</v>
      </c>
      <c r="E89" s="288">
        <f t="shared" si="3"/>
        <v>9628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151</v>
      </c>
      <c r="B92" s="271"/>
      <c r="C92" s="277">
        <f>SUM(C85:C91)</f>
        <v>943133</v>
      </c>
      <c r="D92" s="277">
        <f>SUM(D85:D91)</f>
        <v>0</v>
      </c>
      <c r="E92" s="277">
        <f>SUM(E85:E91)</f>
        <v>943133</v>
      </c>
      <c r="F92" s="8"/>
      <c r="G92" s="45"/>
      <c r="H92" s="45"/>
      <c r="I92" s="45"/>
      <c r="J92" s="45"/>
      <c r="K92" s="45"/>
    </row>
    <row r="93" spans="1:11" ht="12.75">
      <c r="A93" s="271" t="s">
        <v>433</v>
      </c>
      <c r="B93" s="271"/>
      <c r="C93" s="248">
        <f>C80-C92</f>
        <v>0</v>
      </c>
      <c r="D93" s="248">
        <f>D80-D92</f>
        <v>0</v>
      </c>
      <c r="E93" s="248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197</v>
      </c>
      <c r="B94" s="271"/>
      <c r="C94" s="248">
        <f>C92+C93</f>
        <v>943133</v>
      </c>
      <c r="D94" s="248">
        <f>D92+D93</f>
        <v>0</v>
      </c>
      <c r="E94" s="248">
        <f>E92+E93</f>
        <v>943133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2">
        <v>7730071</v>
      </c>
      <c r="D97" s="292"/>
      <c r="E97" s="270">
        <f>+C97-D97</f>
        <v>7730071</v>
      </c>
      <c r="F97" s="48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2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2">
        <v>5106204</v>
      </c>
      <c r="D99" s="292"/>
      <c r="E99" s="270">
        <f>+C99-D99</f>
        <v>5106204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6">
        <f>'Tax Reserves'!C35</f>
        <v>26536</v>
      </c>
      <c r="D104" s="316">
        <f>'Tax Reserves'!D35</f>
        <v>0</v>
      </c>
      <c r="E104" s="270">
        <f t="shared" si="5"/>
        <v>26536</v>
      </c>
      <c r="F104" s="486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16">
        <f>'Tax Reserves'!C50</f>
        <v>32068</v>
      </c>
      <c r="D105" s="316">
        <f>'Tax Reserves'!D50</f>
        <v>0</v>
      </c>
      <c r="E105" s="280">
        <f t="shared" si="5"/>
        <v>32068</v>
      </c>
      <c r="F105" s="486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2"/>
      <c r="D106" s="292"/>
      <c r="E106" s="270">
        <f t="shared" si="5"/>
        <v>0</v>
      </c>
      <c r="F106" s="486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2"/>
      <c r="D107" s="292"/>
      <c r="E107" s="270">
        <f t="shared" si="5"/>
        <v>0</v>
      </c>
      <c r="F107" s="486"/>
      <c r="G107" s="45"/>
      <c r="H107" s="45"/>
      <c r="I107" s="45"/>
      <c r="J107" s="45"/>
      <c r="K107" s="45"/>
    </row>
    <row r="108" spans="1:11" ht="15">
      <c r="A108" s="464" t="s">
        <v>396</v>
      </c>
      <c r="B108" s="8"/>
      <c r="C108" s="251">
        <f>'TAXREC 3 No True-up'!C73</f>
        <v>783139</v>
      </c>
      <c r="D108" s="251">
        <f>'TAXREC 3 No True-up'!D73</f>
        <v>0</v>
      </c>
      <c r="E108" s="270">
        <f t="shared" si="5"/>
        <v>783139</v>
      </c>
      <c r="F108" s="486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2"/>
      <c r="D109" s="292"/>
      <c r="E109" s="281">
        <f t="shared" si="5"/>
        <v>0</v>
      </c>
      <c r="F109" s="486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48">
        <f>'TAXREC 2'!C119</f>
        <v>0</v>
      </c>
      <c r="D110" s="248">
        <f>'TAXREC 2'!D119</f>
        <v>0</v>
      </c>
      <c r="E110" s="248">
        <f>'TAXREC 2'!E119</f>
        <v>0</v>
      </c>
      <c r="F110" s="486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48">
        <f>SUM(C97:C111)</f>
        <v>13678018</v>
      </c>
      <c r="D113" s="248">
        <f>SUM(D97:D111)</f>
        <v>0</v>
      </c>
      <c r="E113" s="248">
        <f>SUM(E97:E111)</f>
        <v>13678018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2">
        <v>4281</v>
      </c>
      <c r="D115" s="292"/>
      <c r="E115" s="270">
        <f>+C115-D115</f>
        <v>4281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188</v>
      </c>
      <c r="C116" s="292"/>
      <c r="D116" s="292"/>
      <c r="E116" s="270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505</v>
      </c>
      <c r="B117" s="8" t="s">
        <v>188</v>
      </c>
      <c r="C117" s="292">
        <f>1348018-234430</f>
        <v>1113588</v>
      </c>
      <c r="D117" s="292"/>
      <c r="E117" s="270">
        <f>+C117-D117</f>
        <v>1113588</v>
      </c>
      <c r="F117" s="488"/>
      <c r="H117" s="77"/>
      <c r="I117" s="77"/>
      <c r="J117" s="77"/>
      <c r="K117" s="77"/>
    </row>
    <row r="118" spans="2:11" ht="12.75">
      <c r="B118" s="8"/>
      <c r="C118" s="292"/>
      <c r="D118" s="292"/>
      <c r="E118" s="270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2"/>
      <c r="D119" s="292"/>
      <c r="E119" s="270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48">
        <f>SUM(C114:C119)</f>
        <v>1117869</v>
      </c>
      <c r="D120" s="248">
        <f>SUM(D114:D119)</f>
        <v>0</v>
      </c>
      <c r="E120" s="248">
        <f>SUM(E114:E119)</f>
        <v>1117869</v>
      </c>
      <c r="F120" s="486"/>
      <c r="G120" s="76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6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48">
        <f>C113+C120</f>
        <v>14795887</v>
      </c>
      <c r="D122" s="248">
        <f>D113+D120</f>
        <v>0</v>
      </c>
      <c r="E122" s="248">
        <f>+E113+E120</f>
        <v>14795887</v>
      </c>
      <c r="F122" s="8"/>
      <c r="G122" s="76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76"/>
      <c r="H123" s="45"/>
      <c r="I123" s="45"/>
      <c r="J123" s="45"/>
      <c r="K123" s="45"/>
    </row>
    <row r="124" spans="1:11" ht="12.75">
      <c r="A124" s="289" t="s">
        <v>176</v>
      </c>
      <c r="C124" s="8"/>
      <c r="D124" s="8"/>
      <c r="E124" s="8"/>
      <c r="F124" s="8"/>
      <c r="G124" s="76"/>
      <c r="H124" s="45"/>
      <c r="I124" s="45"/>
      <c r="J124" s="45"/>
      <c r="K124" s="45"/>
    </row>
    <row r="125" spans="1:11" ht="12.75">
      <c r="A125" s="286" t="str">
        <f>IF($E115&gt;$C$13,A115," ")</f>
        <v>Charitable donations - tax basis</v>
      </c>
      <c r="B125" s="271"/>
      <c r="C125" s="288">
        <f aca="true" t="shared" si="6" ref="C125:E129">IF($E115&gt;$C$13,C115,)</f>
        <v>4281</v>
      </c>
      <c r="D125" s="288">
        <f>IF($E115&gt;$C$13,D115,)</f>
        <v>0</v>
      </c>
      <c r="E125" s="288">
        <f>IF($E115&gt;$C$13,E115,)</f>
        <v>4281</v>
      </c>
      <c r="F125" s="8"/>
      <c r="G125" s="76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76"/>
      <c r="H126" s="45"/>
      <c r="I126" s="45"/>
      <c r="J126" s="45"/>
      <c r="K126" s="45"/>
    </row>
    <row r="127" spans="1:11" ht="12.75">
      <c r="A127" s="286" t="str">
        <f>IF($E117&gt;$C$13,A117," ")</f>
        <v>Lease payments made - adjusted as per notice of reassessment</v>
      </c>
      <c r="B127" s="271"/>
      <c r="C127" s="288">
        <f t="shared" si="6"/>
        <v>1113588</v>
      </c>
      <c r="D127" s="288">
        <f t="shared" si="6"/>
        <v>0</v>
      </c>
      <c r="E127" s="288">
        <f t="shared" si="6"/>
        <v>1113588</v>
      </c>
      <c r="F127" s="8"/>
      <c r="G127" s="76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76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76"/>
      <c r="H129" s="45"/>
      <c r="I129" s="45"/>
      <c r="J129" s="45"/>
      <c r="K129" s="45"/>
    </row>
    <row r="130" spans="1:11" ht="12.75">
      <c r="A130" s="287" t="s">
        <v>199</v>
      </c>
      <c r="B130" s="271"/>
      <c r="C130" s="248">
        <f>SUM(C125:C129)</f>
        <v>1117869</v>
      </c>
      <c r="D130" s="248">
        <f>SUM(D125:D129)</f>
        <v>0</v>
      </c>
      <c r="E130" s="248">
        <f>SUM(E125:E129)</f>
        <v>1117869</v>
      </c>
      <c r="F130" s="8"/>
      <c r="G130" s="76"/>
      <c r="H130" s="45"/>
      <c r="I130" s="45"/>
      <c r="J130" s="45"/>
      <c r="K130" s="45"/>
    </row>
    <row r="131" spans="1:11" ht="12.75">
      <c r="A131" s="271" t="s">
        <v>200</v>
      </c>
      <c r="B131" s="271"/>
      <c r="C131" s="248">
        <f>C120-C130</f>
        <v>0</v>
      </c>
      <c r="D131" s="248">
        <f>D120-D130</f>
        <v>0</v>
      </c>
      <c r="E131" s="248">
        <f>E120-E130</f>
        <v>0</v>
      </c>
      <c r="F131" s="8"/>
      <c r="G131" s="76"/>
      <c r="H131" s="45"/>
      <c r="I131" s="45"/>
      <c r="J131" s="45"/>
      <c r="K131" s="45"/>
    </row>
    <row r="132" spans="1:11" ht="12.75">
      <c r="A132" s="271" t="s">
        <v>198</v>
      </c>
      <c r="B132" s="271"/>
      <c r="C132" s="248">
        <f>C130+C131</f>
        <v>1117869</v>
      </c>
      <c r="D132" s="248">
        <f>D130+D131</f>
        <v>0</v>
      </c>
      <c r="E132" s="248">
        <f>E130+E131</f>
        <v>1117869</v>
      </c>
      <c r="F132" s="8"/>
      <c r="G132" s="76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76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48">
        <f>+C53+C82-C122</f>
        <v>1881485</v>
      </c>
      <c r="D134" s="248">
        <f>D53+D82-D122</f>
        <v>0</v>
      </c>
      <c r="E134" s="248">
        <f>E53+E82-E122</f>
        <v>1881485</v>
      </c>
      <c r="F134" s="8"/>
      <c r="G134" s="76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76"/>
      <c r="H135" s="45"/>
      <c r="I135" s="45"/>
      <c r="J135" s="45"/>
      <c r="K135" s="45"/>
    </row>
    <row r="136" spans="1:11" ht="12.75">
      <c r="A136" s="12" t="s">
        <v>376</v>
      </c>
      <c r="B136" s="8" t="s">
        <v>188</v>
      </c>
      <c r="C136" s="292">
        <f>1550966-233062</f>
        <v>1317904</v>
      </c>
      <c r="D136" s="292"/>
      <c r="E136" s="262">
        <f>C136-D136</f>
        <v>1317904</v>
      </c>
      <c r="F136" s="488"/>
      <c r="G136" s="45"/>
      <c r="H136" s="45"/>
      <c r="I136" s="45"/>
      <c r="J136" s="45"/>
      <c r="K136" s="45"/>
    </row>
    <row r="137" spans="1:11" ht="12.75">
      <c r="A137" s="46" t="s">
        <v>377</v>
      </c>
      <c r="B137" s="8" t="s">
        <v>188</v>
      </c>
      <c r="C137" s="308"/>
      <c r="D137" s="308"/>
      <c r="E137" s="390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90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49">
        <f>C134-C136-C137-C138</f>
        <v>563581</v>
      </c>
      <c r="D139" s="249">
        <f>D134-D136-D137-D138</f>
        <v>0</v>
      </c>
      <c r="E139" s="249">
        <f>E134-E136-E137-E138</f>
        <v>563581</v>
      </c>
      <c r="F139" s="486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33"/>
      <c r="H140" s="45"/>
      <c r="I140" s="45"/>
      <c r="J140" s="45"/>
      <c r="K140" s="45"/>
    </row>
    <row r="141" spans="1:11" ht="12.75">
      <c r="A141" s="317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322</v>
      </c>
      <c r="B142" s="8" t="s">
        <v>187</v>
      </c>
      <c r="C142" s="296">
        <v>147208</v>
      </c>
      <c r="D142" s="296"/>
      <c r="E142" s="249">
        <f>C142-D142</f>
        <v>147208</v>
      </c>
      <c r="F142" s="488"/>
      <c r="G142" s="45" t="s">
        <v>491</v>
      </c>
      <c r="H142" s="45"/>
      <c r="I142" s="45"/>
      <c r="J142" s="45"/>
      <c r="K142" s="45"/>
    </row>
    <row r="143" spans="1:11" ht="12.75">
      <c r="A143" s="46" t="s">
        <v>321</v>
      </c>
      <c r="B143" s="8" t="s">
        <v>187</v>
      </c>
      <c r="C143" s="296">
        <v>70448</v>
      </c>
      <c r="D143" s="296"/>
      <c r="E143" s="290">
        <f>C143-D143</f>
        <v>70448</v>
      </c>
      <c r="F143" s="488"/>
      <c r="G143" s="45" t="s">
        <v>491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49">
        <f>C142+C143</f>
        <v>217656</v>
      </c>
      <c r="D144" s="249">
        <f>D142+D143</f>
        <v>0</v>
      </c>
      <c r="E144" s="249">
        <f>E142+E143</f>
        <v>217656</v>
      </c>
      <c r="F144" s="486"/>
      <c r="G144" s="45"/>
      <c r="H144" s="45"/>
      <c r="I144" s="45"/>
      <c r="J144" s="45"/>
      <c r="K144" s="45"/>
    </row>
    <row r="145" spans="1:11" ht="12.75">
      <c r="A145" s="46" t="s">
        <v>333</v>
      </c>
      <c r="B145" s="8" t="s">
        <v>188</v>
      </c>
      <c r="C145" s="296">
        <v>5155</v>
      </c>
      <c r="D145" s="296"/>
      <c r="E145" s="291">
        <f>C145-D145</f>
        <v>5155</v>
      </c>
      <c r="F145" s="488"/>
      <c r="G145" s="492" t="s">
        <v>507</v>
      </c>
      <c r="H145" s="45"/>
      <c r="I145" s="45"/>
      <c r="J145" s="45"/>
      <c r="K145" s="45"/>
    </row>
    <row r="146" spans="1:11" ht="12.75">
      <c r="A146" s="317" t="s">
        <v>99</v>
      </c>
      <c r="B146" s="8" t="s">
        <v>189</v>
      </c>
      <c r="C146" s="249">
        <f>C144-C145</f>
        <v>212501</v>
      </c>
      <c r="D146" s="249">
        <f>D144-D145</f>
        <v>0</v>
      </c>
      <c r="E146" s="249">
        <f>E144-E145</f>
        <v>212501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328</v>
      </c>
      <c r="B149" s="8"/>
      <c r="C149" s="401">
        <f>ROUND(C142/C139,4)</f>
        <v>0.2612</v>
      </c>
      <c r="D149" s="5"/>
      <c r="E149" s="402">
        <f>C149</f>
        <v>0.2612</v>
      </c>
      <c r="F149" s="8"/>
      <c r="G149" s="45" t="s">
        <v>470</v>
      </c>
      <c r="H149" s="45"/>
      <c r="I149" s="45"/>
      <c r="J149" s="45"/>
      <c r="K149" s="45"/>
    </row>
    <row r="150" spans="1:11" ht="12.75">
      <c r="A150" s="46" t="s">
        <v>329</v>
      </c>
      <c r="B150" s="8"/>
      <c r="C150" s="401">
        <f>ROUND(C143/C139,4)</f>
        <v>0.125</v>
      </c>
      <c r="D150" s="5"/>
      <c r="E150" s="402">
        <f>C150</f>
        <v>0.125</v>
      </c>
      <c r="F150" s="8"/>
      <c r="G150" s="45" t="s">
        <v>471</v>
      </c>
      <c r="H150" s="45"/>
      <c r="I150" s="45"/>
      <c r="J150" s="45"/>
      <c r="K150" s="45"/>
    </row>
    <row r="151" spans="1:11" ht="12.75">
      <c r="A151" t="s">
        <v>330</v>
      </c>
      <c r="B151" s="8"/>
      <c r="C151" s="402">
        <f>SUM(C149:C150)</f>
        <v>0.3862</v>
      </c>
      <c r="D151" s="478" t="s">
        <v>486</v>
      </c>
      <c r="E151" s="402">
        <f>SUM(E149:E150)</f>
        <v>0.3862</v>
      </c>
      <c r="F151" s="486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357</v>
      </c>
      <c r="B153" s="8"/>
    </row>
    <row r="154" spans="1:2" ht="12.75">
      <c r="A154" s="14"/>
      <c r="B154" s="8"/>
    </row>
    <row r="155" spans="1:2" ht="12.75">
      <c r="A155" s="2" t="s">
        <v>483</v>
      </c>
      <c r="B155" s="8"/>
    </row>
    <row r="156" spans="1:5" ht="12.75">
      <c r="A156" t="s">
        <v>218</v>
      </c>
      <c r="B156" s="86" t="s">
        <v>187</v>
      </c>
      <c r="C156" s="248">
        <f>C146</f>
        <v>212501</v>
      </c>
      <c r="D156" s="248">
        <f>D146</f>
        <v>0</v>
      </c>
      <c r="E156" s="248">
        <f>E146</f>
        <v>212501</v>
      </c>
    </row>
    <row r="157" spans="1:7" ht="12.75">
      <c r="A157" t="s">
        <v>20</v>
      </c>
      <c r="B157" s="86" t="s">
        <v>187</v>
      </c>
      <c r="C157" s="475">
        <v>419586</v>
      </c>
      <c r="D157" s="248"/>
      <c r="E157" s="248">
        <f>C157+D157</f>
        <v>419586</v>
      </c>
      <c r="F157" s="488"/>
      <c r="G157" s="481" t="s">
        <v>502</v>
      </c>
    </row>
    <row r="158" spans="1:7" ht="12.75">
      <c r="A158" t="s">
        <v>217</v>
      </c>
      <c r="B158" s="86" t="s">
        <v>187</v>
      </c>
      <c r="C158" s="475">
        <v>308496</v>
      </c>
      <c r="D158" s="248"/>
      <c r="E158" s="248">
        <f>C158+D158</f>
        <v>308496</v>
      </c>
      <c r="F158" s="488"/>
      <c r="G158" s="481" t="s">
        <v>502</v>
      </c>
    </row>
    <row r="159" ht="12.75">
      <c r="B159" s="8"/>
    </row>
    <row r="160" spans="1:6" ht="12.75">
      <c r="A160" s="2" t="s">
        <v>300</v>
      </c>
      <c r="B160" s="66" t="s">
        <v>189</v>
      </c>
      <c r="C160" s="248">
        <f>C156+C157+C158</f>
        <v>940583</v>
      </c>
      <c r="D160" s="248">
        <f>D156+D157+D158</f>
        <v>0</v>
      </c>
      <c r="E160" s="248">
        <f>E156+E157+E158</f>
        <v>940583</v>
      </c>
      <c r="F160" s="483"/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1" bottom="0.2362204724409449" header="0.19" footer="0"/>
  <pageSetup fitToHeight="2" fitToWidth="1" horizontalDpi="600" verticalDpi="600" orientation="portrait" scale="67" r:id="rId1"/>
  <headerFooter alignWithMargins="0">
    <oddHeader>&amp;REB-2008-0381
Procedural Order #7
&amp;F</oddHeader>
    <oddFooter>&amp;R&amp;A</oddFooter>
  </headerFooter>
  <rowBreaks count="1" manualBreakCount="1">
    <brk id="95" max="5" man="1"/>
  </rowBreaks>
  <ignoredErrors>
    <ignoredError sqref="C1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31">
      <selection activeCell="F31" sqref="F1:F1638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501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Oakville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4" t="s">
        <v>272</v>
      </c>
      <c r="B12" s="61"/>
      <c r="C12" s="309"/>
      <c r="D12" s="309"/>
      <c r="E12" s="61"/>
    </row>
    <row r="13" spans="1:5" ht="12.75">
      <c r="A13" s="61"/>
      <c r="B13" s="61"/>
      <c r="C13" s="292"/>
      <c r="D13" s="292"/>
      <c r="E13" s="248">
        <f>C13-D13</f>
        <v>0</v>
      </c>
    </row>
    <row r="14" spans="1:6" ht="12.75">
      <c r="A14" s="61" t="s">
        <v>278</v>
      </c>
      <c r="B14" s="61"/>
      <c r="C14" s="292">
        <v>32068</v>
      </c>
      <c r="D14" s="292"/>
      <c r="E14" s="248">
        <f aca="true" t="shared" si="0" ref="E14:E21">C14-D14</f>
        <v>32068</v>
      </c>
      <c r="F14" s="484"/>
    </row>
    <row r="15" spans="1:5" ht="12.75">
      <c r="A15" s="61" t="s">
        <v>279</v>
      </c>
      <c r="B15" s="61"/>
      <c r="C15" s="292"/>
      <c r="D15" s="292"/>
      <c r="E15" s="248">
        <f t="shared" si="0"/>
        <v>0</v>
      </c>
    </row>
    <row r="16" spans="1:5" ht="12.75">
      <c r="A16" s="61" t="s">
        <v>280</v>
      </c>
      <c r="B16" s="61"/>
      <c r="C16" s="292"/>
      <c r="D16" s="292"/>
      <c r="E16" s="248">
        <f t="shared" si="0"/>
        <v>0</v>
      </c>
    </row>
    <row r="17" spans="1:5" ht="12.75">
      <c r="A17" s="61" t="s">
        <v>281</v>
      </c>
      <c r="B17" s="61"/>
      <c r="C17" s="292"/>
      <c r="D17" s="292"/>
      <c r="E17" s="248">
        <f t="shared" si="0"/>
        <v>0</v>
      </c>
    </row>
    <row r="18" spans="1:5" ht="12.75">
      <c r="A18" s="61" t="s">
        <v>450</v>
      </c>
      <c r="B18" s="61"/>
      <c r="C18" s="292"/>
      <c r="D18" s="292"/>
      <c r="E18" s="248">
        <f t="shared" si="0"/>
        <v>0</v>
      </c>
    </row>
    <row r="19" spans="1:5" ht="12.75">
      <c r="A19" s="61" t="s">
        <v>450</v>
      </c>
      <c r="B19" s="61"/>
      <c r="C19" s="292"/>
      <c r="D19" s="292"/>
      <c r="E19" s="248">
        <f t="shared" si="0"/>
        <v>0</v>
      </c>
    </row>
    <row r="20" spans="1:5" ht="12.75">
      <c r="A20" s="61"/>
      <c r="B20" s="61"/>
      <c r="C20" s="292"/>
      <c r="D20" s="292"/>
      <c r="E20" s="248">
        <f t="shared" si="0"/>
        <v>0</v>
      </c>
    </row>
    <row r="21" spans="1:5" ht="12.75">
      <c r="A21" s="61"/>
      <c r="B21" s="61"/>
      <c r="C21" s="308"/>
      <c r="D21" s="308"/>
      <c r="E21" s="277">
        <f t="shared" si="0"/>
        <v>0</v>
      </c>
    </row>
    <row r="22" spans="1:6" ht="12.75">
      <c r="A22" s="2" t="s">
        <v>180</v>
      </c>
      <c r="C22" s="248">
        <f>SUM(C13:C21)</f>
        <v>32068</v>
      </c>
      <c r="D22" s="248">
        <f>SUM(D13:D21)</f>
        <v>0</v>
      </c>
      <c r="E22" s="248">
        <f>SUM(E13:E21)</f>
        <v>32068</v>
      </c>
      <c r="F22" s="483"/>
    </row>
    <row r="23" spans="1:5" ht="12.75">
      <c r="A23" s="2"/>
      <c r="C23" s="22"/>
      <c r="D23" s="22"/>
      <c r="E23" s="22"/>
    </row>
    <row r="24" spans="1:5" ht="12.75">
      <c r="A24" s="244" t="s">
        <v>271</v>
      </c>
      <c r="B24" s="61"/>
      <c r="C24" s="91"/>
      <c r="D24" s="91"/>
      <c r="E24" s="91"/>
    </row>
    <row r="25" spans="1:5" ht="12.75">
      <c r="A25" s="61"/>
      <c r="B25" s="61"/>
      <c r="C25" s="292"/>
      <c r="D25" s="292"/>
      <c r="E25" s="248">
        <f>C25-D25</f>
        <v>0</v>
      </c>
    </row>
    <row r="26" spans="1:6" ht="12.75">
      <c r="A26" s="61" t="s">
        <v>278</v>
      </c>
      <c r="B26" s="61"/>
      <c r="C26" s="292">
        <v>26536</v>
      </c>
      <c r="D26" s="292"/>
      <c r="E26" s="248">
        <f aca="true" t="shared" si="1" ref="E26:E33">C26-D26</f>
        <v>26536</v>
      </c>
      <c r="F26" s="484"/>
    </row>
    <row r="27" spans="1:5" ht="12.75">
      <c r="A27" s="61" t="s">
        <v>279</v>
      </c>
      <c r="B27" s="61"/>
      <c r="C27" s="292"/>
      <c r="D27" s="292"/>
      <c r="E27" s="248">
        <f t="shared" si="1"/>
        <v>0</v>
      </c>
    </row>
    <row r="28" spans="1:5" ht="12.75">
      <c r="A28" s="61" t="s">
        <v>280</v>
      </c>
      <c r="B28" s="61"/>
      <c r="C28" s="292"/>
      <c r="D28" s="292"/>
      <c r="E28" s="248">
        <f t="shared" si="1"/>
        <v>0</v>
      </c>
    </row>
    <row r="29" spans="1:5" ht="12.75">
      <c r="A29" s="61" t="s">
        <v>281</v>
      </c>
      <c r="B29" s="61"/>
      <c r="C29" s="292"/>
      <c r="D29" s="292"/>
      <c r="E29" s="248">
        <f t="shared" si="1"/>
        <v>0</v>
      </c>
    </row>
    <row r="30" spans="1:5" ht="12.75">
      <c r="A30" s="61" t="s">
        <v>450</v>
      </c>
      <c r="B30" s="61"/>
      <c r="C30" s="292"/>
      <c r="D30" s="292"/>
      <c r="E30" s="248">
        <f t="shared" si="1"/>
        <v>0</v>
      </c>
    </row>
    <row r="31" spans="1:5" ht="12.75">
      <c r="A31" s="61" t="s">
        <v>450</v>
      </c>
      <c r="B31" s="61"/>
      <c r="C31" s="292"/>
      <c r="D31" s="292"/>
      <c r="E31" s="248">
        <f t="shared" si="1"/>
        <v>0</v>
      </c>
    </row>
    <row r="32" spans="1:5" ht="12.75">
      <c r="A32" s="61"/>
      <c r="B32" s="61"/>
      <c r="C32" s="292"/>
      <c r="D32" s="292"/>
      <c r="E32" s="248">
        <f t="shared" si="1"/>
        <v>0</v>
      </c>
    </row>
    <row r="33" spans="1:5" ht="13.5" thickBot="1">
      <c r="A33" s="62"/>
      <c r="B33" s="61"/>
      <c r="C33" s="292"/>
      <c r="D33" s="292"/>
      <c r="E33" s="248">
        <f t="shared" si="1"/>
        <v>0</v>
      </c>
    </row>
    <row r="34" spans="1:5" ht="12.75">
      <c r="A34" s="56" t="s">
        <v>132</v>
      </c>
      <c r="C34" s="22"/>
      <c r="D34" s="22"/>
      <c r="E34" s="277"/>
    </row>
    <row r="35" spans="1:6" ht="12.75">
      <c r="A35" s="2" t="s">
        <v>180</v>
      </c>
      <c r="C35" s="248">
        <f>SUM(C25:C33)</f>
        <v>26536</v>
      </c>
      <c r="D35" s="248">
        <f>SUM(D25:D33)</f>
        <v>0</v>
      </c>
      <c r="E35" s="248">
        <f>SUM(E25:E33)</f>
        <v>26536</v>
      </c>
      <c r="F35" s="483"/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4" t="s">
        <v>272</v>
      </c>
      <c r="B40" s="61"/>
      <c r="C40" s="91"/>
      <c r="D40" s="91"/>
      <c r="E40" s="91"/>
    </row>
    <row r="41" spans="1:5" ht="12.75">
      <c r="A41" s="61"/>
      <c r="B41" s="61"/>
      <c r="C41" s="292"/>
      <c r="D41" s="292"/>
      <c r="E41" s="248">
        <f>C41-D41</f>
        <v>0</v>
      </c>
    </row>
    <row r="42" spans="1:5" ht="12.75">
      <c r="A42" s="61"/>
      <c r="B42" s="61"/>
      <c r="C42" s="292"/>
      <c r="D42" s="292"/>
      <c r="E42" s="248">
        <f aca="true" t="shared" si="2" ref="E42:E49">C42-D42</f>
        <v>0</v>
      </c>
    </row>
    <row r="43" spans="1:5" ht="12.75">
      <c r="A43" s="61" t="s">
        <v>266</v>
      </c>
      <c r="B43" s="61"/>
      <c r="C43" s="292"/>
      <c r="D43" s="292"/>
      <c r="E43" s="248">
        <f t="shared" si="2"/>
        <v>0</v>
      </c>
    </row>
    <row r="44" spans="1:6" ht="12.75">
      <c r="A44" s="61" t="s">
        <v>267</v>
      </c>
      <c r="B44" s="61"/>
      <c r="C44" s="292">
        <v>32068</v>
      </c>
      <c r="D44" s="292"/>
      <c r="E44" s="248">
        <f t="shared" si="2"/>
        <v>32068</v>
      </c>
      <c r="F44" s="484"/>
    </row>
    <row r="45" spans="1:5" ht="12.75">
      <c r="A45" s="61" t="s">
        <v>268</v>
      </c>
      <c r="B45" s="61"/>
      <c r="C45" s="292"/>
      <c r="D45" s="292"/>
      <c r="E45" s="248">
        <f t="shared" si="2"/>
        <v>0</v>
      </c>
    </row>
    <row r="46" spans="1:5" ht="12.75">
      <c r="A46" s="61" t="s">
        <v>269</v>
      </c>
      <c r="B46" s="61"/>
      <c r="C46" s="292"/>
      <c r="D46" s="292"/>
      <c r="E46" s="248">
        <f t="shared" si="2"/>
        <v>0</v>
      </c>
    </row>
    <row r="47" spans="1:6" ht="12.75">
      <c r="A47" s="61" t="s">
        <v>503</v>
      </c>
      <c r="B47" s="61"/>
      <c r="C47" s="292"/>
      <c r="D47" s="292"/>
      <c r="E47" s="248">
        <f t="shared" si="2"/>
        <v>0</v>
      </c>
      <c r="F47" s="484"/>
    </row>
    <row r="48" spans="1:5" ht="12.75">
      <c r="A48" s="61" t="s">
        <v>450</v>
      </c>
      <c r="B48" s="61"/>
      <c r="C48" s="292"/>
      <c r="D48" s="292"/>
      <c r="E48" s="248">
        <f t="shared" si="2"/>
        <v>0</v>
      </c>
    </row>
    <row r="49" spans="1:5" ht="12.75">
      <c r="A49" s="61"/>
      <c r="B49" s="61"/>
      <c r="C49" s="308"/>
      <c r="D49" s="308"/>
      <c r="E49" s="277">
        <f t="shared" si="2"/>
        <v>0</v>
      </c>
    </row>
    <row r="50" spans="1:6" ht="12.75">
      <c r="A50" s="2" t="s">
        <v>180</v>
      </c>
      <c r="C50" s="248">
        <f>SUM(C41:C49)</f>
        <v>32068</v>
      </c>
      <c r="D50" s="248">
        <f>SUM(D41:D49)</f>
        <v>0</v>
      </c>
      <c r="E50" s="248">
        <f>SUM(E41:E49)</f>
        <v>32068</v>
      </c>
      <c r="F50" s="483"/>
    </row>
    <row r="51" spans="3:5" ht="12.75">
      <c r="C51" s="22"/>
      <c r="D51" s="22"/>
      <c r="E51" s="22"/>
    </row>
    <row r="52" spans="1:5" ht="12.75">
      <c r="A52" s="244" t="s">
        <v>271</v>
      </c>
      <c r="B52" s="61"/>
      <c r="C52" s="91"/>
      <c r="D52" s="91"/>
      <c r="E52" s="91"/>
    </row>
    <row r="53" spans="1:5" ht="12.75">
      <c r="A53" s="61"/>
      <c r="B53" s="61"/>
      <c r="C53" s="292"/>
      <c r="D53" s="292"/>
      <c r="E53" s="248">
        <f>C53-D53</f>
        <v>0</v>
      </c>
    </row>
    <row r="54" spans="1:5" ht="12.75">
      <c r="A54" s="243"/>
      <c r="B54" s="61"/>
      <c r="C54" s="292"/>
      <c r="D54" s="292"/>
      <c r="E54" s="248">
        <f aca="true" t="shared" si="3" ref="E54:E61">C54-D54</f>
        <v>0</v>
      </c>
    </row>
    <row r="55" spans="1:5" ht="12.75">
      <c r="A55" s="243" t="s">
        <v>266</v>
      </c>
      <c r="B55" s="61"/>
      <c r="C55" s="292"/>
      <c r="D55" s="292"/>
      <c r="E55" s="248">
        <f t="shared" si="3"/>
        <v>0</v>
      </c>
    </row>
    <row r="56" spans="1:6" ht="12.75">
      <c r="A56" s="243" t="s">
        <v>267</v>
      </c>
      <c r="B56" s="61"/>
      <c r="C56" s="292">
        <v>26536</v>
      </c>
      <c r="D56" s="292"/>
      <c r="E56" s="248">
        <f t="shared" si="3"/>
        <v>26536</v>
      </c>
      <c r="F56" s="484"/>
    </row>
    <row r="57" spans="1:5" ht="12.75">
      <c r="A57" s="243" t="s">
        <v>268</v>
      </c>
      <c r="B57" s="61"/>
      <c r="C57" s="292"/>
      <c r="D57" s="292"/>
      <c r="E57" s="248">
        <f t="shared" si="3"/>
        <v>0</v>
      </c>
    </row>
    <row r="58" spans="1:5" ht="12.75">
      <c r="A58" s="243" t="s">
        <v>269</v>
      </c>
      <c r="B58" s="61"/>
      <c r="C58" s="292"/>
      <c r="D58" s="292"/>
      <c r="E58" s="248">
        <f t="shared" si="3"/>
        <v>0</v>
      </c>
    </row>
    <row r="59" spans="1:6" ht="12.75">
      <c r="A59" s="61" t="s">
        <v>503</v>
      </c>
      <c r="B59" s="61"/>
      <c r="C59" s="292"/>
      <c r="D59" s="292"/>
      <c r="E59" s="248">
        <f t="shared" si="3"/>
        <v>0</v>
      </c>
      <c r="F59" s="484"/>
    </row>
    <row r="60" spans="1:5" ht="12.75">
      <c r="A60" s="61" t="s">
        <v>450</v>
      </c>
      <c r="B60" s="61"/>
      <c r="C60" s="292"/>
      <c r="D60" s="292"/>
      <c r="E60" s="248">
        <f t="shared" si="3"/>
        <v>0</v>
      </c>
    </row>
    <row r="61" spans="1:5" ht="13.5" thickBot="1">
      <c r="A61" s="62"/>
      <c r="B61" s="61"/>
      <c r="C61" s="292"/>
      <c r="D61" s="292"/>
      <c r="E61" s="248">
        <f t="shared" si="3"/>
        <v>0</v>
      </c>
    </row>
    <row r="62" spans="1:6" ht="12.75">
      <c r="A62" s="56" t="s">
        <v>132</v>
      </c>
      <c r="C62" s="22"/>
      <c r="D62" s="22"/>
      <c r="E62" s="277"/>
      <c r="F62" s="483"/>
    </row>
    <row r="63" spans="1:6" ht="12.75">
      <c r="A63" s="2" t="s">
        <v>180</v>
      </c>
      <c r="C63" s="248">
        <f>SUM(C53:C61)</f>
        <v>26536</v>
      </c>
      <c r="D63" s="248">
        <f>SUM(D53:D61)</f>
        <v>0</v>
      </c>
      <c r="E63" s="248">
        <f>SUM(E53:E61)</f>
        <v>26536</v>
      </c>
      <c r="F63" s="483"/>
    </row>
  </sheetData>
  <sheetProtection/>
  <printOptions gridLines="1" headings="1"/>
  <pageMargins left="0.7480314960629921" right="0.2362204724409449" top="0.63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4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spans="1:5" ht="12.75">
      <c r="A1" t="s">
        <v>501</v>
      </c>
      <c r="E1" s="92"/>
    </row>
    <row r="2" spans="1:6" ht="12.75">
      <c r="A2" s="1" t="str">
        <f>REGINFO!A1</f>
        <v>PILs TAXES - EB-2011-0189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2" t="s">
        <v>467</v>
      </c>
      <c r="B5" s="8"/>
      <c r="C5" s="8" t="s">
        <v>2</v>
      </c>
      <c r="D5" s="8"/>
      <c r="E5" s="8"/>
      <c r="F5" s="8"/>
    </row>
    <row r="6" spans="1:6" ht="12.75">
      <c r="A6" s="412" t="s">
        <v>447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Oakville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9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0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3"/>
      <c r="D17" s="293"/>
      <c r="E17" s="310">
        <f>C17-D17</f>
        <v>0</v>
      </c>
    </row>
    <row r="18" spans="1:5" ht="12.75">
      <c r="A18" s="67" t="s">
        <v>252</v>
      </c>
      <c r="B18" t="s">
        <v>187</v>
      </c>
      <c r="C18" s="293"/>
      <c r="D18" s="293"/>
      <c r="E18" s="310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3"/>
      <c r="D19" s="293"/>
      <c r="E19" s="310">
        <f t="shared" si="0"/>
        <v>0</v>
      </c>
    </row>
    <row r="20" spans="1:5" ht="12.75">
      <c r="A20" s="67" t="s">
        <v>451</v>
      </c>
      <c r="B20" t="s">
        <v>187</v>
      </c>
      <c r="C20" s="293"/>
      <c r="D20" s="311"/>
      <c r="E20" s="310">
        <f t="shared" si="0"/>
        <v>0</v>
      </c>
    </row>
    <row r="21" spans="1:5" ht="12.75">
      <c r="A21" s="67" t="s">
        <v>8</v>
      </c>
      <c r="B21" t="s">
        <v>187</v>
      </c>
      <c r="C21" s="293"/>
      <c r="D21" s="293"/>
      <c r="E21" s="310">
        <f t="shared" si="0"/>
        <v>0</v>
      </c>
    </row>
    <row r="22" spans="1:5" ht="12.75">
      <c r="A22" s="67"/>
      <c r="B22" t="s">
        <v>187</v>
      </c>
      <c r="C22" s="293"/>
      <c r="D22" s="293"/>
      <c r="E22" s="310">
        <f t="shared" si="0"/>
        <v>0</v>
      </c>
    </row>
    <row r="23" spans="1:5" ht="12.75">
      <c r="A23" s="67" t="s">
        <v>137</v>
      </c>
      <c r="B23" t="s">
        <v>187</v>
      </c>
      <c r="C23" s="293"/>
      <c r="D23" s="293"/>
      <c r="E23" s="310">
        <f t="shared" si="0"/>
        <v>0</v>
      </c>
    </row>
    <row r="24" spans="1:5" ht="12.75">
      <c r="A24" s="67" t="s">
        <v>138</v>
      </c>
      <c r="B24" t="s">
        <v>187</v>
      </c>
      <c r="C24" s="293"/>
      <c r="D24" s="293"/>
      <c r="E24" s="310">
        <f t="shared" si="0"/>
        <v>0</v>
      </c>
    </row>
    <row r="25" spans="1:5" ht="12.75">
      <c r="A25" s="67" t="s">
        <v>9</v>
      </c>
      <c r="B25" t="s">
        <v>187</v>
      </c>
      <c r="C25" s="293"/>
      <c r="D25" s="293"/>
      <c r="E25" s="310">
        <f t="shared" si="0"/>
        <v>0</v>
      </c>
    </row>
    <row r="26" spans="1:5" ht="12.75">
      <c r="A26" s="67" t="s">
        <v>191</v>
      </c>
      <c r="B26" t="s">
        <v>187</v>
      </c>
      <c r="C26" s="293"/>
      <c r="D26" s="293"/>
      <c r="E26" s="310">
        <f t="shared" si="0"/>
        <v>0</v>
      </c>
    </row>
    <row r="27" spans="1:5" ht="12.75">
      <c r="A27" s="67" t="s">
        <v>7</v>
      </c>
      <c r="B27" t="s">
        <v>187</v>
      </c>
      <c r="C27" s="293"/>
      <c r="D27" s="293"/>
      <c r="E27" s="310">
        <f t="shared" si="0"/>
        <v>0</v>
      </c>
    </row>
    <row r="28" spans="1:5" ht="12.75">
      <c r="A28" s="67" t="s">
        <v>124</v>
      </c>
      <c r="B28" t="s">
        <v>187</v>
      </c>
      <c r="C28" s="293"/>
      <c r="D28" s="293"/>
      <c r="E28" s="310">
        <f t="shared" si="0"/>
        <v>0</v>
      </c>
    </row>
    <row r="29" spans="1:5" ht="12.75">
      <c r="A29" s="67" t="s">
        <v>139</v>
      </c>
      <c r="B29" t="s">
        <v>187</v>
      </c>
      <c r="C29" s="293"/>
      <c r="D29" s="293"/>
      <c r="E29" s="310">
        <f t="shared" si="0"/>
        <v>0</v>
      </c>
    </row>
    <row r="30" spans="1:5" ht="12.75">
      <c r="A30" s="67" t="s">
        <v>140</v>
      </c>
      <c r="B30" t="s">
        <v>187</v>
      </c>
      <c r="C30" s="293"/>
      <c r="D30" s="293"/>
      <c r="E30" s="310">
        <f t="shared" si="0"/>
        <v>0</v>
      </c>
    </row>
    <row r="31" spans="1:5" ht="12.75">
      <c r="A31" s="67" t="s">
        <v>253</v>
      </c>
      <c r="B31" t="s">
        <v>187</v>
      </c>
      <c r="C31" s="293"/>
      <c r="D31" s="293"/>
      <c r="E31" s="310">
        <f t="shared" si="0"/>
        <v>0</v>
      </c>
    </row>
    <row r="32" spans="1:5" ht="12.75">
      <c r="A32" s="67" t="s">
        <v>141</v>
      </c>
      <c r="B32" t="s">
        <v>187</v>
      </c>
      <c r="C32" s="293"/>
      <c r="D32" s="293"/>
      <c r="E32" s="310">
        <f t="shared" si="0"/>
        <v>0</v>
      </c>
    </row>
    <row r="33" spans="1:5" ht="12.75">
      <c r="A33" s="67" t="s">
        <v>142</v>
      </c>
      <c r="B33" t="s">
        <v>187</v>
      </c>
      <c r="C33" s="293"/>
      <c r="D33" s="293"/>
      <c r="E33" s="310">
        <f t="shared" si="0"/>
        <v>0</v>
      </c>
    </row>
    <row r="34" spans="1:5" ht="12.75">
      <c r="A34" s="67" t="s">
        <v>143</v>
      </c>
      <c r="B34" t="s">
        <v>187</v>
      </c>
      <c r="C34" s="293"/>
      <c r="D34" s="293"/>
      <c r="E34" s="310">
        <f t="shared" si="0"/>
        <v>0</v>
      </c>
    </row>
    <row r="35" spans="1:5" ht="12.75">
      <c r="A35" s="67" t="s">
        <v>193</v>
      </c>
      <c r="B35" t="s">
        <v>187</v>
      </c>
      <c r="C35" s="293"/>
      <c r="D35" s="293"/>
      <c r="E35" s="310">
        <f t="shared" si="0"/>
        <v>0</v>
      </c>
    </row>
    <row r="36" spans="1:5" ht="12.75">
      <c r="A36" s="67" t="s">
        <v>478</v>
      </c>
      <c r="B36" t="s">
        <v>187</v>
      </c>
      <c r="C36" s="293"/>
      <c r="D36" s="293"/>
      <c r="E36" s="310">
        <f t="shared" si="0"/>
        <v>0</v>
      </c>
    </row>
    <row r="37" spans="1:5" ht="12.75">
      <c r="A37" s="67"/>
      <c r="B37" t="s">
        <v>187</v>
      </c>
      <c r="C37" s="293"/>
      <c r="D37" s="293"/>
      <c r="E37" s="310">
        <f t="shared" si="0"/>
        <v>0</v>
      </c>
    </row>
    <row r="38" spans="2:5" ht="12.75">
      <c r="B38" t="s">
        <v>187</v>
      </c>
      <c r="C38" s="293"/>
      <c r="D38" s="293"/>
      <c r="E38" s="248">
        <f t="shared" si="0"/>
        <v>0</v>
      </c>
    </row>
    <row r="39" spans="2:5" ht="12.75">
      <c r="B39" t="s">
        <v>187</v>
      </c>
      <c r="C39" s="292"/>
      <c r="D39" s="293"/>
      <c r="E39" s="248">
        <f t="shared" si="0"/>
        <v>0</v>
      </c>
    </row>
    <row r="40" spans="1:5" ht="12.75">
      <c r="A40" s="68" t="s">
        <v>204</v>
      </c>
      <c r="B40" t="s">
        <v>187</v>
      </c>
      <c r="C40" s="292"/>
      <c r="D40" s="292"/>
      <c r="E40" s="248">
        <f t="shared" si="0"/>
        <v>0</v>
      </c>
    </row>
    <row r="41" spans="1:5" ht="12.75">
      <c r="A41" s="67"/>
      <c r="B41" t="s">
        <v>187</v>
      </c>
      <c r="C41" s="292"/>
      <c r="D41" s="292"/>
      <c r="E41" s="248">
        <f t="shared" si="0"/>
        <v>0</v>
      </c>
    </row>
    <row r="42" spans="1:5" ht="12.75">
      <c r="A42" s="67"/>
      <c r="B42" t="s">
        <v>187</v>
      </c>
      <c r="C42" s="292"/>
      <c r="D42" s="292"/>
      <c r="E42" s="248">
        <f t="shared" si="0"/>
        <v>0</v>
      </c>
    </row>
    <row r="43" spans="1:5" ht="12.75">
      <c r="A43" s="67"/>
      <c r="B43" t="s">
        <v>187</v>
      </c>
      <c r="C43" s="292"/>
      <c r="D43" s="292"/>
      <c r="E43" s="248">
        <f t="shared" si="0"/>
        <v>0</v>
      </c>
    </row>
    <row r="44" spans="1:5" ht="12.75">
      <c r="A44" s="67"/>
      <c r="B44" t="s">
        <v>187</v>
      </c>
      <c r="C44" s="292"/>
      <c r="D44" s="292"/>
      <c r="E44" s="248">
        <f t="shared" si="0"/>
        <v>0</v>
      </c>
    </row>
    <row r="45" spans="1:5" ht="12.75">
      <c r="A45" s="67"/>
      <c r="B45" t="s">
        <v>187</v>
      </c>
      <c r="C45" s="292"/>
      <c r="D45" s="292"/>
      <c r="E45" s="277"/>
    </row>
    <row r="46" spans="1:5" ht="12.75">
      <c r="A46" s="70" t="s">
        <v>170</v>
      </c>
      <c r="B46" t="s">
        <v>189</v>
      </c>
      <c r="C46" s="248">
        <f>SUM(C17:C45)</f>
        <v>0</v>
      </c>
      <c r="D46" s="248">
        <f>SUM(D17:D45)</f>
        <v>0</v>
      </c>
      <c r="E46" s="248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3" t="str">
        <f>IF($E17&gt;$C$11,A17," ")</f>
        <v> </v>
      </c>
      <c r="B49" s="271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3" t="str">
        <f>IF($E18&gt;$C$11,A18," ")</f>
        <v> </v>
      </c>
      <c r="B50" s="271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3" t="str">
        <f>IF($E19&gt;$C$11,#REF!," ")</f>
        <v> </v>
      </c>
      <c r="B51" s="271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3" t="str">
        <f>IF($E20&gt;$C$11,#REF!," ")</f>
        <v> </v>
      </c>
      <c r="B52" s="271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3" t="str">
        <f t="shared" si="2"/>
        <v> </v>
      </c>
      <c r="B54" s="271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3" t="str">
        <f t="shared" si="2"/>
        <v> </v>
      </c>
      <c r="B55" s="271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3" t="str">
        <f t="shared" si="2"/>
        <v> </v>
      </c>
      <c r="B56" s="271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3" t="str">
        <f t="shared" si="2"/>
        <v> </v>
      </c>
      <c r="B57" s="271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3" t="str">
        <f t="shared" si="2"/>
        <v> </v>
      </c>
      <c r="B58" s="271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3" t="str">
        <f t="shared" si="2"/>
        <v> </v>
      </c>
      <c r="B59" s="271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3" t="str">
        <f>IF($E28&gt;$C$11,A28," ")</f>
        <v> </v>
      </c>
      <c r="B60" s="271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3" t="str">
        <f>IF($E29&gt;$C$11,#REF!," ")</f>
        <v> </v>
      </c>
      <c r="B61" s="271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3" t="str">
        <f>IF($E30&gt;$C$11,#REF!," ")</f>
        <v> </v>
      </c>
      <c r="B62" s="271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3" t="str">
        <f>IF($E31&gt;$C$11,A26," ")</f>
        <v> </v>
      </c>
      <c r="B63" s="271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3" t="str">
        <f>IF($E33&gt;$C$11,#REF!," ")</f>
        <v> </v>
      </c>
      <c r="B64" s="271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3" t="str">
        <f>IF($E34&gt;$C$11,#REF!," ")</f>
        <v> </v>
      </c>
      <c r="B65" s="271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3" t="str">
        <f>IF($E35&gt;$C$11,#REF!," ")</f>
        <v> </v>
      </c>
      <c r="B66" s="271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3" t="str">
        <f>IF($E36&gt;$C$11,A36," ")</f>
        <v> </v>
      </c>
      <c r="B67" s="271"/>
      <c r="C67" s="248">
        <f t="shared" si="3"/>
        <v>0</v>
      </c>
      <c r="D67" s="248">
        <f t="shared" si="3"/>
        <v>0</v>
      </c>
      <c r="E67" s="248">
        <f t="shared" si="3"/>
        <v>0</v>
      </c>
    </row>
    <row r="68" spans="1:5" ht="12.75">
      <c r="A68" s="273" t="str">
        <f>IF($E37&gt;$C$11,A37," ")</f>
        <v> </v>
      </c>
      <c r="B68" s="271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3" t="str">
        <f>IF($E38&gt;$C$11,A29," ")</f>
        <v> </v>
      </c>
      <c r="B69" s="271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3" t="str">
        <f>IF($E39&gt;$C$11,A35," ")</f>
        <v> </v>
      </c>
      <c r="B70" s="271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8">
        <f t="shared" si="3"/>
        <v>0</v>
      </c>
      <c r="D71" s="248">
        <f t="shared" si="3"/>
        <v>0</v>
      </c>
      <c r="E71" s="248">
        <f t="shared" si="3"/>
        <v>0</v>
      </c>
    </row>
    <row r="72" spans="1:5" ht="12.75">
      <c r="A72" s="273" t="str">
        <f t="shared" si="4"/>
        <v> </v>
      </c>
      <c r="B72" s="271"/>
      <c r="C72" s="248">
        <f t="shared" si="3"/>
        <v>0</v>
      </c>
      <c r="D72" s="248">
        <f t="shared" si="3"/>
        <v>0</v>
      </c>
      <c r="E72" s="248">
        <f t="shared" si="3"/>
        <v>0</v>
      </c>
    </row>
    <row r="73" spans="1:5" ht="12.75">
      <c r="A73" s="273" t="str">
        <f t="shared" si="4"/>
        <v> </v>
      </c>
      <c r="B73" s="271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3" t="str">
        <f t="shared" si="4"/>
        <v> </v>
      </c>
      <c r="B74" s="271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3" t="str">
        <f t="shared" si="4"/>
        <v> </v>
      </c>
      <c r="B75" s="271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3" t="str">
        <f t="shared" si="4"/>
        <v> </v>
      </c>
      <c r="B76" s="272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4" t="s">
        <v>144</v>
      </c>
      <c r="B77" s="271"/>
      <c r="C77" s="248">
        <f>SUM(C49:C75)</f>
        <v>0</v>
      </c>
      <c r="D77" s="248">
        <f>SUM(D49:D75)</f>
        <v>0</v>
      </c>
      <c r="E77" s="248">
        <f>SUM(E49:E75)</f>
        <v>0</v>
      </c>
    </row>
    <row r="78" spans="1:5" ht="12.75">
      <c r="A78" s="274" t="s">
        <v>203</v>
      </c>
      <c r="B78" s="275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4" t="s">
        <v>170</v>
      </c>
      <c r="B79" s="275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2"/>
      <c r="D82" s="292"/>
      <c r="E82" s="248">
        <f>C82-D82</f>
        <v>0</v>
      </c>
    </row>
    <row r="83" spans="1:5" ht="12.75">
      <c r="A83" s="71" t="s">
        <v>152</v>
      </c>
      <c r="B83" s="8" t="s">
        <v>188</v>
      </c>
      <c r="C83" s="292"/>
      <c r="D83" s="292"/>
      <c r="E83" s="248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2"/>
      <c r="D84" s="292"/>
      <c r="E84" s="248">
        <f t="shared" si="5"/>
        <v>0</v>
      </c>
    </row>
    <row r="85" spans="1:5" ht="12.75">
      <c r="A85" s="71" t="s">
        <v>254</v>
      </c>
      <c r="B85" s="8" t="s">
        <v>188</v>
      </c>
      <c r="C85" s="292"/>
      <c r="D85" s="292"/>
      <c r="E85" s="248">
        <f t="shared" si="5"/>
        <v>0</v>
      </c>
    </row>
    <row r="86" spans="1:5" ht="12.75">
      <c r="A86" s="67" t="s">
        <v>194</v>
      </c>
      <c r="B86" s="8" t="s">
        <v>188</v>
      </c>
      <c r="C86" s="292"/>
      <c r="D86" s="292"/>
      <c r="E86" s="248">
        <f t="shared" si="5"/>
        <v>0</v>
      </c>
    </row>
    <row r="87" spans="1:5" ht="12.75">
      <c r="A87" s="67" t="s">
        <v>378</v>
      </c>
      <c r="B87" s="8" t="s">
        <v>188</v>
      </c>
      <c r="C87" s="292"/>
      <c r="D87" s="292"/>
      <c r="E87" s="248">
        <f t="shared" si="5"/>
        <v>0</v>
      </c>
    </row>
    <row r="88" spans="1:5" ht="12.75">
      <c r="A88" s="67" t="s">
        <v>195</v>
      </c>
      <c r="B88" s="8" t="s">
        <v>188</v>
      </c>
      <c r="C88" s="292"/>
      <c r="D88" s="292"/>
      <c r="E88" s="248">
        <f t="shared" si="5"/>
        <v>0</v>
      </c>
    </row>
    <row r="89" spans="1:5" ht="12.75">
      <c r="A89" s="67" t="s">
        <v>167</v>
      </c>
      <c r="B89" s="8" t="s">
        <v>188</v>
      </c>
      <c r="C89" s="292"/>
      <c r="D89" s="292"/>
      <c r="E89" s="248">
        <f t="shared" si="5"/>
        <v>0</v>
      </c>
    </row>
    <row r="90" spans="1:5" ht="12.75">
      <c r="A90" s="67" t="s">
        <v>168</v>
      </c>
      <c r="B90" s="8" t="s">
        <v>188</v>
      </c>
      <c r="C90" s="292"/>
      <c r="D90" s="292"/>
      <c r="E90" s="248">
        <f t="shared" si="5"/>
        <v>0</v>
      </c>
    </row>
    <row r="91" spans="1:5" ht="12.75">
      <c r="A91" s="67" t="s">
        <v>169</v>
      </c>
      <c r="B91" s="8" t="s">
        <v>188</v>
      </c>
      <c r="C91" s="292"/>
      <c r="D91" s="292"/>
      <c r="E91" s="248">
        <f t="shared" si="5"/>
        <v>0</v>
      </c>
    </row>
    <row r="92" spans="2:5" ht="12.75">
      <c r="B92" s="8" t="s">
        <v>188</v>
      </c>
      <c r="C92" s="292"/>
      <c r="D92" s="292"/>
      <c r="E92" s="248"/>
    </row>
    <row r="93" spans="1:5" ht="12.75">
      <c r="A93" s="67"/>
      <c r="B93" s="8" t="s">
        <v>188</v>
      </c>
      <c r="C93" s="292"/>
      <c r="D93" s="292"/>
      <c r="E93" s="248">
        <f t="shared" si="5"/>
        <v>0</v>
      </c>
    </row>
    <row r="94" spans="1:5" ht="12.75">
      <c r="A94" s="67"/>
      <c r="B94" s="8" t="s">
        <v>188</v>
      </c>
      <c r="C94" s="292"/>
      <c r="D94" s="292"/>
      <c r="E94" s="248">
        <f t="shared" si="5"/>
        <v>0</v>
      </c>
    </row>
    <row r="95" spans="1:5" ht="12.75">
      <c r="A95" s="68" t="s">
        <v>205</v>
      </c>
      <c r="B95" s="8" t="s">
        <v>188</v>
      </c>
      <c r="C95" s="292"/>
      <c r="D95" s="292"/>
      <c r="E95" s="248">
        <f t="shared" si="5"/>
        <v>0</v>
      </c>
    </row>
    <row r="96" spans="1:5" ht="12.75">
      <c r="A96" s="67"/>
      <c r="B96" s="8" t="s">
        <v>188</v>
      </c>
      <c r="C96" s="292"/>
      <c r="D96" s="292"/>
      <c r="E96" s="248">
        <f t="shared" si="5"/>
        <v>0</v>
      </c>
    </row>
    <row r="97" spans="1:5" ht="12.75">
      <c r="A97" s="67"/>
      <c r="B97" s="8" t="s">
        <v>188</v>
      </c>
      <c r="C97" s="292"/>
      <c r="D97" s="292"/>
      <c r="E97" s="248">
        <f t="shared" si="5"/>
        <v>0</v>
      </c>
    </row>
    <row r="98" spans="1:5" ht="12.75">
      <c r="A98" s="67"/>
      <c r="B98" s="8" t="s">
        <v>188</v>
      </c>
      <c r="C98" s="292"/>
      <c r="D98" s="292"/>
      <c r="E98" s="248">
        <f t="shared" si="5"/>
        <v>0</v>
      </c>
    </row>
    <row r="99" spans="1:5" ht="12.75">
      <c r="A99" s="67" t="s">
        <v>171</v>
      </c>
      <c r="B99" s="8" t="s">
        <v>189</v>
      </c>
      <c r="C99" s="248">
        <f>SUM(C82:C98)</f>
        <v>0</v>
      </c>
      <c r="D99" s="248">
        <f>SUM(D82:D98)</f>
        <v>0</v>
      </c>
      <c r="E99" s="248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3" t="str">
        <f aca="true" t="shared" si="6" ref="A102:A111">IF($E82&gt;$C$11,A82," ")</f>
        <v> </v>
      </c>
      <c r="B102" s="271"/>
      <c r="C102" s="248">
        <f aca="true" t="shared" si="7" ref="C102:E118">IF($E82&gt;$C$11,C82,)</f>
        <v>0</v>
      </c>
      <c r="D102" s="248">
        <f t="shared" si="7"/>
        <v>0</v>
      </c>
      <c r="E102" s="248">
        <f t="shared" si="7"/>
        <v>0</v>
      </c>
    </row>
    <row r="103" spans="1:5" ht="12.75">
      <c r="A103" s="273" t="str">
        <f t="shared" si="6"/>
        <v> </v>
      </c>
      <c r="B103" s="271"/>
      <c r="C103" s="248">
        <f t="shared" si="7"/>
        <v>0</v>
      </c>
      <c r="D103" s="248">
        <f t="shared" si="7"/>
        <v>0</v>
      </c>
      <c r="E103" s="248">
        <f t="shared" si="7"/>
        <v>0</v>
      </c>
    </row>
    <row r="104" spans="1:5" ht="12.75">
      <c r="A104" s="273" t="str">
        <f t="shared" si="6"/>
        <v> </v>
      </c>
      <c r="B104" s="271"/>
      <c r="C104" s="248">
        <f t="shared" si="7"/>
        <v>0</v>
      </c>
      <c r="D104" s="248">
        <f t="shared" si="7"/>
        <v>0</v>
      </c>
      <c r="E104" s="248">
        <f t="shared" si="7"/>
        <v>0</v>
      </c>
    </row>
    <row r="105" spans="1:5" ht="12.75">
      <c r="A105" s="273" t="str">
        <f t="shared" si="6"/>
        <v> </v>
      </c>
      <c r="B105" s="271"/>
      <c r="C105" s="248">
        <f t="shared" si="7"/>
        <v>0</v>
      </c>
      <c r="D105" s="248">
        <f t="shared" si="7"/>
        <v>0</v>
      </c>
      <c r="E105" s="248">
        <f t="shared" si="7"/>
        <v>0</v>
      </c>
    </row>
    <row r="106" spans="1:5" ht="12.75">
      <c r="A106" s="273" t="str">
        <f t="shared" si="6"/>
        <v> </v>
      </c>
      <c r="B106" s="271"/>
      <c r="C106" s="248">
        <f t="shared" si="7"/>
        <v>0</v>
      </c>
      <c r="D106" s="248">
        <f t="shared" si="7"/>
        <v>0</v>
      </c>
      <c r="E106" s="248">
        <f t="shared" si="7"/>
        <v>0</v>
      </c>
    </row>
    <row r="107" spans="1:5" ht="12.75">
      <c r="A107" s="273" t="str">
        <f t="shared" si="6"/>
        <v> </v>
      </c>
      <c r="B107" s="271"/>
      <c r="C107" s="248">
        <f t="shared" si="7"/>
        <v>0</v>
      </c>
      <c r="D107" s="248">
        <f t="shared" si="7"/>
        <v>0</v>
      </c>
      <c r="E107" s="248">
        <f t="shared" si="7"/>
        <v>0</v>
      </c>
    </row>
    <row r="108" spans="1:5" ht="12.75">
      <c r="A108" s="273" t="str">
        <f t="shared" si="6"/>
        <v> </v>
      </c>
      <c r="B108" s="271"/>
      <c r="C108" s="248">
        <f t="shared" si="7"/>
        <v>0</v>
      </c>
      <c r="D108" s="248">
        <f t="shared" si="7"/>
        <v>0</v>
      </c>
      <c r="E108" s="248">
        <f t="shared" si="7"/>
        <v>0</v>
      </c>
    </row>
    <row r="109" spans="1:5" ht="12.75">
      <c r="A109" s="273" t="str">
        <f t="shared" si="6"/>
        <v> </v>
      </c>
      <c r="B109" s="271"/>
      <c r="C109" s="248">
        <f t="shared" si="7"/>
        <v>0</v>
      </c>
      <c r="D109" s="248">
        <f t="shared" si="7"/>
        <v>0</v>
      </c>
      <c r="E109" s="248">
        <f t="shared" si="7"/>
        <v>0</v>
      </c>
    </row>
    <row r="110" spans="1:5" ht="12.75">
      <c r="A110" s="273" t="str">
        <f t="shared" si="6"/>
        <v> </v>
      </c>
      <c r="B110" s="271"/>
      <c r="C110" s="248">
        <f t="shared" si="7"/>
        <v>0</v>
      </c>
      <c r="D110" s="248">
        <f t="shared" si="7"/>
        <v>0</v>
      </c>
      <c r="E110" s="248">
        <f t="shared" si="7"/>
        <v>0</v>
      </c>
    </row>
    <row r="111" spans="1:5" ht="12.75">
      <c r="A111" s="273" t="str">
        <f t="shared" si="6"/>
        <v> </v>
      </c>
      <c r="B111" s="271"/>
      <c r="C111" s="248">
        <f t="shared" si="7"/>
        <v>0</v>
      </c>
      <c r="D111" s="248">
        <f t="shared" si="7"/>
        <v>0</v>
      </c>
      <c r="E111" s="248">
        <f t="shared" si="7"/>
        <v>0</v>
      </c>
    </row>
    <row r="112" spans="1:5" ht="12.75">
      <c r="A112" s="273" t="str">
        <f>IF($E92&gt;$C$11,A95," ")</f>
        <v> </v>
      </c>
      <c r="B112" s="271"/>
      <c r="C112" s="248">
        <f t="shared" si="7"/>
        <v>0</v>
      </c>
      <c r="D112" s="248">
        <f t="shared" si="7"/>
        <v>0</v>
      </c>
      <c r="E112" s="248">
        <f t="shared" si="7"/>
        <v>0</v>
      </c>
    </row>
    <row r="113" spans="1:5" ht="12.75">
      <c r="A113" s="273" t="str">
        <f>IF($E93&gt;$C$11,#REF!," ")</f>
        <v> </v>
      </c>
      <c r="B113" s="271"/>
      <c r="C113" s="248">
        <f t="shared" si="7"/>
        <v>0</v>
      </c>
      <c r="D113" s="248">
        <f t="shared" si="7"/>
        <v>0</v>
      </c>
      <c r="E113" s="248">
        <f t="shared" si="7"/>
        <v>0</v>
      </c>
    </row>
    <row r="114" spans="1:5" ht="12.75">
      <c r="A114" s="273" t="str">
        <f>IF($E94&gt;$C$11,A94," ")</f>
        <v> </v>
      </c>
      <c r="B114" s="271"/>
      <c r="C114" s="248">
        <f t="shared" si="7"/>
        <v>0</v>
      </c>
      <c r="D114" s="248">
        <f t="shared" si="7"/>
        <v>0</v>
      </c>
      <c r="E114" s="248">
        <f t="shared" si="7"/>
        <v>0</v>
      </c>
    </row>
    <row r="115" spans="1:5" ht="12.75">
      <c r="A115" s="273" t="str">
        <f>IF($E95&gt;$C$11,A93," ")</f>
        <v> </v>
      </c>
      <c r="B115" s="271"/>
      <c r="C115" s="248">
        <f t="shared" si="7"/>
        <v>0</v>
      </c>
      <c r="D115" s="248">
        <f t="shared" si="7"/>
        <v>0</v>
      </c>
      <c r="E115" s="248">
        <f t="shared" si="7"/>
        <v>0</v>
      </c>
    </row>
    <row r="116" spans="1:5" ht="12.75">
      <c r="A116" s="273" t="str">
        <f>IF($E96&gt;$C$11,A96," ")</f>
        <v> </v>
      </c>
      <c r="B116" s="271"/>
      <c r="C116" s="248">
        <f t="shared" si="7"/>
        <v>0</v>
      </c>
      <c r="D116" s="248">
        <f t="shared" si="7"/>
        <v>0</v>
      </c>
      <c r="E116" s="248">
        <f t="shared" si="7"/>
        <v>0</v>
      </c>
    </row>
    <row r="117" spans="1:5" ht="12.75">
      <c r="A117" s="273" t="str">
        <f>IF($E97&gt;$C$11,A97," ")</f>
        <v> </v>
      </c>
      <c r="B117" s="271"/>
      <c r="C117" s="248">
        <f t="shared" si="7"/>
        <v>0</v>
      </c>
      <c r="D117" s="248">
        <f t="shared" si="7"/>
        <v>0</v>
      </c>
      <c r="E117" s="248">
        <f t="shared" si="7"/>
        <v>0</v>
      </c>
    </row>
    <row r="118" spans="1:5" ht="12.75">
      <c r="A118" s="273" t="str">
        <f>IF($E98&gt;$C$11,A98," ")</f>
        <v> </v>
      </c>
      <c r="B118" s="271"/>
      <c r="C118" s="248">
        <f t="shared" si="7"/>
        <v>0</v>
      </c>
      <c r="D118" s="248">
        <f t="shared" si="7"/>
        <v>0</v>
      </c>
      <c r="E118" s="248">
        <f t="shared" si="7"/>
        <v>0</v>
      </c>
    </row>
    <row r="119" spans="1:5" ht="12.75">
      <c r="A119" s="276" t="s">
        <v>202</v>
      </c>
      <c r="B119" s="271"/>
      <c r="C119" s="248">
        <f>SUM(C102:C118)</f>
        <v>0</v>
      </c>
      <c r="D119" s="248">
        <f>SUM(D102:D118)</f>
        <v>0</v>
      </c>
      <c r="E119" s="248">
        <f>SUM(E102:E118)</f>
        <v>0</v>
      </c>
    </row>
    <row r="120" spans="1:5" ht="12.75">
      <c r="A120" s="276" t="s">
        <v>201</v>
      </c>
      <c r="B120" s="271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6" t="s">
        <v>171</v>
      </c>
      <c r="B121" s="271"/>
      <c r="C121" s="248">
        <f>C119+C120</f>
        <v>0</v>
      </c>
      <c r="D121" s="248">
        <f>D119+D120</f>
        <v>0</v>
      </c>
      <c r="E121" s="248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3" bottom="0.2362204724409449" header="0.19" footer="0"/>
  <pageSetup fitToHeight="2" fitToWidth="1" horizontalDpi="600" verticalDpi="600" orientation="portrait" scale="78" r:id="rId1"/>
  <headerFooter alignWithMargins="0">
    <oddHeader>&amp;REB-2008-0381
Procedural Order #7
&amp;F</oddHeader>
    <oddFooter>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F92"/>
  <sheetViews>
    <sheetView zoomScalePageLayoutView="0" workbookViewId="0" topLeftCell="A1">
      <pane xSplit="1" ySplit="8" topLeftCell="B2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1" sqref="F1:F163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A1" t="s">
        <v>501</v>
      </c>
    </row>
    <row r="2" ht="12.75">
      <c r="A2" s="1" t="str">
        <f>REGINFO!A1</f>
        <v>PILs TAXES - EB-2011-0189</v>
      </c>
    </row>
    <row r="3" spans="1:5" ht="12.75">
      <c r="A3" s="2" t="s">
        <v>386</v>
      </c>
      <c r="E3" s="92"/>
    </row>
    <row r="4" spans="1:6" ht="15">
      <c r="A4" s="461" t="s">
        <v>447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3" t="s">
        <v>387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Oakville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9">
        <f>TAXREC!C11</f>
        <v>365</v>
      </c>
      <c r="D12" s="60"/>
      <c r="E12" s="25"/>
      <c r="F12" s="20"/>
    </row>
    <row r="13" spans="1:6" ht="13.5" thickBot="1">
      <c r="A13" s="2"/>
      <c r="B13" s="20"/>
      <c r="C13" s="231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3"/>
      <c r="D19" s="293"/>
      <c r="E19" s="310">
        <f aca="true" t="shared" si="0" ref="E19:E45">C19-D19</f>
        <v>0</v>
      </c>
    </row>
    <row r="20" spans="1:5" ht="12.75">
      <c r="A20" t="s">
        <v>389</v>
      </c>
      <c r="B20" t="s">
        <v>187</v>
      </c>
      <c r="C20" s="293"/>
      <c r="D20" s="293"/>
      <c r="E20" s="310">
        <f t="shared" si="0"/>
        <v>0</v>
      </c>
    </row>
    <row r="21" spans="1:5" ht="12.75">
      <c r="A21" t="s">
        <v>455</v>
      </c>
      <c r="B21" t="s">
        <v>187</v>
      </c>
      <c r="C21" s="293"/>
      <c r="D21" s="293"/>
      <c r="E21" s="310">
        <f t="shared" si="0"/>
        <v>0</v>
      </c>
    </row>
    <row r="22" spans="1:5" ht="12.75">
      <c r="A22" s="67" t="s">
        <v>392</v>
      </c>
      <c r="B22" t="s">
        <v>187</v>
      </c>
      <c r="C22" s="293"/>
      <c r="D22" s="311"/>
      <c r="E22" s="310">
        <f t="shared" si="0"/>
        <v>0</v>
      </c>
    </row>
    <row r="23" spans="1:5" ht="12.75">
      <c r="A23" s="67" t="s">
        <v>393</v>
      </c>
      <c r="B23" t="s">
        <v>187</v>
      </c>
      <c r="C23" s="293"/>
      <c r="D23" s="293"/>
      <c r="E23" s="310">
        <f t="shared" si="0"/>
        <v>0</v>
      </c>
    </row>
    <row r="24" spans="1:5" ht="12.75">
      <c r="A24" s="67" t="s">
        <v>456</v>
      </c>
      <c r="B24" t="s">
        <v>187</v>
      </c>
      <c r="C24" s="293"/>
      <c r="D24" s="293"/>
      <c r="E24" s="310">
        <f t="shared" si="0"/>
        <v>0</v>
      </c>
    </row>
    <row r="25" spans="1:5" ht="12.75">
      <c r="A25" s="67" t="s">
        <v>125</v>
      </c>
      <c r="B25" t="s">
        <v>187</v>
      </c>
      <c r="C25" s="293"/>
      <c r="D25" s="293"/>
      <c r="E25" s="310">
        <f t="shared" si="0"/>
        <v>0</v>
      </c>
    </row>
    <row r="26" spans="1:5" ht="12.75">
      <c r="A26" s="67" t="s">
        <v>134</v>
      </c>
      <c r="B26" t="s">
        <v>187</v>
      </c>
      <c r="C26" s="293"/>
      <c r="D26" s="293"/>
      <c r="E26" s="310">
        <f t="shared" si="0"/>
        <v>0</v>
      </c>
    </row>
    <row r="27" spans="1:5" ht="12.75">
      <c r="A27" s="67" t="s">
        <v>439</v>
      </c>
      <c r="B27" t="s">
        <v>187</v>
      </c>
      <c r="C27" s="293"/>
      <c r="D27" s="293"/>
      <c r="E27" s="310">
        <f t="shared" si="0"/>
        <v>0</v>
      </c>
    </row>
    <row r="28" spans="1:5" ht="12.75">
      <c r="A28" s="67" t="s">
        <v>391</v>
      </c>
      <c r="B28" t="s">
        <v>187</v>
      </c>
      <c r="C28" s="293"/>
      <c r="D28" s="293"/>
      <c r="E28" s="310">
        <f t="shared" si="0"/>
        <v>0</v>
      </c>
    </row>
    <row r="29" spans="1:5" ht="12.75">
      <c r="A29" s="67" t="s">
        <v>136</v>
      </c>
      <c r="B29" t="s">
        <v>187</v>
      </c>
      <c r="C29" s="293"/>
      <c r="D29" s="293"/>
      <c r="E29" s="310">
        <f t="shared" si="0"/>
        <v>0</v>
      </c>
    </row>
    <row r="30" spans="1:5" ht="12.75">
      <c r="A30" s="67" t="s">
        <v>390</v>
      </c>
      <c r="B30" t="s">
        <v>187</v>
      </c>
      <c r="C30" s="293"/>
      <c r="D30" s="293"/>
      <c r="E30" s="310">
        <f t="shared" si="0"/>
        <v>0</v>
      </c>
    </row>
    <row r="31" spans="1:5" ht="12.75">
      <c r="A31" s="67" t="s">
        <v>192</v>
      </c>
      <c r="B31" t="s">
        <v>187</v>
      </c>
      <c r="C31" s="293"/>
      <c r="D31" s="293"/>
      <c r="E31" s="310">
        <f t="shared" si="0"/>
        <v>0</v>
      </c>
    </row>
    <row r="32" spans="1:6" ht="12.75">
      <c r="A32" s="67" t="s">
        <v>434</v>
      </c>
      <c r="B32" t="s">
        <v>187</v>
      </c>
      <c r="C32" s="293">
        <v>6996</v>
      </c>
      <c r="D32" s="293"/>
      <c r="E32" s="310">
        <f t="shared" si="0"/>
        <v>6996</v>
      </c>
      <c r="F32" s="484"/>
    </row>
    <row r="33" spans="1:5" ht="12.75">
      <c r="A33" s="67" t="s">
        <v>435</v>
      </c>
      <c r="B33" t="s">
        <v>187</v>
      </c>
      <c r="C33" s="293"/>
      <c r="D33" s="293"/>
      <c r="E33" s="310">
        <f t="shared" si="0"/>
        <v>0</v>
      </c>
    </row>
    <row r="34" spans="1:5" ht="12.75">
      <c r="A34" s="67" t="s">
        <v>452</v>
      </c>
      <c r="B34" t="s">
        <v>187</v>
      </c>
      <c r="C34" s="293"/>
      <c r="D34" s="293"/>
      <c r="E34" s="310">
        <f t="shared" si="0"/>
        <v>0</v>
      </c>
    </row>
    <row r="35" spans="1:5" ht="12.75">
      <c r="A35" s="81" t="s">
        <v>453</v>
      </c>
      <c r="C35" s="293"/>
      <c r="D35" s="293"/>
      <c r="E35" s="310">
        <f t="shared" si="0"/>
        <v>0</v>
      </c>
    </row>
    <row r="36" spans="1:5" ht="12.75">
      <c r="A36" s="67" t="s">
        <v>436</v>
      </c>
      <c r="C36" s="293"/>
      <c r="D36" s="293"/>
      <c r="E36" s="310">
        <f t="shared" si="0"/>
        <v>0</v>
      </c>
    </row>
    <row r="37" spans="1:5" ht="12.75">
      <c r="A37" s="67" t="s">
        <v>437</v>
      </c>
      <c r="C37" s="293"/>
      <c r="D37" s="293"/>
      <c r="E37" s="310">
        <f t="shared" si="0"/>
        <v>0</v>
      </c>
    </row>
    <row r="38" spans="1:5" ht="12.75">
      <c r="A38" s="67" t="s">
        <v>459</v>
      </c>
      <c r="C38" s="293"/>
      <c r="D38" s="293"/>
      <c r="E38" s="310">
        <f t="shared" si="0"/>
        <v>0</v>
      </c>
    </row>
    <row r="39" spans="2:5" ht="12.75">
      <c r="B39" t="s">
        <v>187</v>
      </c>
      <c r="C39" s="293"/>
      <c r="D39" s="293"/>
      <c r="E39" s="310">
        <f t="shared" si="0"/>
        <v>0</v>
      </c>
    </row>
    <row r="40" spans="1:5" ht="12.75">
      <c r="A40" s="81" t="s">
        <v>394</v>
      </c>
      <c r="B40" t="s">
        <v>187</v>
      </c>
      <c r="C40" s="293"/>
      <c r="D40" s="293"/>
      <c r="E40" s="310">
        <f t="shared" si="0"/>
        <v>0</v>
      </c>
    </row>
    <row r="41" spans="1:5" ht="12.75">
      <c r="A41" s="81" t="s">
        <v>388</v>
      </c>
      <c r="B41" t="s">
        <v>187</v>
      </c>
      <c r="C41" s="293"/>
      <c r="D41" s="293"/>
      <c r="E41" s="310">
        <f t="shared" si="0"/>
        <v>0</v>
      </c>
    </row>
    <row r="42" spans="2:5" ht="12.75">
      <c r="B42" t="s">
        <v>187</v>
      </c>
      <c r="C42" s="293"/>
      <c r="D42" s="293"/>
      <c r="E42" s="310">
        <f t="shared" si="0"/>
        <v>0</v>
      </c>
    </row>
    <row r="43" spans="1:5" ht="12.75">
      <c r="A43" s="68" t="s">
        <v>204</v>
      </c>
      <c r="B43" t="s">
        <v>187</v>
      </c>
      <c r="C43" s="293"/>
      <c r="D43" s="293"/>
      <c r="E43" s="310">
        <f t="shared" si="0"/>
        <v>0</v>
      </c>
    </row>
    <row r="44" spans="1:6" ht="12.75">
      <c r="A44" s="480" t="s">
        <v>500</v>
      </c>
      <c r="B44" t="s">
        <v>187</v>
      </c>
      <c r="C44" s="292">
        <v>41667</v>
      </c>
      <c r="D44" s="292"/>
      <c r="E44" s="248">
        <f t="shared" si="0"/>
        <v>41667</v>
      </c>
      <c r="F44" s="484"/>
    </row>
    <row r="45" spans="2:5" ht="12.75">
      <c r="B45" t="s">
        <v>187</v>
      </c>
      <c r="C45" s="292"/>
      <c r="D45" s="292"/>
      <c r="E45" s="248">
        <f t="shared" si="0"/>
        <v>0</v>
      </c>
    </row>
    <row r="46" spans="1:5" ht="12.75">
      <c r="A46" s="67"/>
      <c r="B46" t="s">
        <v>187</v>
      </c>
      <c r="C46" s="292"/>
      <c r="D46" s="292"/>
      <c r="E46" s="277"/>
    </row>
    <row r="47" spans="1:6" ht="12.75">
      <c r="A47" s="446" t="s">
        <v>398</v>
      </c>
      <c r="B47" t="s">
        <v>189</v>
      </c>
      <c r="C47" s="248">
        <f>SUM(C19:C46)</f>
        <v>48663</v>
      </c>
      <c r="D47" s="248">
        <f>SUM(D19:D46)</f>
        <v>0</v>
      </c>
      <c r="E47" s="248">
        <f>SUM(E19:E46)</f>
        <v>48663</v>
      </c>
      <c r="F47" s="483"/>
    </row>
    <row r="48" ht="12.75">
      <c r="A48" s="67"/>
    </row>
    <row r="49" ht="12.75">
      <c r="A49" s="81" t="s">
        <v>145</v>
      </c>
    </row>
    <row r="51" spans="1:5" ht="12.75">
      <c r="A51" s="71" t="s">
        <v>389</v>
      </c>
      <c r="B51" s="8" t="s">
        <v>188</v>
      </c>
      <c r="C51" s="292"/>
      <c r="D51" s="292"/>
      <c r="E51" s="248">
        <f aca="true" t="shared" si="1" ref="E51:E61">C51-D51</f>
        <v>0</v>
      </c>
    </row>
    <row r="52" spans="1:5" ht="12.75">
      <c r="A52" s="67" t="s">
        <v>455</v>
      </c>
      <c r="B52" s="8" t="s">
        <v>188</v>
      </c>
      <c r="C52" s="292"/>
      <c r="D52" s="292"/>
      <c r="E52" s="248">
        <f t="shared" si="1"/>
        <v>0</v>
      </c>
    </row>
    <row r="53" spans="1:5" ht="12.75">
      <c r="A53" t="s">
        <v>390</v>
      </c>
      <c r="B53" s="8" t="s">
        <v>188</v>
      </c>
      <c r="C53" s="292"/>
      <c r="D53" s="292"/>
      <c r="E53" s="248">
        <f t="shared" si="1"/>
        <v>0</v>
      </c>
    </row>
    <row r="54" spans="1:5" ht="12.75">
      <c r="A54" t="s">
        <v>438</v>
      </c>
      <c r="B54" s="8" t="s">
        <v>188</v>
      </c>
      <c r="C54" s="292"/>
      <c r="D54" s="292"/>
      <c r="E54" s="248">
        <f t="shared" si="1"/>
        <v>0</v>
      </c>
    </row>
    <row r="55" spans="1:5" ht="12.75">
      <c r="A55" s="67" t="s">
        <v>446</v>
      </c>
      <c r="B55" s="8" t="s">
        <v>188</v>
      </c>
      <c r="C55" s="292"/>
      <c r="D55" s="292"/>
      <c r="E55" s="248">
        <f t="shared" si="1"/>
        <v>0</v>
      </c>
    </row>
    <row r="56" spans="1:5" ht="12.75">
      <c r="A56" s="67" t="s">
        <v>458</v>
      </c>
      <c r="B56" s="8" t="s">
        <v>188</v>
      </c>
      <c r="C56" s="292"/>
      <c r="D56" s="292"/>
      <c r="E56" s="248">
        <f t="shared" si="1"/>
        <v>0</v>
      </c>
    </row>
    <row r="57" spans="1:5" ht="12.75">
      <c r="A57" s="2" t="s">
        <v>454</v>
      </c>
      <c r="B57" s="8" t="s">
        <v>188</v>
      </c>
      <c r="C57" s="292"/>
      <c r="D57" s="292"/>
      <c r="E57" s="248">
        <f t="shared" si="1"/>
        <v>0</v>
      </c>
    </row>
    <row r="58" spans="1:5" ht="12.75">
      <c r="A58" s="67" t="s">
        <v>457</v>
      </c>
      <c r="B58" s="8" t="s">
        <v>188</v>
      </c>
      <c r="C58" s="292"/>
      <c r="D58" s="292"/>
      <c r="E58" s="248">
        <f t="shared" si="1"/>
        <v>0</v>
      </c>
    </row>
    <row r="59" spans="1:5" ht="12.75">
      <c r="A59" s="67"/>
      <c r="B59" s="8" t="s">
        <v>188</v>
      </c>
      <c r="C59" s="292"/>
      <c r="D59" s="292"/>
      <c r="E59" s="248">
        <f t="shared" si="1"/>
        <v>0</v>
      </c>
    </row>
    <row r="60" spans="2:5" ht="12.75">
      <c r="B60" s="8" t="s">
        <v>188</v>
      </c>
      <c r="C60" s="292"/>
      <c r="D60" s="292"/>
      <c r="E60" s="248">
        <f t="shared" si="1"/>
        <v>0</v>
      </c>
    </row>
    <row r="61" spans="2:5" ht="12.75">
      <c r="B61" s="8" t="s">
        <v>188</v>
      </c>
      <c r="C61" s="292"/>
      <c r="D61" s="292"/>
      <c r="E61" s="248">
        <f t="shared" si="1"/>
        <v>0</v>
      </c>
    </row>
    <row r="62" spans="2:5" ht="12.75">
      <c r="B62" s="8" t="s">
        <v>188</v>
      </c>
      <c r="C62" s="292"/>
      <c r="D62" s="292"/>
      <c r="E62" s="248">
        <f aca="true" t="shared" si="2" ref="E62:E72">C62-D62</f>
        <v>0</v>
      </c>
    </row>
    <row r="63" spans="2:5" ht="12.75">
      <c r="B63" s="8" t="s">
        <v>188</v>
      </c>
      <c r="C63" s="292"/>
      <c r="D63" s="292"/>
      <c r="E63" s="248">
        <f t="shared" si="2"/>
        <v>0</v>
      </c>
    </row>
    <row r="64" spans="1:5" ht="12.75">
      <c r="A64" s="465" t="s">
        <v>395</v>
      </c>
      <c r="B64" s="8" t="s">
        <v>188</v>
      </c>
      <c r="C64" s="292"/>
      <c r="D64" s="292"/>
      <c r="E64" s="248">
        <f t="shared" si="2"/>
        <v>0</v>
      </c>
    </row>
    <row r="65" spans="2:5" ht="12.75">
      <c r="B65" s="8" t="s">
        <v>188</v>
      </c>
      <c r="C65" s="292"/>
      <c r="D65" s="292"/>
      <c r="E65" s="248">
        <f t="shared" si="2"/>
        <v>0</v>
      </c>
    </row>
    <row r="66" spans="1:5" ht="12.75">
      <c r="A66" s="465" t="s">
        <v>388</v>
      </c>
      <c r="B66" s="8" t="s">
        <v>188</v>
      </c>
      <c r="C66" s="292"/>
      <c r="D66" s="292"/>
      <c r="E66" s="248">
        <f t="shared" si="2"/>
        <v>0</v>
      </c>
    </row>
    <row r="67" spans="1:5" ht="12.75">
      <c r="A67" s="67"/>
      <c r="B67" s="8" t="s">
        <v>188</v>
      </c>
      <c r="C67" s="292"/>
      <c r="D67" s="292"/>
      <c r="E67" s="248">
        <f t="shared" si="2"/>
        <v>0</v>
      </c>
    </row>
    <row r="68" spans="1:5" ht="12.75">
      <c r="A68" s="68" t="s">
        <v>205</v>
      </c>
      <c r="B68" s="8" t="s">
        <v>188</v>
      </c>
      <c r="C68" s="292"/>
      <c r="D68" s="292"/>
      <c r="E68" s="248">
        <f t="shared" si="2"/>
        <v>0</v>
      </c>
    </row>
    <row r="69" spans="1:6" ht="12.75">
      <c r="A69" s="68" t="s">
        <v>506</v>
      </c>
      <c r="B69" s="8" t="s">
        <v>188</v>
      </c>
      <c r="C69" s="292">
        <v>783139</v>
      </c>
      <c r="D69" s="292"/>
      <c r="E69" s="248">
        <f t="shared" si="2"/>
        <v>783139</v>
      </c>
      <c r="F69" s="484"/>
    </row>
    <row r="70" spans="1:5" ht="12.75">
      <c r="A70" s="67"/>
      <c r="B70" s="8" t="s">
        <v>188</v>
      </c>
      <c r="C70" s="292"/>
      <c r="D70" s="292"/>
      <c r="E70" s="248">
        <f t="shared" si="2"/>
        <v>0</v>
      </c>
    </row>
    <row r="71" spans="1:5" ht="12.75">
      <c r="A71" s="67"/>
      <c r="B71" s="8" t="s">
        <v>188</v>
      </c>
      <c r="C71" s="292"/>
      <c r="D71" s="292"/>
      <c r="E71" s="248">
        <f t="shared" si="2"/>
        <v>0</v>
      </c>
    </row>
    <row r="72" spans="1:5" ht="12.75">
      <c r="A72" s="67"/>
      <c r="B72" s="8" t="s">
        <v>188</v>
      </c>
      <c r="C72" s="292"/>
      <c r="D72" s="292"/>
      <c r="E72" s="277">
        <f t="shared" si="2"/>
        <v>0</v>
      </c>
    </row>
    <row r="73" spans="1:6" ht="12.75">
      <c r="A73" s="445" t="s">
        <v>397</v>
      </c>
      <c r="B73" s="8" t="s">
        <v>189</v>
      </c>
      <c r="C73" s="248">
        <f>SUM(C51:C72)</f>
        <v>783139</v>
      </c>
      <c r="D73" s="248">
        <f>SUM(D51:D72)</f>
        <v>0</v>
      </c>
      <c r="E73" s="248">
        <f>SUM(E51:E72)</f>
        <v>783139</v>
      </c>
      <c r="F73" s="483"/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1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1" t="s">
        <v>501</v>
      </c>
      <c r="B1" s="382"/>
      <c r="C1" s="340"/>
      <c r="D1" s="340"/>
      <c r="E1" s="340"/>
      <c r="F1" s="340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7"/>
      <c r="H2" s="187"/>
      <c r="I2" s="187"/>
      <c r="J2" s="187"/>
      <c r="K2" s="236"/>
      <c r="L2" s="187"/>
      <c r="M2" s="187"/>
      <c r="N2" s="187"/>
      <c r="O2" s="187"/>
      <c r="P2" s="187"/>
      <c r="Q2" s="34"/>
      <c r="R2" s="34"/>
    </row>
    <row r="3" spans="1:18" ht="12.75">
      <c r="A3" s="341" t="s">
        <v>304</v>
      </c>
      <c r="B3" s="340"/>
      <c r="C3" s="340"/>
      <c r="D3" s="340"/>
      <c r="E3" s="340"/>
      <c r="F3" s="342"/>
      <c r="G3" s="187"/>
      <c r="H3" s="187"/>
      <c r="I3" s="187"/>
      <c r="J3" s="187"/>
      <c r="K3" s="236"/>
      <c r="L3" s="187"/>
      <c r="M3" s="187"/>
      <c r="N3" s="187"/>
      <c r="O3" s="187"/>
      <c r="P3" s="187"/>
      <c r="Q3" s="34"/>
      <c r="R3" s="34"/>
    </row>
    <row r="4" spans="1:18" ht="12.75">
      <c r="A4" s="236" t="str">
        <f>REGINFO!A3</f>
        <v>Utility Name: Oakville Hydro</v>
      </c>
      <c r="B4" s="340"/>
      <c r="C4" s="340"/>
      <c r="D4" s="340"/>
      <c r="E4" s="340"/>
      <c r="F4" s="340"/>
      <c r="G4" s="187"/>
      <c r="H4" s="187"/>
      <c r="I4" s="187"/>
      <c r="J4" s="187"/>
      <c r="K4" s="236"/>
      <c r="L4" s="187"/>
      <c r="M4" s="187"/>
      <c r="N4" s="187"/>
      <c r="O4" s="187"/>
      <c r="P4" s="187"/>
      <c r="Q4" s="34"/>
      <c r="R4" s="34"/>
    </row>
    <row r="5" spans="1:18" ht="12.75">
      <c r="A5" s="236" t="str">
        <f>REGINFO!A4</f>
        <v>Reporting period:  2002</v>
      </c>
      <c r="B5" s="340"/>
      <c r="C5" s="340"/>
      <c r="D5" s="340"/>
      <c r="E5" s="340"/>
      <c r="F5" s="340"/>
      <c r="G5" s="187"/>
      <c r="H5" s="187"/>
      <c r="I5" s="187"/>
      <c r="J5" s="187"/>
      <c r="K5" s="236"/>
      <c r="L5" s="187"/>
      <c r="M5" s="187"/>
      <c r="N5" s="187"/>
      <c r="O5" s="187"/>
      <c r="P5" s="187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7"/>
      <c r="H6" s="187"/>
      <c r="I6" s="187"/>
      <c r="J6" s="187"/>
      <c r="K6" s="236"/>
      <c r="L6" s="187"/>
      <c r="M6" s="187"/>
      <c r="N6" s="187"/>
      <c r="O6" s="187"/>
      <c r="P6" s="187"/>
      <c r="Q6" s="34"/>
      <c r="R6" s="34"/>
    </row>
    <row r="7" spans="1:18" ht="12.75">
      <c r="A7" s="341"/>
      <c r="B7" s="340"/>
      <c r="C7" s="340"/>
      <c r="D7" s="340"/>
      <c r="E7" s="340"/>
      <c r="F7" s="407" t="s">
        <v>336</v>
      </c>
      <c r="G7" s="187"/>
      <c r="H7" s="187"/>
      <c r="I7" s="187"/>
      <c r="J7" s="187"/>
      <c r="K7" s="236"/>
      <c r="L7" s="187"/>
      <c r="M7" s="187"/>
      <c r="N7" s="187"/>
      <c r="O7" s="187"/>
      <c r="P7" s="187"/>
      <c r="Q7" s="34"/>
      <c r="R7" s="34"/>
    </row>
    <row r="8" spans="1:18" ht="13.5" thickBot="1">
      <c r="A8" s="504" t="s">
        <v>488</v>
      </c>
      <c r="B8" s="505"/>
      <c r="C8" s="505"/>
      <c r="D8" s="505"/>
      <c r="E8" s="340"/>
      <c r="F8" s="379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8" t="s">
        <v>112</v>
      </c>
      <c r="B9" s="323"/>
      <c r="C9" s="370">
        <v>0</v>
      </c>
      <c r="D9" s="370"/>
      <c r="E9" s="370">
        <v>200001</v>
      </c>
      <c r="F9" s="371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9" t="s">
        <v>469</v>
      </c>
      <c r="B10" s="324"/>
      <c r="C10" s="372" t="s">
        <v>111</v>
      </c>
      <c r="D10" s="372"/>
      <c r="E10" s="372" t="s">
        <v>111</v>
      </c>
      <c r="F10" s="373" t="s">
        <v>489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9"/>
      <c r="B11" s="324" t="s">
        <v>116</v>
      </c>
      <c r="C11" s="374">
        <v>200000</v>
      </c>
      <c r="D11" s="374"/>
      <c r="E11" s="374">
        <v>700000</v>
      </c>
      <c r="F11" s="375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0" t="s">
        <v>108</v>
      </c>
      <c r="B12" s="232"/>
      <c r="C12" s="233"/>
      <c r="D12" s="233"/>
      <c r="E12" s="239"/>
      <c r="F12" s="239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1" t="s">
        <v>297</v>
      </c>
      <c r="B13" s="406">
        <v>2002</v>
      </c>
      <c r="C13" s="234"/>
      <c r="D13" s="234"/>
      <c r="E13" s="240"/>
      <c r="F13" s="240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1" t="s">
        <v>296</v>
      </c>
      <c r="B14" s="242"/>
      <c r="C14" s="325">
        <v>0.1312</v>
      </c>
      <c r="D14" s="325"/>
      <c r="E14" s="326">
        <v>0.2612</v>
      </c>
      <c r="F14" s="326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1" t="s">
        <v>301</v>
      </c>
      <c r="B15" s="242"/>
      <c r="C15" s="327">
        <v>0.06</v>
      </c>
      <c r="D15" s="327"/>
      <c r="E15" s="328">
        <v>0.06</v>
      </c>
      <c r="F15" s="328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1" t="s">
        <v>259</v>
      </c>
      <c r="B16" s="242"/>
      <c r="C16" s="329">
        <f>SUM(C14:C15)</f>
        <v>0.1912</v>
      </c>
      <c r="D16" s="329"/>
      <c r="E16" s="330">
        <v>0.3412</v>
      </c>
      <c r="F16" s="330">
        <f>SUM(F14:F15)</f>
        <v>0.3862</v>
      </c>
      <c r="G16" s="482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1"/>
      <c r="B17" s="242"/>
      <c r="C17" s="325"/>
      <c r="D17" s="325"/>
      <c r="E17" s="326"/>
      <c r="F17" s="326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0" t="s">
        <v>109</v>
      </c>
      <c r="B18" s="241"/>
      <c r="C18" s="331">
        <v>0.003</v>
      </c>
      <c r="D18" s="325"/>
      <c r="E18" s="326"/>
      <c r="F18" s="326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0" t="s">
        <v>110</v>
      </c>
      <c r="B19" s="235"/>
      <c r="C19" s="332">
        <v>0.00225</v>
      </c>
      <c r="D19" s="333"/>
      <c r="E19" s="334"/>
      <c r="F19" s="334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0" t="s">
        <v>113</v>
      </c>
      <c r="B20" s="235"/>
      <c r="C20" s="333">
        <v>0.0112</v>
      </c>
      <c r="D20" s="335"/>
      <c r="E20" s="336"/>
      <c r="F20" s="336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7" thickBot="1">
      <c r="A21" s="322" t="s">
        <v>331</v>
      </c>
      <c r="B21" s="403" t="s">
        <v>473</v>
      </c>
      <c r="C21" s="358">
        <v>5000000</v>
      </c>
      <c r="D21" s="335"/>
      <c r="E21" s="336"/>
      <c r="F21" s="336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.75" thickBot="1">
      <c r="A22" s="322" t="s">
        <v>332</v>
      </c>
      <c r="B22" s="404" t="s">
        <v>474</v>
      </c>
      <c r="C22" s="359">
        <v>10000000</v>
      </c>
      <c r="D22" s="337"/>
      <c r="E22" s="338"/>
      <c r="F22" s="338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8" t="s">
        <v>490</v>
      </c>
      <c r="B23" s="499"/>
      <c r="C23" s="499"/>
      <c r="D23" s="499"/>
      <c r="E23" s="499"/>
      <c r="F23" s="499"/>
      <c r="G23" s="435"/>
      <c r="H23" s="417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408"/>
      <c r="B24" s="409"/>
      <c r="C24" s="409"/>
      <c r="D24" s="409"/>
      <c r="E24" s="409"/>
      <c r="F24" s="409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76"/>
      <c r="B25" s="377"/>
      <c r="C25" s="380"/>
      <c r="D25" s="340"/>
      <c r="E25" s="340"/>
      <c r="F25" s="407" t="s">
        <v>337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506" t="s">
        <v>482</v>
      </c>
      <c r="B26" s="507"/>
      <c r="C26" s="507"/>
      <c r="D26" s="507"/>
      <c r="E26" s="507"/>
      <c r="F26" s="507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8" t="s">
        <v>112</v>
      </c>
      <c r="B27" s="323"/>
      <c r="C27" s="364">
        <v>0</v>
      </c>
      <c r="D27" s="364"/>
      <c r="E27" s="364">
        <v>200001</v>
      </c>
      <c r="F27" s="365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9" t="s">
        <v>442</v>
      </c>
      <c r="B28" s="324"/>
      <c r="C28" s="366" t="s">
        <v>111</v>
      </c>
      <c r="D28" s="366"/>
      <c r="E28" s="366" t="s">
        <v>111</v>
      </c>
      <c r="F28" s="367" t="s">
        <v>489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9"/>
      <c r="B29" s="324" t="s">
        <v>116</v>
      </c>
      <c r="C29" s="368">
        <v>200000</v>
      </c>
      <c r="D29" s="368"/>
      <c r="E29" s="368">
        <v>700000</v>
      </c>
      <c r="F29" s="369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0" t="s">
        <v>108</v>
      </c>
      <c r="B30" s="232"/>
      <c r="C30" s="233"/>
      <c r="D30" s="233"/>
      <c r="E30" s="239"/>
      <c r="F30" s="239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1" t="s">
        <v>115</v>
      </c>
      <c r="B31" s="406">
        <v>2002</v>
      </c>
      <c r="C31" s="234"/>
      <c r="D31" s="234"/>
      <c r="E31" s="240"/>
      <c r="F31" s="240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1" t="s">
        <v>296</v>
      </c>
      <c r="B32" s="406">
        <v>2002</v>
      </c>
      <c r="C32" s="325">
        <v>0.1312</v>
      </c>
      <c r="D32" s="325"/>
      <c r="E32" s="326">
        <v>0.2612</v>
      </c>
      <c r="F32" s="326">
        <v>0.2612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1" t="s">
        <v>29</v>
      </c>
      <c r="B33" s="406">
        <v>2002</v>
      </c>
      <c r="C33" s="327">
        <v>0.06</v>
      </c>
      <c r="D33" s="327"/>
      <c r="E33" s="328">
        <v>0.06</v>
      </c>
      <c r="F33" s="328">
        <v>0.125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1" t="s">
        <v>259</v>
      </c>
      <c r="B34" s="406">
        <v>2002</v>
      </c>
      <c r="C34" s="329">
        <f>SUM(C32:C33)</f>
        <v>0.1912</v>
      </c>
      <c r="D34" s="329"/>
      <c r="E34" s="330">
        <f>SUM(E32:E33)</f>
        <v>0.3212</v>
      </c>
      <c r="F34" s="330">
        <f>SUM(F32:F33)</f>
        <v>0.3862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1"/>
      <c r="B35" s="242"/>
      <c r="C35" s="325"/>
      <c r="D35" s="325"/>
      <c r="E35" s="326"/>
      <c r="F35" s="326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0" t="s">
        <v>109</v>
      </c>
      <c r="B36" s="406">
        <v>2002</v>
      </c>
      <c r="C36" s="331">
        <v>0.003</v>
      </c>
      <c r="D36" s="325"/>
      <c r="E36" s="326"/>
      <c r="F36" s="326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0" t="s">
        <v>110</v>
      </c>
      <c r="B37" s="406">
        <v>2002</v>
      </c>
      <c r="C37" s="332">
        <v>0.00225</v>
      </c>
      <c r="D37" s="333"/>
      <c r="E37" s="334"/>
      <c r="F37" s="334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0" t="s">
        <v>113</v>
      </c>
      <c r="B38" s="406">
        <v>2002</v>
      </c>
      <c r="C38" s="333">
        <v>0.0112</v>
      </c>
      <c r="D38" s="335"/>
      <c r="E38" s="336"/>
      <c r="F38" s="336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7" thickBot="1">
      <c r="A39" s="322" t="s">
        <v>479</v>
      </c>
      <c r="B39" s="403" t="s">
        <v>473</v>
      </c>
      <c r="C39" s="358">
        <v>5000000</v>
      </c>
      <c r="D39" s="335"/>
      <c r="E39" s="336"/>
      <c r="F39" s="336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.75" thickBot="1">
      <c r="A40" s="322" t="s">
        <v>480</v>
      </c>
      <c r="B40" s="404" t="s">
        <v>474</v>
      </c>
      <c r="C40" s="359">
        <v>10000000</v>
      </c>
      <c r="D40" s="337"/>
      <c r="E40" s="338"/>
      <c r="F40" s="338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500" t="s">
        <v>334</v>
      </c>
      <c r="B41" s="499"/>
      <c r="C41" s="499"/>
      <c r="D41" s="499"/>
      <c r="E41" s="499"/>
      <c r="F41" s="499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501"/>
      <c r="B42" s="501"/>
      <c r="C42" s="501"/>
      <c r="D42" s="501"/>
      <c r="E42" s="501"/>
      <c r="F42" s="501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76"/>
      <c r="B43" s="377"/>
      <c r="C43" s="378"/>
      <c r="D43" s="377"/>
      <c r="E43" s="377"/>
      <c r="F43" s="407" t="s">
        <v>338</v>
      </c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1:16" ht="13.5" thickBot="1">
      <c r="A44" s="405" t="s">
        <v>481</v>
      </c>
      <c r="B44" s="362"/>
      <c r="C44" s="363"/>
      <c r="D44" s="362"/>
      <c r="E44" s="340"/>
      <c r="F44" s="379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1:16" ht="12.75">
      <c r="A45" s="318" t="s">
        <v>112</v>
      </c>
      <c r="B45" s="323"/>
      <c r="C45" s="364">
        <v>0</v>
      </c>
      <c r="D45" s="364"/>
      <c r="E45" s="364">
        <v>200001</v>
      </c>
      <c r="F45" s="365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1:16" ht="12.75">
      <c r="A46" s="319"/>
      <c r="B46" s="324"/>
      <c r="C46" s="366" t="s">
        <v>111</v>
      </c>
      <c r="D46" s="366"/>
      <c r="E46" s="366" t="s">
        <v>111</v>
      </c>
      <c r="F46" s="367" t="s">
        <v>489</v>
      </c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1:16" ht="13.5" thickBot="1">
      <c r="A47" s="319"/>
      <c r="B47" s="339" t="s">
        <v>116</v>
      </c>
      <c r="C47" s="368">
        <v>200000</v>
      </c>
      <c r="D47" s="368"/>
      <c r="E47" s="368">
        <v>700000</v>
      </c>
      <c r="F47" s="369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1:16" ht="13.5" thickBot="1">
      <c r="A48" s="320" t="s">
        <v>108</v>
      </c>
      <c r="B48" s="232"/>
      <c r="C48" s="233"/>
      <c r="D48" s="233"/>
      <c r="E48" s="239"/>
      <c r="F48" s="239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1:16" ht="13.5" thickBot="1">
      <c r="A49" s="321" t="s">
        <v>115</v>
      </c>
      <c r="B49" s="406">
        <v>2002</v>
      </c>
      <c r="C49" s="234"/>
      <c r="D49" s="234"/>
      <c r="E49" s="240"/>
      <c r="F49" s="240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1:16" ht="13.5" thickBot="1">
      <c r="A50" s="321" t="s">
        <v>296</v>
      </c>
      <c r="B50" s="242"/>
      <c r="C50" s="349">
        <v>0.1312</v>
      </c>
      <c r="D50" s="349"/>
      <c r="E50" s="349">
        <v>0.2612</v>
      </c>
      <c r="F50" s="349">
        <v>0.2612</v>
      </c>
      <c r="G50" s="192"/>
      <c r="H50" s="192"/>
      <c r="I50" s="192"/>
      <c r="J50" s="192"/>
      <c r="K50" s="186"/>
      <c r="L50" s="187"/>
      <c r="M50" s="187"/>
      <c r="N50" s="187"/>
      <c r="O50" s="187"/>
      <c r="P50" s="187"/>
    </row>
    <row r="51" spans="1:16" ht="13.5" thickBot="1">
      <c r="A51" s="321" t="s">
        <v>29</v>
      </c>
      <c r="B51" s="242"/>
      <c r="C51" s="349">
        <v>0.06</v>
      </c>
      <c r="D51" s="351"/>
      <c r="E51" s="349">
        <v>0.06</v>
      </c>
      <c r="F51" s="349">
        <v>0.125</v>
      </c>
      <c r="G51" s="192"/>
      <c r="H51" s="192"/>
      <c r="I51" s="192"/>
      <c r="J51" s="192"/>
      <c r="K51" s="186"/>
      <c r="L51" s="187"/>
      <c r="M51" s="187"/>
      <c r="N51" s="187"/>
      <c r="O51" s="187"/>
      <c r="P51" s="187"/>
    </row>
    <row r="52" spans="1:16" ht="13.5" thickBot="1">
      <c r="A52" s="321" t="s">
        <v>259</v>
      </c>
      <c r="B52" s="242"/>
      <c r="C52" s="329">
        <f>SUM(C50:C51)</f>
        <v>0.1912</v>
      </c>
      <c r="D52" s="329"/>
      <c r="E52" s="330">
        <f>SUM(E50:E51)</f>
        <v>0.3212</v>
      </c>
      <c r="F52" s="330">
        <f>SUM(F50:F51)</f>
        <v>0.3862</v>
      </c>
      <c r="G52" s="192"/>
      <c r="H52" s="192"/>
      <c r="I52" s="192"/>
      <c r="J52" s="192"/>
      <c r="K52" s="186"/>
      <c r="L52" s="187"/>
      <c r="M52" s="187"/>
      <c r="N52" s="187"/>
      <c r="O52" s="187"/>
      <c r="P52" s="187"/>
    </row>
    <row r="53" spans="1:16" ht="13.5" thickBot="1">
      <c r="A53" s="321"/>
      <c r="B53" s="242"/>
      <c r="C53" s="349"/>
      <c r="D53" s="349"/>
      <c r="E53" s="350"/>
      <c r="F53" s="350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1:16" ht="13.5" thickBot="1">
      <c r="A54" s="320" t="s">
        <v>109</v>
      </c>
      <c r="B54" s="241"/>
      <c r="C54" s="352">
        <v>0.003</v>
      </c>
      <c r="D54" s="349"/>
      <c r="E54" s="350"/>
      <c r="F54" s="350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1:16" ht="13.5" thickBot="1">
      <c r="A55" s="320" t="s">
        <v>110</v>
      </c>
      <c r="B55" s="235"/>
      <c r="C55" s="353">
        <v>0.00225</v>
      </c>
      <c r="D55" s="354"/>
      <c r="E55" s="355"/>
      <c r="F55" s="355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1:16" ht="13.5" thickBot="1">
      <c r="A56" s="320" t="s">
        <v>113</v>
      </c>
      <c r="B56" s="235"/>
      <c r="C56" s="354">
        <v>0.0112</v>
      </c>
      <c r="D56" s="356"/>
      <c r="E56" s="357"/>
      <c r="F56" s="357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1:16" ht="27" thickBot="1">
      <c r="A57" s="322" t="s">
        <v>350</v>
      </c>
      <c r="B57" s="403" t="s">
        <v>473</v>
      </c>
      <c r="C57" s="358">
        <v>4668892</v>
      </c>
      <c r="D57" s="356"/>
      <c r="E57" s="357"/>
      <c r="F57" s="357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1:16" ht="39.75" thickBot="1">
      <c r="A58" s="322" t="s">
        <v>351</v>
      </c>
      <c r="B58" s="404" t="s">
        <v>474</v>
      </c>
      <c r="C58" s="359">
        <v>10000000</v>
      </c>
      <c r="D58" s="360"/>
      <c r="E58" s="361"/>
      <c r="F58" s="361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1:16" ht="12.75">
      <c r="A59" s="498" t="s">
        <v>352</v>
      </c>
      <c r="B59" s="502"/>
      <c r="C59" s="502"/>
      <c r="D59" s="502"/>
      <c r="E59" s="502"/>
      <c r="F59" s="502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1:16" ht="25.5" customHeight="1">
      <c r="A60" s="503"/>
      <c r="B60" s="503"/>
      <c r="C60" s="503"/>
      <c r="D60" s="503"/>
      <c r="E60" s="503"/>
      <c r="F60" s="503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1"/>
      <c r="B61" s="342"/>
      <c r="C61" s="342"/>
      <c r="D61" s="342"/>
      <c r="E61" s="342"/>
      <c r="F61" s="344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1"/>
      <c r="B62" s="342"/>
      <c r="C62" s="343"/>
      <c r="D62" s="343"/>
      <c r="E62" s="343"/>
      <c r="F62" s="345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1"/>
      <c r="B63" s="340"/>
      <c r="C63" s="340"/>
      <c r="D63" s="340"/>
      <c r="E63" s="340"/>
      <c r="F63" s="340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6"/>
      <c r="B64" s="347"/>
      <c r="C64" s="348"/>
      <c r="D64" s="348"/>
      <c r="E64" s="348"/>
      <c r="F64" s="348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7"/>
      <c r="C66" s="237"/>
      <c r="D66" s="237"/>
      <c r="E66" s="237"/>
      <c r="F66" s="237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7"/>
      <c r="C67" s="237"/>
      <c r="D67" s="237"/>
      <c r="E67" s="237"/>
      <c r="F67" s="237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7"/>
      <c r="C68" s="237"/>
      <c r="D68" s="237"/>
      <c r="E68" s="237"/>
      <c r="F68" s="237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7"/>
      <c r="C69" s="237"/>
      <c r="D69" s="237"/>
      <c r="E69" s="237"/>
      <c r="F69" s="237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7"/>
      <c r="C70" s="237"/>
      <c r="D70" s="237"/>
      <c r="E70" s="237"/>
      <c r="F70" s="237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7"/>
      <c r="C71" s="237"/>
      <c r="D71" s="237"/>
      <c r="E71" s="237"/>
      <c r="F71" s="237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7"/>
      <c r="C72" s="237"/>
      <c r="D72" s="237"/>
      <c r="E72" s="237"/>
      <c r="F72" s="237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7"/>
      <c r="C73" s="237"/>
      <c r="D73" s="237"/>
      <c r="E73" s="237"/>
      <c r="F73" s="237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7"/>
      <c r="C74" s="237"/>
      <c r="D74" s="237"/>
      <c r="E74" s="237"/>
      <c r="F74" s="237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7"/>
      <c r="C75" s="237"/>
      <c r="D75" s="237"/>
      <c r="E75" s="237"/>
      <c r="F75" s="237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7"/>
      <c r="C76" s="237"/>
      <c r="D76" s="237"/>
      <c r="E76" s="237"/>
      <c r="F76" s="237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7"/>
      <c r="C77" s="237"/>
      <c r="D77" s="237"/>
      <c r="E77" s="237"/>
      <c r="F77" s="237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7"/>
      <c r="C78" s="237"/>
      <c r="D78" s="237"/>
      <c r="E78" s="237"/>
      <c r="F78" s="237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7"/>
      <c r="C79" s="237"/>
      <c r="D79" s="237"/>
      <c r="E79" s="237"/>
      <c r="F79" s="237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7"/>
      <c r="C80" s="237"/>
      <c r="D80" s="237"/>
      <c r="E80" s="237"/>
      <c r="F80" s="237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7"/>
      <c r="C81" s="237"/>
      <c r="D81" s="237"/>
      <c r="E81" s="237"/>
      <c r="F81" s="237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7"/>
      <c r="C82" s="237"/>
      <c r="D82" s="237"/>
      <c r="E82" s="237"/>
      <c r="F82" s="237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7"/>
      <c r="C83" s="237"/>
      <c r="D83" s="237"/>
      <c r="E83" s="237"/>
      <c r="F83" s="237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7"/>
      <c r="C84" s="237"/>
      <c r="D84" s="237"/>
      <c r="E84" s="237"/>
      <c r="F84" s="237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7"/>
      <c r="C85" s="237"/>
      <c r="D85" s="237"/>
      <c r="E85" s="237"/>
      <c r="F85" s="237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7"/>
      <c r="C86" s="237"/>
      <c r="D86" s="237"/>
      <c r="E86" s="237"/>
      <c r="F86" s="237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7"/>
      <c r="C87" s="237"/>
      <c r="D87" s="237"/>
      <c r="E87" s="237"/>
      <c r="F87" s="237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7"/>
      <c r="C88" s="237"/>
      <c r="D88" s="237"/>
      <c r="E88" s="237"/>
      <c r="F88" s="237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7"/>
      <c r="C89" s="237"/>
      <c r="D89" s="237"/>
      <c r="E89" s="237"/>
      <c r="F89" s="237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7"/>
      <c r="C90" s="237"/>
      <c r="D90" s="237"/>
      <c r="E90" s="237"/>
      <c r="F90" s="237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7"/>
      <c r="C91" s="237"/>
      <c r="D91" s="237"/>
      <c r="E91" s="237"/>
      <c r="F91" s="237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7"/>
      <c r="C92" s="237"/>
      <c r="D92" s="237"/>
      <c r="E92" s="237"/>
      <c r="F92" s="237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7"/>
      <c r="C93" s="237"/>
      <c r="D93" s="237"/>
      <c r="E93" s="237"/>
      <c r="F93" s="237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7"/>
      <c r="C94" s="237"/>
      <c r="D94" s="237"/>
      <c r="E94" s="237"/>
      <c r="F94" s="237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7"/>
      <c r="C95" s="237"/>
      <c r="D95" s="237"/>
      <c r="E95" s="237"/>
      <c r="F95" s="237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7"/>
      <c r="C96" s="237"/>
      <c r="D96" s="237"/>
      <c r="E96" s="237"/>
      <c r="F96" s="237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7"/>
      <c r="C97" s="237"/>
      <c r="D97" s="237"/>
      <c r="E97" s="237"/>
      <c r="F97" s="237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7"/>
      <c r="C98" s="237"/>
      <c r="D98" s="237"/>
      <c r="E98" s="237"/>
      <c r="F98" s="23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9"/>
  <sheetViews>
    <sheetView tabSelected="1" zoomScale="80" zoomScaleNormal="80" zoomScalePageLayoutView="0" workbookViewId="0" topLeftCell="A1">
      <selection activeCell="X14" sqref="X1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">
        <v>501</v>
      </c>
    </row>
    <row r="2" spans="1:2" ht="12.75">
      <c r="A2" s="2" t="s">
        <v>460</v>
      </c>
      <c r="B2" s="2"/>
    </row>
    <row r="3" spans="1:15" ht="12.75">
      <c r="A3" s="2" t="str">
        <f>REGINFO!A3</f>
        <v>Utility Name: Oakville Hydro</v>
      </c>
      <c r="O3" s="413" t="str">
        <f>REGINFO!E1</f>
        <v>Version 2009.1</v>
      </c>
    </row>
    <row r="4" spans="1:15" ht="12.75">
      <c r="A4" s="2" t="str">
        <f>REGINFO!A4</f>
        <v>Reporting period:  2002</v>
      </c>
      <c r="E4" s="414" t="s">
        <v>320</v>
      </c>
      <c r="F4" s="395"/>
      <c r="G4" s="395"/>
      <c r="H4" s="395"/>
      <c r="I4" s="395"/>
      <c r="O4" s="413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89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1">
        <v>0</v>
      </c>
      <c r="D11" s="387"/>
      <c r="E11" s="393">
        <f>C23</f>
        <v>0</v>
      </c>
      <c r="F11" s="416"/>
      <c r="G11" s="393"/>
      <c r="H11" s="416"/>
      <c r="I11" s="393"/>
      <c r="J11" s="387"/>
      <c r="K11" s="393"/>
      <c r="L11" s="387"/>
      <c r="M11" s="393"/>
      <c r="N11" s="387"/>
      <c r="O11" s="393">
        <f>C11</f>
        <v>0</v>
      </c>
    </row>
    <row r="12" spans="1:15" ht="27" customHeight="1">
      <c r="A12" s="81" t="s">
        <v>399</v>
      </c>
      <c r="B12" s="66" t="s">
        <v>190</v>
      </c>
      <c r="C12" s="392"/>
      <c r="D12" s="388"/>
      <c r="E12" s="391"/>
      <c r="F12" s="95"/>
      <c r="G12" s="415"/>
      <c r="H12" s="95"/>
      <c r="I12" s="415"/>
      <c r="J12" s="388"/>
      <c r="K12" s="415"/>
      <c r="L12" s="388"/>
      <c r="M12" s="415"/>
      <c r="N12" s="388"/>
      <c r="O12" s="393">
        <f aca="true" t="shared" si="0" ref="O12:O21">SUM(C12:N12)</f>
        <v>0</v>
      </c>
    </row>
    <row r="13" spans="1:17" ht="27" customHeight="1">
      <c r="A13" s="81" t="s">
        <v>504</v>
      </c>
      <c r="B13" s="66"/>
      <c r="C13" s="392"/>
      <c r="D13" s="388"/>
      <c r="E13" s="391"/>
      <c r="F13" s="95"/>
      <c r="G13" s="415"/>
      <c r="H13" s="95"/>
      <c r="I13" s="415"/>
      <c r="J13" s="388"/>
      <c r="K13" s="415"/>
      <c r="L13" s="388"/>
      <c r="M13" s="415"/>
      <c r="N13" s="388"/>
      <c r="O13" s="393">
        <f t="shared" si="0"/>
        <v>0</v>
      </c>
      <c r="Q13" s="22"/>
    </row>
    <row r="14" spans="1:15" ht="27" customHeight="1">
      <c r="A14" s="81" t="s">
        <v>441</v>
      </c>
      <c r="B14" s="66"/>
      <c r="C14" s="392"/>
      <c r="D14" s="95"/>
      <c r="E14" s="415"/>
      <c r="F14" s="95"/>
      <c r="G14" s="415"/>
      <c r="H14" s="95"/>
      <c r="I14" s="415"/>
      <c r="J14" s="388"/>
      <c r="K14" s="392"/>
      <c r="L14" s="388"/>
      <c r="M14" s="415"/>
      <c r="N14" s="388"/>
      <c r="O14" s="393">
        <f t="shared" si="0"/>
        <v>0</v>
      </c>
    </row>
    <row r="15" spans="1:15" ht="26.25">
      <c r="A15" s="81" t="s">
        <v>400</v>
      </c>
      <c r="B15" s="66" t="s">
        <v>190</v>
      </c>
      <c r="C15" s="392"/>
      <c r="D15" s="388"/>
      <c r="E15" s="392"/>
      <c r="F15" s="95"/>
      <c r="G15" s="392"/>
      <c r="H15" s="95"/>
      <c r="I15" s="392"/>
      <c r="J15" s="388"/>
      <c r="K15" s="392"/>
      <c r="L15" s="388"/>
      <c r="M15" s="392"/>
      <c r="N15" s="388"/>
      <c r="O15" s="393">
        <f t="shared" si="0"/>
        <v>0</v>
      </c>
    </row>
    <row r="16" spans="1:15" ht="27" customHeight="1">
      <c r="A16" s="81" t="s">
        <v>401</v>
      </c>
      <c r="B16" s="66" t="s">
        <v>190</v>
      </c>
      <c r="C16" s="392"/>
      <c r="D16" s="388"/>
      <c r="E16" s="391"/>
      <c r="F16" s="95"/>
      <c r="G16" s="392"/>
      <c r="H16" s="95"/>
      <c r="I16" s="392"/>
      <c r="J16" s="388"/>
      <c r="K16" s="392"/>
      <c r="L16" s="388"/>
      <c r="M16" s="392"/>
      <c r="N16" s="388"/>
      <c r="O16" s="393">
        <f t="shared" si="0"/>
        <v>0</v>
      </c>
    </row>
    <row r="17" spans="1:15" ht="27" customHeight="1">
      <c r="A17" s="81" t="s">
        <v>402</v>
      </c>
      <c r="B17" s="66"/>
      <c r="C17" s="392"/>
      <c r="D17" s="388"/>
      <c r="E17" s="391"/>
      <c r="F17" s="95"/>
      <c r="G17" s="392"/>
      <c r="H17" s="95"/>
      <c r="I17" s="392"/>
      <c r="J17" s="388"/>
      <c r="K17" s="392"/>
      <c r="L17" s="388"/>
      <c r="M17" s="392"/>
      <c r="N17" s="388"/>
      <c r="O17" s="393">
        <f t="shared" si="0"/>
        <v>0</v>
      </c>
    </row>
    <row r="18" spans="1:15" ht="27.75" customHeight="1">
      <c r="A18" s="81" t="s">
        <v>403</v>
      </c>
      <c r="B18" s="66" t="s">
        <v>190</v>
      </c>
      <c r="C18" s="392"/>
      <c r="D18" s="388"/>
      <c r="E18" s="391"/>
      <c r="F18" s="95"/>
      <c r="G18" s="392"/>
      <c r="H18" s="95"/>
      <c r="I18" s="392"/>
      <c r="J18" s="388"/>
      <c r="K18" s="392"/>
      <c r="L18" s="388"/>
      <c r="M18" s="392"/>
      <c r="N18" s="388"/>
      <c r="O18" s="393">
        <f t="shared" si="0"/>
        <v>0</v>
      </c>
    </row>
    <row r="19" spans="1:15" ht="26.25">
      <c r="A19" s="81" t="s">
        <v>404</v>
      </c>
      <c r="B19" s="66" t="s">
        <v>190</v>
      </c>
      <c r="C19" s="392"/>
      <c r="D19" s="388"/>
      <c r="E19" s="391"/>
      <c r="F19" s="95"/>
      <c r="G19" s="392"/>
      <c r="H19" s="95"/>
      <c r="I19" s="392"/>
      <c r="J19" s="388"/>
      <c r="K19" s="392"/>
      <c r="L19" s="388"/>
      <c r="M19" s="392"/>
      <c r="N19" s="388"/>
      <c r="O19" s="393">
        <f t="shared" si="0"/>
        <v>0</v>
      </c>
    </row>
    <row r="20" spans="1:15" ht="24" customHeight="1">
      <c r="A20" s="429" t="s">
        <v>405</v>
      </c>
      <c r="B20" s="66" t="s">
        <v>190</v>
      </c>
      <c r="C20" s="392"/>
      <c r="D20" s="388"/>
      <c r="E20" s="391"/>
      <c r="F20" s="95"/>
      <c r="G20" s="392"/>
      <c r="H20" s="95"/>
      <c r="I20" s="392"/>
      <c r="J20" s="388"/>
      <c r="K20" s="392"/>
      <c r="L20" s="388"/>
      <c r="M20" s="392"/>
      <c r="N20" s="388"/>
      <c r="O20" s="393">
        <f t="shared" si="0"/>
        <v>0</v>
      </c>
    </row>
    <row r="21" spans="1:15" ht="24.75" customHeight="1">
      <c r="A21" s="81" t="s">
        <v>472</v>
      </c>
      <c r="B21" s="66" t="s">
        <v>188</v>
      </c>
      <c r="C21" s="392"/>
      <c r="D21" s="388"/>
      <c r="E21" s="391"/>
      <c r="F21" s="95"/>
      <c r="G21" s="392"/>
      <c r="H21" s="95"/>
      <c r="I21" s="392"/>
      <c r="J21" s="388"/>
      <c r="K21" s="392"/>
      <c r="L21" s="388"/>
      <c r="M21" s="392"/>
      <c r="N21" s="388"/>
      <c r="O21" s="393">
        <f t="shared" si="0"/>
        <v>0</v>
      </c>
    </row>
    <row r="22" spans="1:15" ht="12.75">
      <c r="A22" s="65"/>
      <c r="C22" s="392"/>
      <c r="D22" s="388"/>
      <c r="E22" s="391"/>
      <c r="F22" s="95"/>
      <c r="G22" s="388"/>
      <c r="H22" s="95"/>
      <c r="I22" s="388"/>
      <c r="J22" s="388"/>
      <c r="K22" s="388"/>
      <c r="L22" s="388"/>
      <c r="M22" s="388"/>
      <c r="N22" s="388"/>
      <c r="O22" s="416"/>
    </row>
    <row r="23" spans="1:15" ht="13.5" thickBot="1">
      <c r="A23" s="81" t="s">
        <v>375</v>
      </c>
      <c r="B23" s="34"/>
      <c r="C23" s="394">
        <f>SUM(C11:C21)</f>
        <v>0</v>
      </c>
      <c r="D23" s="416"/>
      <c r="E23" s="394">
        <f>SUM(E11:E21)</f>
        <v>0</v>
      </c>
      <c r="F23" s="416"/>
      <c r="G23" s="394">
        <f>SUM(G11:G21)</f>
        <v>0</v>
      </c>
      <c r="H23" s="416"/>
      <c r="I23" s="394">
        <f>SUM(I11:I21)</f>
        <v>0</v>
      </c>
      <c r="J23" s="387"/>
      <c r="K23" s="394">
        <f>SUM(K11:K21)</f>
        <v>0</v>
      </c>
      <c r="L23" s="387"/>
      <c r="M23" s="394">
        <f>SUM(M11:M22)</f>
        <v>0</v>
      </c>
      <c r="N23" s="387"/>
      <c r="O23" s="447">
        <f>SUM(O11:O21)</f>
        <v>0</v>
      </c>
    </row>
    <row r="24" spans="1:15" ht="13.5" thickTop="1">
      <c r="A24" s="430"/>
      <c r="B24" s="431"/>
      <c r="C24" s="437"/>
      <c r="D24" s="438"/>
      <c r="E24" s="437"/>
      <c r="F24" s="438"/>
      <c r="G24" s="437"/>
      <c r="H24" s="438"/>
      <c r="I24" s="437"/>
      <c r="J24" s="431"/>
      <c r="K24" s="437"/>
      <c r="L24" s="186"/>
      <c r="M24" s="439"/>
      <c r="N24" s="186"/>
      <c r="O24" s="439"/>
    </row>
    <row r="25" spans="1:15" ht="12.75">
      <c r="A25" s="453"/>
      <c r="B25" s="454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6"/>
    </row>
    <row r="26" spans="1:15" ht="12.75">
      <c r="A26" s="430"/>
      <c r="B26" s="431"/>
      <c r="C26" s="457"/>
      <c r="D26" s="457"/>
      <c r="E26" s="457"/>
      <c r="F26" s="457"/>
      <c r="G26" s="457"/>
      <c r="H26" s="457"/>
      <c r="I26" s="457"/>
      <c r="J26" s="458"/>
      <c r="K26" s="457"/>
      <c r="L26" s="459"/>
      <c r="M26" s="460"/>
      <c r="N26" s="459"/>
      <c r="O26" s="460"/>
    </row>
    <row r="27" spans="1:15" ht="12.75">
      <c r="A27" s="430" t="s">
        <v>406</v>
      </c>
      <c r="B27" s="431"/>
      <c r="C27" s="457"/>
      <c r="D27" s="457"/>
      <c r="E27" s="457"/>
      <c r="F27" s="457"/>
      <c r="G27" s="457"/>
      <c r="H27" s="457"/>
      <c r="I27" s="457"/>
      <c r="J27" s="458"/>
      <c r="K27" s="457"/>
      <c r="L27" s="459"/>
      <c r="M27" s="460"/>
      <c r="N27" s="459"/>
      <c r="O27" s="460"/>
    </row>
    <row r="28" spans="1:15" ht="9" customHeight="1">
      <c r="A28" s="430"/>
      <c r="B28" s="431"/>
      <c r="C28" s="431"/>
      <c r="D28" s="431"/>
      <c r="E28" s="431"/>
      <c r="F28" s="431"/>
      <c r="G28" s="431"/>
      <c r="H28" s="431"/>
      <c r="I28" s="431"/>
      <c r="J28" s="431"/>
      <c r="K28" s="432"/>
      <c r="L28" s="186"/>
      <c r="M28" s="186"/>
      <c r="N28" s="186"/>
      <c r="O28" s="186"/>
    </row>
    <row r="29" spans="1:15" ht="12.75">
      <c r="A29" s="430" t="s">
        <v>407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6"/>
      <c r="M29" s="186"/>
      <c r="N29" s="186"/>
      <c r="O29" s="186"/>
    </row>
    <row r="30" spans="1:15" ht="12.75">
      <c r="A30" s="433" t="s">
        <v>408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6"/>
      <c r="M30" s="186"/>
      <c r="N30" s="186"/>
      <c r="O30" s="186"/>
    </row>
    <row r="31" spans="1:15" ht="9" customHeight="1">
      <c r="A31" s="186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186"/>
      <c r="M31" s="186"/>
      <c r="N31" s="186"/>
      <c r="O31" s="186"/>
    </row>
    <row r="32" spans="1:15" ht="12.75">
      <c r="A32" s="448" t="s">
        <v>409</v>
      </c>
      <c r="B32" s="80"/>
      <c r="C32" s="80"/>
      <c r="D32" s="80"/>
      <c r="E32" s="80"/>
      <c r="F32" s="80"/>
      <c r="G32" s="80"/>
      <c r="H32" s="80"/>
      <c r="I32" s="444"/>
      <c r="J32" s="444"/>
      <c r="K32" s="444"/>
      <c r="L32" s="444"/>
      <c r="M32" s="444"/>
      <c r="N32" s="444"/>
      <c r="O32" s="444"/>
    </row>
    <row r="33" spans="1:15" ht="9" customHeight="1">
      <c r="A33" s="449"/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</row>
    <row r="34" spans="1:19" ht="12.75">
      <c r="A34" s="509" t="s">
        <v>410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417"/>
      <c r="Q34" s="417"/>
      <c r="R34" s="417"/>
      <c r="S34" s="417"/>
    </row>
    <row r="35" spans="1:19" ht="12.75">
      <c r="A35" s="508" t="s">
        <v>411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17"/>
      <c r="Q35" s="417"/>
      <c r="R35" s="417"/>
      <c r="S35" s="417"/>
    </row>
    <row r="36" spans="1:19" ht="12.75">
      <c r="A36" s="508" t="s">
        <v>432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17"/>
      <c r="Q36" s="417"/>
      <c r="R36" s="417"/>
      <c r="S36" s="417"/>
    </row>
    <row r="37" spans="1:19" ht="12.75">
      <c r="A37" s="508" t="s">
        <v>412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417"/>
      <c r="Q37" s="417"/>
      <c r="R37" s="417"/>
      <c r="S37" s="417"/>
    </row>
    <row r="38" spans="1:19" ht="12.75">
      <c r="A38" s="434" t="s">
        <v>372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17"/>
      <c r="Q38" s="417"/>
      <c r="R38" s="417"/>
      <c r="S38" s="417"/>
    </row>
    <row r="39" spans="1:19" ht="12.75">
      <c r="A39" s="434" t="s">
        <v>373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17"/>
      <c r="Q39" s="417"/>
      <c r="R39" s="417"/>
      <c r="S39" s="417"/>
    </row>
    <row r="40" spans="1:19" ht="12.75">
      <c r="A40" s="434" t="s">
        <v>413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17"/>
      <c r="Q40" s="417"/>
      <c r="R40" s="417"/>
      <c r="S40" s="417"/>
    </row>
    <row r="41" spans="1:19" ht="12.75">
      <c r="A41" s="434" t="s">
        <v>414</v>
      </c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17"/>
      <c r="Q41" s="417"/>
      <c r="R41" s="417"/>
      <c r="S41" s="417"/>
    </row>
    <row r="42" spans="2:19" ht="9" customHeight="1"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17"/>
      <c r="Q42" s="417"/>
      <c r="R42" s="417"/>
      <c r="S42" s="417"/>
    </row>
    <row r="43" spans="1:15" ht="12.75">
      <c r="A43" s="436" t="s">
        <v>415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6"/>
      <c r="M43" s="186"/>
      <c r="N43" s="186"/>
      <c r="O43" s="186"/>
    </row>
    <row r="44" spans="1:15" ht="12.75">
      <c r="A44" s="431" t="s">
        <v>416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6"/>
      <c r="M44" s="186"/>
      <c r="N44" s="186"/>
      <c r="O44" s="186"/>
    </row>
    <row r="45" spans="1:15" ht="9" customHeight="1">
      <c r="A45" s="431"/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6"/>
      <c r="M45" s="186"/>
      <c r="N45" s="186"/>
      <c r="O45" s="186"/>
    </row>
    <row r="46" spans="1:15" ht="12.75">
      <c r="A46" s="436" t="s">
        <v>417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6"/>
      <c r="M46" s="186"/>
      <c r="N46" s="186"/>
      <c r="O46" s="186"/>
    </row>
    <row r="47" spans="1:15" ht="12.75">
      <c r="A47" s="431" t="s">
        <v>418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6"/>
      <c r="M47" s="186"/>
      <c r="N47" s="186"/>
      <c r="O47" s="186"/>
    </row>
    <row r="48" spans="1:15" ht="9" customHeight="1">
      <c r="A48" s="431"/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6"/>
      <c r="M48" s="186"/>
      <c r="N48" s="186"/>
      <c r="O48" s="186"/>
    </row>
    <row r="49" spans="1:15" ht="12.75">
      <c r="A49" s="436" t="s">
        <v>419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6"/>
      <c r="M49" s="186"/>
      <c r="N49" s="186"/>
      <c r="O49" s="186"/>
    </row>
    <row r="50" spans="1:15" ht="12.75">
      <c r="A50" s="431" t="s">
        <v>420</v>
      </c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6"/>
      <c r="M50" s="186"/>
      <c r="N50" s="186"/>
      <c r="O50" s="186"/>
    </row>
    <row r="51" spans="1:15" ht="9" customHeight="1">
      <c r="A51" s="431"/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6"/>
      <c r="M51" s="186"/>
      <c r="N51" s="186"/>
      <c r="O51" s="186"/>
    </row>
    <row r="52" spans="1:15" ht="12.75">
      <c r="A52" s="436" t="s">
        <v>421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6"/>
      <c r="M52" s="186"/>
      <c r="N52" s="186"/>
      <c r="O52" s="186"/>
    </row>
    <row r="53" spans="1:15" ht="12.75">
      <c r="A53" s="431" t="s">
        <v>418</v>
      </c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6"/>
      <c r="M53" s="186"/>
      <c r="N53" s="186"/>
      <c r="O53" s="186"/>
    </row>
    <row r="54" spans="1:15" ht="9" customHeight="1">
      <c r="A54" s="436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6"/>
      <c r="M54" s="186"/>
      <c r="N54" s="186"/>
      <c r="O54" s="186"/>
    </row>
    <row r="55" spans="1:15" ht="12.75">
      <c r="A55" s="431" t="s">
        <v>422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6"/>
      <c r="M55" s="186"/>
      <c r="N55" s="186"/>
      <c r="O55" s="186"/>
    </row>
    <row r="56" spans="1:15" ht="9" customHeight="1">
      <c r="A56" s="431"/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6"/>
      <c r="M56" s="186"/>
      <c r="N56" s="186"/>
      <c r="O56" s="186"/>
    </row>
    <row r="57" spans="1:15" ht="12.75" customHeight="1">
      <c r="A57" s="436" t="s">
        <v>423</v>
      </c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6"/>
      <c r="M57" s="186"/>
      <c r="N57" s="186"/>
      <c r="O57" s="186"/>
    </row>
    <row r="58" spans="1:15" ht="9" customHeight="1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6"/>
      <c r="M58" s="186"/>
      <c r="N58" s="186"/>
      <c r="O58" s="186"/>
    </row>
    <row r="59" spans="1:15" ht="12.75">
      <c r="A59" s="431" t="s">
        <v>424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6"/>
      <c r="M59" s="186"/>
      <c r="N59" s="186"/>
      <c r="O59" s="186"/>
    </row>
    <row r="60" spans="1:15" ht="12.75">
      <c r="A60" s="431" t="s">
        <v>425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6"/>
      <c r="M60" s="186"/>
      <c r="N60" s="186"/>
      <c r="O60" s="186"/>
    </row>
    <row r="61" spans="1:15" ht="12.75">
      <c r="A61" s="431" t="s">
        <v>426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6"/>
      <c r="M61" s="186"/>
      <c r="N61" s="186"/>
      <c r="O61" s="186"/>
    </row>
    <row r="62" spans="1:15" ht="12.75">
      <c r="A62" s="431" t="s">
        <v>382</v>
      </c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6"/>
      <c r="M62" s="186"/>
      <c r="N62" s="186"/>
      <c r="O62" s="186"/>
    </row>
    <row r="63" spans="1:15" ht="9" customHeight="1">
      <c r="A63" s="431"/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6"/>
      <c r="M63" s="186"/>
      <c r="N63" s="186"/>
      <c r="O63" s="186"/>
    </row>
    <row r="64" spans="1:15" ht="12.75">
      <c r="A64" s="431" t="s">
        <v>427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6"/>
      <c r="M64" s="186"/>
      <c r="N64" s="186"/>
      <c r="O64" s="186"/>
    </row>
    <row r="65" spans="1:15" ht="12.75">
      <c r="A65" s="431" t="s">
        <v>428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6"/>
      <c r="M65" s="186"/>
      <c r="N65" s="186"/>
      <c r="O65" s="186"/>
    </row>
    <row r="66" spans="1:15" ht="12.75">
      <c r="A66" s="431" t="s">
        <v>384</v>
      </c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6"/>
      <c r="M66" s="186"/>
      <c r="N66" s="186"/>
      <c r="O66" s="186"/>
    </row>
    <row r="67" spans="1:15" ht="3.75" customHeight="1">
      <c r="A67" s="431"/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6"/>
      <c r="M67" s="186"/>
      <c r="N67" s="186"/>
      <c r="O67" s="186"/>
    </row>
    <row r="68" spans="1:15" ht="12.75">
      <c r="A68" s="431" t="s">
        <v>383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6"/>
      <c r="M68" s="186"/>
      <c r="N68" s="186"/>
      <c r="O68" s="186"/>
    </row>
    <row r="69" spans="1:15" ht="12.75">
      <c r="A69" s="431" t="s">
        <v>385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6"/>
      <c r="M69" s="186"/>
      <c r="N69" s="186"/>
      <c r="O69" s="186"/>
    </row>
    <row r="70" spans="1:15" ht="3.75" customHeight="1">
      <c r="A70" s="431"/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6"/>
      <c r="M70" s="186"/>
      <c r="N70" s="186"/>
      <c r="O70" s="186"/>
    </row>
    <row r="71" spans="1:15" ht="12.75">
      <c r="A71" s="431" t="s">
        <v>429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6"/>
      <c r="M71" s="186"/>
      <c r="N71" s="186"/>
      <c r="O71" s="186"/>
    </row>
    <row r="72" spans="1:15" ht="12.75">
      <c r="A72" s="431" t="s">
        <v>430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6"/>
      <c r="M72" s="186"/>
      <c r="N72" s="186"/>
      <c r="O72" s="186"/>
    </row>
    <row r="73" spans="1:15" ht="12.75">
      <c r="A73" s="431" t="s">
        <v>431</v>
      </c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6"/>
      <c r="M73" s="186"/>
      <c r="N73" s="186"/>
      <c r="O73" s="186"/>
    </row>
    <row r="74" spans="1:15" ht="9" customHeight="1">
      <c r="A74" s="431"/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186"/>
      <c r="M74" s="186"/>
      <c r="N74" s="186"/>
      <c r="O74" s="186"/>
    </row>
    <row r="75" spans="1:15" ht="12.75" customHeight="1">
      <c r="A75" s="508" t="s">
        <v>461</v>
      </c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</row>
    <row r="76" spans="1:15" ht="12.75">
      <c r="A76" s="431" t="s">
        <v>374</v>
      </c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6"/>
      <c r="M76" s="186"/>
      <c r="N76" s="186"/>
      <c r="O76" s="186"/>
    </row>
    <row r="77" spans="1:15" ht="12.75">
      <c r="A77" s="186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6"/>
      <c r="M77" s="186"/>
      <c r="N77" s="186"/>
      <c r="O77" s="186"/>
    </row>
    <row r="78" spans="1:15" ht="12.75">
      <c r="A78" s="186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186"/>
      <c r="M78" s="186"/>
      <c r="N78" s="186"/>
      <c r="O78" s="186"/>
    </row>
    <row r="79" spans="1:17" ht="12.75">
      <c r="A79" s="186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6"/>
      <c r="O79" s="186"/>
      <c r="P79" s="186"/>
      <c r="Q79" s="186"/>
    </row>
    <row r="80" spans="1:17" ht="12.75">
      <c r="A80" s="186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6"/>
      <c r="O80" s="186"/>
      <c r="P80" s="186"/>
      <c r="Q80" s="186"/>
    </row>
    <row r="81" spans="1:17" ht="12.75">
      <c r="A81" s="186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6"/>
      <c r="O81" s="186"/>
      <c r="P81" s="186"/>
      <c r="Q81" s="186"/>
    </row>
    <row r="82" spans="1:17" ht="12.75">
      <c r="A82" s="431"/>
      <c r="B82" s="431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6"/>
      <c r="O82" s="186"/>
      <c r="P82" s="186"/>
      <c r="Q82" s="186"/>
    </row>
    <row r="83" spans="1:17" ht="12.75">
      <c r="A83" s="186"/>
      <c r="B83" s="186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6"/>
      <c r="O83" s="186"/>
      <c r="P83" s="186"/>
      <c r="Q83" s="186"/>
    </row>
    <row r="84" spans="1:17" ht="12.75">
      <c r="A84" s="186"/>
      <c r="B84" s="186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6"/>
      <c r="O84" s="186"/>
      <c r="P84" s="186"/>
      <c r="Q84" s="186"/>
    </row>
    <row r="85" spans="1:17" ht="12.75">
      <c r="A85" s="431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6"/>
      <c r="O85" s="186"/>
      <c r="P85" s="186"/>
      <c r="Q85" s="186"/>
    </row>
    <row r="86" spans="1:17" ht="12.75">
      <c r="A86" s="186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6"/>
      <c r="O86" s="186"/>
      <c r="P86" s="186"/>
      <c r="Q86" s="186"/>
    </row>
    <row r="87" spans="1:17" ht="12.75">
      <c r="A87" s="186"/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6"/>
      <c r="O87" s="186"/>
      <c r="P87" s="186"/>
      <c r="Q87" s="186"/>
    </row>
    <row r="88" spans="1:17" ht="12.75">
      <c r="A88" s="186"/>
      <c r="B88" s="186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6"/>
      <c r="O88" s="186"/>
      <c r="P88" s="186"/>
      <c r="Q88" s="186"/>
    </row>
    <row r="89" spans="1:17" ht="12.75">
      <c r="A89" s="186"/>
      <c r="B89" s="186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6"/>
      <c r="O89" s="186"/>
      <c r="P89" s="186"/>
      <c r="Q89" s="186"/>
    </row>
    <row r="90" spans="1:17" ht="12.75">
      <c r="A90" s="186"/>
      <c r="B90" s="186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6"/>
      <c r="O90" s="186"/>
      <c r="P90" s="186"/>
      <c r="Q90" s="186"/>
    </row>
    <row r="91" spans="1:17" ht="12.75">
      <c r="A91" s="186"/>
      <c r="B91" s="186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6"/>
      <c r="O91" s="186"/>
      <c r="P91" s="186"/>
      <c r="Q91" s="186"/>
    </row>
    <row r="92" spans="1:17" ht="12.75">
      <c r="A92" s="186"/>
      <c r="B92" s="186"/>
      <c r="D92" s="431"/>
      <c r="E92" s="431"/>
      <c r="F92" s="431"/>
      <c r="G92" s="431"/>
      <c r="H92" s="431"/>
      <c r="I92" s="431"/>
      <c r="J92" s="431"/>
      <c r="K92" s="431"/>
      <c r="L92" s="431"/>
      <c r="M92" s="431"/>
      <c r="N92" s="186"/>
      <c r="O92" s="186"/>
      <c r="P92" s="186"/>
      <c r="Q92" s="186"/>
    </row>
    <row r="93" spans="1:17" ht="12.75">
      <c r="A93" s="186"/>
      <c r="B93" s="186"/>
      <c r="C93" s="508"/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508"/>
      <c r="O93" s="508"/>
      <c r="P93" s="508"/>
      <c r="Q93" s="508"/>
    </row>
    <row r="94" spans="1:17" ht="12.75">
      <c r="A94" s="186"/>
      <c r="B94" s="186"/>
      <c r="C94" s="431"/>
      <c r="D94" s="431"/>
      <c r="E94" s="431"/>
      <c r="F94" s="431"/>
      <c r="G94" s="431"/>
      <c r="H94" s="431"/>
      <c r="I94" s="431"/>
      <c r="J94" s="431"/>
      <c r="K94" s="431"/>
      <c r="L94" s="431"/>
      <c r="M94" s="431"/>
      <c r="N94" s="186"/>
      <c r="O94" s="186"/>
      <c r="P94" s="186"/>
      <c r="Q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102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102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 t="s">
        <v>102</v>
      </c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  <row r="109" spans="1:15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</row>
  </sheetData>
  <sheetProtection/>
  <mergeCells count="6">
    <mergeCell ref="C93:Q93"/>
    <mergeCell ref="A34:O34"/>
    <mergeCell ref="A37:O37"/>
    <mergeCell ref="A75:O75"/>
    <mergeCell ref="A35:O35"/>
    <mergeCell ref="A36:O36"/>
  </mergeCells>
  <printOptions gridLines="1" headings="1"/>
  <pageMargins left="0.7480314960629921" right="0.2362204724409449" top="0.65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Maryanne Wilson</cp:lastModifiedBy>
  <cp:lastPrinted>2011-08-31T12:21:17Z</cp:lastPrinted>
  <dcterms:created xsi:type="dcterms:W3CDTF">2001-11-07T16:15:53Z</dcterms:created>
  <dcterms:modified xsi:type="dcterms:W3CDTF">2011-10-14T19:54:40Z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