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2" yWindow="156" windowWidth="13692" windowHeight="8292" activeTab="0"/>
  </bookViews>
  <sheets>
    <sheet name="App 1 - Continuity Schedule" sheetId="1" r:id="rId1"/>
    <sheet name="App 32 - Mar02 to Feb04 Revenue" sheetId="2" r:id="rId2"/>
    <sheet name="App 33 - Mar04 to Feb05 Revenue" sheetId="3" r:id="rId3"/>
    <sheet name="App 34 - Mar05 to Apr06 Revenue" sheetId="4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</externalReferences>
  <definedNames>
    <definedName name="_xlnm.Print_Titles" localSheetId="0">'App 1 - Continuity Schedule'!$1:$2</definedName>
  </definedNames>
  <calcPr fullCalcOnLoad="1"/>
</workbook>
</file>

<file path=xl/sharedStrings.xml><?xml version="1.0" encoding="utf-8"?>
<sst xmlns="http://schemas.openxmlformats.org/spreadsheetml/2006/main" count="537" uniqueCount="115">
  <si>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</si>
  <si>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</si>
  <si>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</si>
  <si>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</si>
  <si>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</si>
  <si>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</si>
  <si>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</si>
  <si>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</si>
  <si>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</si>
  <si>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</si>
  <si>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</si>
  <si>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</si>
  <si>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</si>
  <si>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</si>
  <si>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</si>
  <si>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</si>
  <si>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</si>
  <si>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</si>
  <si>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</si>
  <si>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</si>
  <si>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</si>
  <si>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</si>
  <si>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</si>
  <si>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</si>
  <si>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</si>
  <si>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</si>
  <si>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</si>
  <si>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</si>
  <si>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</si>
  <si>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</si>
  <si>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</si>
  <si>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</si>
  <si>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</si>
  <si>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</si>
  <si>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</si>
  <si>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</si>
  <si>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</si>
  <si>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</si>
  <si>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</si>
  <si>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</si>
  <si>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</si>
  <si>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</si>
  <si>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</si>
  <si>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</si>
  <si>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</si>
  <si>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</si>
  <si>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</si>
  <si>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</si>
  <si>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</si>
  <si>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</si>
  <si>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</si>
  <si>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</si>
  <si>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</si>
  <si>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</si>
  <si>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</si>
  <si>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</si>
  <si>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</si>
  <si>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</si>
  <si>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</si>
  <si>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</si>
  <si>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</si>
  <si>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</si>
  <si>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</si>
  <si>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</si>
  <si>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</si>
  <si>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</si>
  <si>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</si>
  <si>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</si>
  <si>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</si>
  <si>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</si>
  <si>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</si>
  <si>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</si>
  <si>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</si>
  <si>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</si>
  <si>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</si>
  <si>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</si>
  <si>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</si>
  <si>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</si>
  <si>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</si>
  <si>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</si>
  <si>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</si>
  <si>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</si>
  <si>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</si>
  <si>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</si>
  <si>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</si>
  <si>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</si>
  <si>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</si>
  <si>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</si>
  <si>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</si>
  <si>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</si>
  <si>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</si>
  <si>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</si>
  <si>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</si>
  <si>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</si>
  <si>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</si>
  <si>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</si>
  <si>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</si>
  <si>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</si>
  <si>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1562 Deferred PILS - Continuity Schedule</t>
  </si>
  <si>
    <t>Mar</t>
  </si>
  <si>
    <t>Street Lights</t>
  </si>
  <si>
    <t>Apr. 1, 2004</t>
  </si>
  <si>
    <t>Mar. 31, 2004</t>
  </si>
  <si>
    <t>Sentinel Lights</t>
  </si>
  <si>
    <t>Unmetered Scattered Load</t>
  </si>
  <si>
    <t>Feb. 29, 2004</t>
  </si>
  <si>
    <t>General Service &gt; 50 kW - TOU</t>
  </si>
  <si>
    <t>Westario Power Inc.</t>
  </si>
  <si>
    <t>Mar. 1, 2004</t>
  </si>
  <si>
    <t>Note: WPI did not have any LCT included in approved PILS entitlement, therefore no adjustment to revenue required.</t>
  </si>
  <si>
    <t>2009 Approved DRR</t>
  </si>
  <si>
    <t>2009 Approved    Billing Determinant (kWh / kW)</t>
  </si>
  <si>
    <t>General Service 50 to 4,999 kW</t>
  </si>
  <si>
    <t>Mar. 31, 2005</t>
  </si>
  <si>
    <t>Apr. 1,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</si>
</sst>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000_-;\-&quot;$&quot;* #,##0.0000_-;_-&quot;$&quot;* &quot;-&quot;??_-;_-@_-"/>
    <numFmt numFmtId="173" formatCode="_-* #,##0_-;\-* #,##0_-;_-* &quot;-&quot;??_-;_-@_-"/>
    <numFmt numFmtId="174" formatCode="#,##0;[Red]\(#,##0\)"/>
    <numFmt numFmtId="175" formatCode="_-&quot;$&quot;* #,##0_-;\-&quot;$&quot;* #,##0_-;_-&quot;$&quot;* &quot;-&quot;??_-;_-@_-"/>
    <numFmt numFmtId="176" formatCode="#,##0.00;[Red]\(#,##0.00\)"/>
    <numFmt numFmtId="177" formatCode="_-&quot;$&quot;* #,##0.000000_-;\-&quot;$&quot;* #,##0.000000_-;_-&quot;$&quot;* &quot;-&quot;??_-;_-@_-"/>
    <numFmt numFmtId="178" formatCode="#,##0.00000;[Red]\(#,##0.00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43" fillId="0" borderId="0" xfId="0" applyFont="1" applyAlignment="1">
      <alignment/>
    </xf>
    <xf numFmtId="170" fontId="0" fillId="33" borderId="0" xfId="45" applyFont="1" applyFill="1" applyAlignment="1">
      <alignment/>
    </xf>
    <xf numFmtId="170" fontId="0" fillId="33" borderId="10" xfId="45" applyFont="1" applyFill="1" applyBorder="1" applyAlignment="1">
      <alignment/>
    </xf>
    <xf numFmtId="170" fontId="0" fillId="0" borderId="0" xfId="45" applyFont="1" applyAlignment="1">
      <alignment/>
    </xf>
    <xf numFmtId="170" fontId="43" fillId="0" borderId="0" xfId="45" applyFont="1" applyAlignment="1">
      <alignment/>
    </xf>
    <xf numFmtId="170" fontId="41" fillId="0" borderId="0" xfId="45" applyFont="1" applyAlignment="1">
      <alignment horizontal="center"/>
    </xf>
    <xf numFmtId="170" fontId="41" fillId="0" borderId="0" xfId="45" applyFont="1" applyAlignment="1">
      <alignment horizontal="center" wrapText="1"/>
    </xf>
    <xf numFmtId="170" fontId="0" fillId="0" borderId="0" xfId="45" applyFont="1" applyFill="1" applyAlignment="1">
      <alignment/>
    </xf>
    <xf numFmtId="170" fontId="0" fillId="0" borderId="10" xfId="45" applyFont="1" applyFill="1" applyBorder="1" applyAlignment="1">
      <alignment/>
    </xf>
    <xf numFmtId="170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1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43" fillId="0" borderId="0" xfId="45" applyNumberFormat="1" applyFont="1" applyAlignment="1">
      <alignment horizontal="left"/>
    </xf>
    <xf numFmtId="170" fontId="0" fillId="0" borderId="0" xfId="45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172" fontId="0" fillId="0" borderId="0" xfId="45" applyNumberFormat="1" applyFont="1" applyAlignment="1">
      <alignment/>
    </xf>
    <xf numFmtId="0" fontId="4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" fillId="0" borderId="0" xfId="56">
      <alignment/>
      <protection/>
    </xf>
    <xf numFmtId="174" fontId="2" fillId="0" borderId="0" xfId="56" applyNumberFormat="1">
      <alignment/>
      <protection/>
    </xf>
    <xf numFmtId="0" fontId="2" fillId="0" borderId="0" xfId="56" applyAlignment="1">
      <alignment horizontal="center"/>
      <protection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173" fontId="2" fillId="0" borderId="0" xfId="56" applyNumberFormat="1">
      <alignment/>
      <protection/>
    </xf>
    <xf numFmtId="0" fontId="45" fillId="0" borderId="0" xfId="0" applyFont="1" applyAlignment="1">
      <alignment/>
    </xf>
    <xf numFmtId="0" fontId="0" fillId="0" borderId="0" xfId="0" applyAlignment="1" quotePrefix="1">
      <alignment horizontal="left"/>
    </xf>
    <xf numFmtId="0" fontId="4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175" fontId="41" fillId="0" borderId="0" xfId="45" applyNumberFormat="1" applyFont="1" applyAlignment="1">
      <alignment/>
    </xf>
    <xf numFmtId="10" fontId="4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41" fillId="0" borderId="0" xfId="0" applyNumberFormat="1" applyFont="1" applyAlignment="1">
      <alignment/>
    </xf>
    <xf numFmtId="177" fontId="0" fillId="0" borderId="0" xfId="45" applyNumberFormat="1" applyFont="1" applyAlignment="1">
      <alignment/>
    </xf>
    <xf numFmtId="177" fontId="0" fillId="0" borderId="0" xfId="45" applyNumberFormat="1" applyFont="1" applyAlignment="1">
      <alignment/>
    </xf>
    <xf numFmtId="170" fontId="0" fillId="0" borderId="0" xfId="45" applyFont="1" applyAlignment="1">
      <alignment/>
    </xf>
    <xf numFmtId="0" fontId="30" fillId="34" borderId="0" xfId="0" applyFont="1" applyFill="1" applyAlignment="1">
      <alignment horizontal="center" wrapText="1"/>
    </xf>
    <xf numFmtId="0" fontId="30" fillId="34" borderId="0" xfId="0" applyFont="1" applyFill="1" applyAlignment="1">
      <alignment horizontal="center"/>
    </xf>
    <xf numFmtId="170" fontId="0" fillId="0" borderId="0" xfId="45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173" fontId="0" fillId="0" borderId="0" xfId="0" applyNumberFormat="1" applyBorder="1" applyAlignment="1">
      <alignment/>
    </xf>
    <xf numFmtId="175" fontId="0" fillId="0" borderId="0" xfId="45" applyNumberFormat="1" applyFont="1" applyFill="1" applyAlignment="1">
      <alignment/>
    </xf>
    <xf numFmtId="175" fontId="0" fillId="0" borderId="10" xfId="45" applyNumberFormat="1" applyFont="1" applyFill="1" applyBorder="1" applyAlignment="1">
      <alignment/>
    </xf>
    <xf numFmtId="37" fontId="2" fillId="0" borderId="0" xfId="56" applyNumberFormat="1" applyFill="1">
      <alignment/>
      <protection/>
    </xf>
    <xf numFmtId="172" fontId="0" fillId="0" borderId="0" xfId="45" applyNumberFormat="1" applyFont="1" applyAlignment="1">
      <alignment/>
    </xf>
    <xf numFmtId="0" fontId="47" fillId="0" borderId="0" xfId="0" applyFont="1" applyAlignment="1">
      <alignment/>
    </xf>
    <xf numFmtId="172" fontId="0" fillId="0" borderId="0" xfId="45" applyNumberFormat="1" applyFont="1" applyFill="1" applyAlignment="1">
      <alignment/>
    </xf>
    <xf numFmtId="170" fontId="0" fillId="0" borderId="0" xfId="45" applyNumberFormat="1" applyFont="1" applyFill="1" applyAlignment="1">
      <alignment/>
    </xf>
    <xf numFmtId="177" fontId="0" fillId="0" borderId="0" xfId="45" applyNumberFormat="1" applyFont="1" applyFill="1" applyAlignment="1">
      <alignment/>
    </xf>
    <xf numFmtId="170" fontId="41" fillId="0" borderId="0" xfId="45" applyFont="1" applyAlignment="1">
      <alignment horizontal="center" wrapText="1"/>
    </xf>
    <xf numFmtId="170" fontId="41" fillId="0" borderId="0" xfId="45" applyFont="1" applyAlignment="1">
      <alignment horizontal="center"/>
    </xf>
    <xf numFmtId="0" fontId="4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35" borderId="0" xfId="0" applyFont="1" applyFill="1" applyAlignment="1">
      <alignment horizontal="center"/>
    </xf>
    <xf numFmtId="0" fontId="49" fillId="36" borderId="0" xfId="0" applyFont="1" applyFill="1" applyAlignment="1">
      <alignment horizontal="center"/>
    </xf>
    <xf numFmtId="0" fontId="26" fillId="37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30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n\Desktop\Client%20Files\Westario\1562%20Deferred%20PILS\Data%20needs\Billing%20Stats\2002%20-%202003%20Billed%20Consumption%20&amp;%20Deman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Statistics Issues List"/>
      <sheetName val="PILS to DRR %"/>
      <sheetName val="Billed Revenue"/>
      <sheetName val="Actual Recovery"/>
      <sheetName val="PILS Timeline"/>
    </sheetNames>
    <sheetDataSet>
      <sheetData sheetId="0">
        <row r="9">
          <cell r="D9">
            <v>16869188</v>
          </cell>
          <cell r="H9">
            <v>4815215</v>
          </cell>
          <cell r="L9">
            <v>35345</v>
          </cell>
        </row>
        <row r="56">
          <cell r="D56">
            <v>16186602.58</v>
          </cell>
          <cell r="H56">
            <v>2899923.3677999997</v>
          </cell>
          <cell r="L56">
            <v>450</v>
          </cell>
        </row>
        <row r="60">
          <cell r="D60">
            <v>10356662.9728</v>
          </cell>
          <cell r="H60">
            <v>113080.3696</v>
          </cell>
          <cell r="L60">
            <v>18187.5945</v>
          </cell>
        </row>
        <row r="64">
          <cell r="D64">
            <v>36575519.1422</v>
          </cell>
          <cell r="H64">
            <v>11978516.2029</v>
          </cell>
          <cell r="L64">
            <v>76281.6986</v>
          </cell>
        </row>
        <row r="68">
          <cell r="D68">
            <v>25871071.2493</v>
          </cell>
          <cell r="H68">
            <v>7675465.2304</v>
          </cell>
          <cell r="L68">
            <v>45286.4879</v>
          </cell>
        </row>
        <row r="72">
          <cell r="D72">
            <v>18297354.8788</v>
          </cell>
          <cell r="H72">
            <v>7361996.7801</v>
          </cell>
          <cell r="L72">
            <v>62140.8329</v>
          </cell>
        </row>
        <row r="76">
          <cell r="D76">
            <v>16013068.759</v>
          </cell>
          <cell r="H76">
            <v>6044760.2992</v>
          </cell>
          <cell r="L76">
            <v>83430.8055</v>
          </cell>
        </row>
        <row r="80">
          <cell r="D80">
            <v>12070415.1511</v>
          </cell>
          <cell r="H80">
            <v>6045884.851</v>
          </cell>
          <cell r="L80">
            <v>31196.4164</v>
          </cell>
        </row>
        <row r="84">
          <cell r="D84">
            <v>12254505.8198</v>
          </cell>
          <cell r="H84">
            <v>5305934.7142</v>
          </cell>
          <cell r="L84">
            <v>33378.7726</v>
          </cell>
        </row>
        <row r="88">
          <cell r="D88">
            <v>11644542.8479</v>
          </cell>
          <cell r="H88">
            <v>4921012.2043</v>
          </cell>
          <cell r="L88">
            <v>38679.4521</v>
          </cell>
        </row>
        <row r="92">
          <cell r="D92">
            <v>12820935.9781</v>
          </cell>
          <cell r="H92">
            <v>6522444.825</v>
          </cell>
          <cell r="L92">
            <v>52619.737</v>
          </cell>
        </row>
        <row r="96">
          <cell r="D96">
            <v>14831862.1562</v>
          </cell>
          <cell r="H96">
            <v>6073395.074100001</v>
          </cell>
          <cell r="L96">
            <v>51575.0795</v>
          </cell>
        </row>
        <row r="100">
          <cell r="D100">
            <v>16855995.2909</v>
          </cell>
          <cell r="H100">
            <v>5760064.4452</v>
          </cell>
          <cell r="L100">
            <v>37275.3863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</sheetNames>
    <sheetDataSet>
      <sheetData sheetId="1">
        <row r="87">
          <cell r="C87">
            <v>928633.6944059911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</sheetNames>
    <sheetDataSet>
      <sheetData sheetId="1">
        <row r="95">
          <cell r="C95">
            <v>1055436.4594581716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="120" zoomScaleNormal="120" zoomScalePageLayoutView="40" workbookViewId="0" topLeftCell="A181">
      <selection activeCell="B191" sqref="B191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8515625" style="0" bestFit="1" customWidth="1"/>
    <col min="4" max="4" width="16.57421875" style="0" customWidth="1"/>
    <col min="5" max="5" width="13.00390625" style="0" customWidth="1"/>
    <col min="6" max="6" width="14.8515625" style="0" bestFit="1" customWidth="1"/>
    <col min="7" max="7" width="2.57421875" style="0" customWidth="1"/>
    <col min="8" max="8" width="13.00390625" style="15" customWidth="1"/>
    <col min="9" max="9" width="12.71093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  <col min="15" max="15" width="17.28125" style="0" customWidth="1"/>
    <col min="16" max="16" width="13.421875" style="0" customWidth="1"/>
  </cols>
  <sheetData>
    <row r="1" spans="1:12" ht="28.5">
      <c r="A1" s="68" t="s">
        <v>107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8.5">
      <c r="A2" s="68" t="s">
        <v>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4" spans="1:12" ht="18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4.25">
      <c r="B5" s="10"/>
      <c r="C5" s="10"/>
      <c r="D5" s="66" t="s">
        <v>66</v>
      </c>
      <c r="E5" s="67" t="s">
        <v>14</v>
      </c>
      <c r="F5" s="67"/>
      <c r="G5" s="10"/>
      <c r="H5" s="67" t="s">
        <v>15</v>
      </c>
      <c r="I5" s="67"/>
      <c r="J5" s="67"/>
      <c r="K5" s="10"/>
      <c r="L5" s="66" t="s">
        <v>5</v>
      </c>
      <c r="M5" s="3"/>
    </row>
    <row r="6" spans="2:13" ht="28.5" customHeight="1">
      <c r="B6" s="11" t="s">
        <v>2</v>
      </c>
      <c r="C6" s="11" t="s">
        <v>3</v>
      </c>
      <c r="D6" s="66"/>
      <c r="E6" s="10" t="s">
        <v>4</v>
      </c>
      <c r="F6" s="10" t="s">
        <v>65</v>
      </c>
      <c r="G6" s="10"/>
      <c r="H6" s="16" t="s">
        <v>6</v>
      </c>
      <c r="I6" s="10" t="s">
        <v>4</v>
      </c>
      <c r="J6" s="10" t="s">
        <v>65</v>
      </c>
      <c r="K6" s="10"/>
      <c r="L6" s="66"/>
      <c r="M6" s="3"/>
    </row>
    <row r="7" spans="1:12" ht="14.25">
      <c r="A7" t="s">
        <v>10</v>
      </c>
      <c r="B7" s="6">
        <f>'PILS Entitlement Summary'!H3</f>
        <v>91991.00459147872</v>
      </c>
      <c r="C7" s="6">
        <v>0</v>
      </c>
      <c r="D7" s="8"/>
      <c r="E7" s="8">
        <f>B7-C7+D7</f>
        <v>91991.00459147872</v>
      </c>
      <c r="F7" s="8">
        <f>E7</f>
        <v>91991.00459147872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91991.00459147872</v>
      </c>
    </row>
    <row r="8" spans="1:12" ht="14.25">
      <c r="A8" t="s">
        <v>11</v>
      </c>
      <c r="B8" s="12">
        <f>B7</f>
        <v>91991.00459147872</v>
      </c>
      <c r="C8" s="6">
        <v>0</v>
      </c>
      <c r="D8" s="8"/>
      <c r="E8" s="8">
        <f>B8-C8+D8</f>
        <v>91991.00459147872</v>
      </c>
      <c r="F8" s="8">
        <f>F7+E8</f>
        <v>183982.00918295744</v>
      </c>
      <c r="G8" s="8"/>
      <c r="H8" s="15">
        <f>H7</f>
        <v>0.0725</v>
      </c>
      <c r="I8" s="8">
        <f>F7*H8/12</f>
        <v>555.7789860735172</v>
      </c>
      <c r="J8" s="8">
        <f>I8+J7</f>
        <v>555.7789860735172</v>
      </c>
      <c r="K8" s="8"/>
      <c r="L8" s="8">
        <f>F8+J8</f>
        <v>184537.78816903094</v>
      </c>
    </row>
    <row r="9" spans="1:12" ht="14.25">
      <c r="A9" t="s">
        <v>12</v>
      </c>
      <c r="B9" s="13">
        <f>B8</f>
        <v>91991.00459147872</v>
      </c>
      <c r="C9" s="7">
        <v>0</v>
      </c>
      <c r="D9" s="14"/>
      <c r="E9" s="14">
        <f>B9-C9+D9</f>
        <v>91991.00459147872</v>
      </c>
      <c r="F9" s="14">
        <f>F8+E9</f>
        <v>275973.01377443614</v>
      </c>
      <c r="G9" s="14"/>
      <c r="H9" s="17">
        <f>H8</f>
        <v>0.0725</v>
      </c>
      <c r="I9" s="14">
        <f>F8*H9/12</f>
        <v>1111.5579721470344</v>
      </c>
      <c r="J9" s="14">
        <f>I9+J8</f>
        <v>1667.3369582205517</v>
      </c>
      <c r="K9" s="14"/>
      <c r="L9" s="14">
        <f>F9+J9</f>
        <v>277640.3507326567</v>
      </c>
    </row>
    <row r="10" spans="1:12" ht="14.25">
      <c r="A10" s="2" t="s">
        <v>13</v>
      </c>
      <c r="B10" s="8">
        <f>SUM(B7:B9)</f>
        <v>275973.01377443614</v>
      </c>
      <c r="C10" s="8">
        <f>SUM(C7:C9)</f>
        <v>0</v>
      </c>
      <c r="D10" s="8">
        <f>SUM(D7:D9)</f>
        <v>0</v>
      </c>
      <c r="E10" s="8">
        <f>SUM(E7:E9)</f>
        <v>275973.01377443614</v>
      </c>
      <c r="F10" s="8"/>
      <c r="G10" s="8"/>
      <c r="I10" s="8">
        <f>SUM(I7:I9)</f>
        <v>1667.3369582205517</v>
      </c>
      <c r="J10" s="8"/>
      <c r="K10" s="8"/>
      <c r="L10" s="8"/>
    </row>
    <row r="11" spans="2:12" ht="14.2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4.2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4.25">
      <c r="B14" s="10"/>
      <c r="C14" s="10"/>
      <c r="D14" s="66" t="str">
        <f>$D$5</f>
        <v>SIMPILS True-Up Adjustments    (neg = CR)</v>
      </c>
      <c r="E14" s="67" t="s">
        <v>14</v>
      </c>
      <c r="F14" s="67"/>
      <c r="G14" s="10"/>
      <c r="H14" s="67" t="s">
        <v>15</v>
      </c>
      <c r="I14" s="67"/>
      <c r="J14" s="67"/>
      <c r="K14" s="10"/>
      <c r="L14" s="66" t="s">
        <v>5</v>
      </c>
    </row>
    <row r="15" spans="2:12" ht="28.5">
      <c r="B15" s="11" t="s">
        <v>2</v>
      </c>
      <c r="C15" s="11" t="s">
        <v>3</v>
      </c>
      <c r="D15" s="66"/>
      <c r="E15" s="10" t="s">
        <v>4</v>
      </c>
      <c r="F15" s="10" t="s">
        <v>65</v>
      </c>
      <c r="G15" s="10"/>
      <c r="H15" s="16" t="s">
        <v>6</v>
      </c>
      <c r="I15" s="10" t="s">
        <v>4</v>
      </c>
      <c r="J15" s="10" t="s">
        <v>65</v>
      </c>
      <c r="K15" s="10"/>
      <c r="L15" s="66"/>
    </row>
    <row r="16" spans="1:12" ht="14.25">
      <c r="A16" t="s">
        <v>7</v>
      </c>
      <c r="B16" s="6">
        <f>'PILS Entitlement Summary'!H4</f>
        <v>77386.14120049926</v>
      </c>
      <c r="C16" s="6">
        <v>0</v>
      </c>
      <c r="D16" s="8"/>
      <c r="E16" s="8">
        <f aca="true" t="shared" si="0" ref="E16:E27">B16-C16+D16</f>
        <v>77386.14120049926</v>
      </c>
      <c r="F16" s="8">
        <f>F9+E16</f>
        <v>353359.1549749354</v>
      </c>
      <c r="G16" s="8"/>
      <c r="H16" s="15">
        <f>H9</f>
        <v>0.0725</v>
      </c>
      <c r="I16" s="8">
        <f>H16*F9/12</f>
        <v>1667.3369582205517</v>
      </c>
      <c r="J16" s="8">
        <f>J9+I16</f>
        <v>3334.6739164411033</v>
      </c>
      <c r="K16" s="8"/>
      <c r="L16" s="8">
        <f aca="true" t="shared" si="1" ref="L16:L27">F16+J16</f>
        <v>356693.8288913765</v>
      </c>
    </row>
    <row r="17" spans="1:12" ht="14.25">
      <c r="A17" t="s">
        <v>8</v>
      </c>
      <c r="B17" s="12">
        <f>B16</f>
        <v>77386.14120049926</v>
      </c>
      <c r="C17" s="6">
        <v>0</v>
      </c>
      <c r="D17" s="8"/>
      <c r="E17" s="8">
        <f t="shared" si="0"/>
        <v>77386.14120049926</v>
      </c>
      <c r="F17" s="8">
        <f>F16+E17</f>
        <v>430745.29617543466</v>
      </c>
      <c r="G17" s="8"/>
      <c r="H17" s="15">
        <f>H16</f>
        <v>0.0725</v>
      </c>
      <c r="I17" s="8">
        <f>H17*F16/12</f>
        <v>2134.878227973568</v>
      </c>
      <c r="J17" s="8">
        <f>I17+J16</f>
        <v>5469.552144414671</v>
      </c>
      <c r="K17" s="8"/>
      <c r="L17" s="8">
        <f t="shared" si="1"/>
        <v>436214.84831984935</v>
      </c>
    </row>
    <row r="18" spans="1:12" ht="14.25">
      <c r="A18" t="s">
        <v>9</v>
      </c>
      <c r="B18" s="12">
        <f>B17</f>
        <v>77386.14120049926</v>
      </c>
      <c r="C18" s="6">
        <f>'App 32 - Mar02 to Feb04 Revenue'!B$49</f>
        <v>60172.56117361846</v>
      </c>
      <c r="D18" s="8"/>
      <c r="E18" s="8">
        <f t="shared" si="0"/>
        <v>17213.5800268808</v>
      </c>
      <c r="F18" s="8">
        <f aca="true" t="shared" si="2" ref="F18:F27">F17+E18</f>
        <v>447958.87620231544</v>
      </c>
      <c r="G18" s="8"/>
      <c r="H18" s="15">
        <f aca="true" t="shared" si="3" ref="H18:H27">H17</f>
        <v>0.0725</v>
      </c>
      <c r="I18" s="8">
        <f aca="true" t="shared" si="4" ref="I18:I27">H18*F17/12</f>
        <v>2602.4194977265843</v>
      </c>
      <c r="J18" s="8">
        <f aca="true" t="shared" si="5" ref="J18:J27">I18+J17</f>
        <v>8071.971642141255</v>
      </c>
      <c r="K18" s="8"/>
      <c r="L18" s="8">
        <f t="shared" si="1"/>
        <v>456030.8478444567</v>
      </c>
    </row>
    <row r="19" spans="1:12" ht="14.25">
      <c r="A19" t="s">
        <v>16</v>
      </c>
      <c r="B19" s="12">
        <f aca="true" t="shared" si="6" ref="B19:B27">B18</f>
        <v>77386.14120049926</v>
      </c>
      <c r="C19" s="6">
        <f>'App 32 - Mar02 to Feb04 Revenue'!C$49</f>
        <v>112115.67812984916</v>
      </c>
      <c r="D19" s="8"/>
      <c r="E19" s="8">
        <f t="shared" si="0"/>
        <v>-34729.536929349895</v>
      </c>
      <c r="F19" s="8">
        <f t="shared" si="2"/>
        <v>413229.33927296556</v>
      </c>
      <c r="G19" s="8"/>
      <c r="H19" s="15">
        <f t="shared" si="3"/>
        <v>0.0725</v>
      </c>
      <c r="I19" s="8">
        <f>H19*F18/12</f>
        <v>2706.418210388989</v>
      </c>
      <c r="J19" s="8">
        <f>I19+J18</f>
        <v>10778.389852530243</v>
      </c>
      <c r="K19" s="8"/>
      <c r="L19" s="8">
        <f t="shared" si="1"/>
        <v>424007.7291254958</v>
      </c>
    </row>
    <row r="20" spans="1:12" ht="14.25">
      <c r="A20" t="s">
        <v>17</v>
      </c>
      <c r="B20" s="12">
        <f t="shared" si="6"/>
        <v>77386.14120049926</v>
      </c>
      <c r="C20" s="6">
        <f>'App 32 - Mar02 to Feb04 Revenue'!D$49</f>
        <v>102638.85271892294</v>
      </c>
      <c r="D20" s="8"/>
      <c r="E20" s="8">
        <f t="shared" si="0"/>
        <v>-25252.711518423675</v>
      </c>
      <c r="F20" s="8">
        <f t="shared" si="2"/>
        <v>387976.62775454187</v>
      </c>
      <c r="G20" s="8"/>
      <c r="H20" s="15">
        <f t="shared" si="3"/>
        <v>0.0725</v>
      </c>
      <c r="I20" s="8">
        <f t="shared" si="4"/>
        <v>2496.5939247741667</v>
      </c>
      <c r="J20" s="8">
        <f t="shared" si="5"/>
        <v>13274.98377730441</v>
      </c>
      <c r="K20" s="8"/>
      <c r="L20" s="8">
        <f t="shared" si="1"/>
        <v>401251.6115318463</v>
      </c>
    </row>
    <row r="21" spans="1:12" ht="14.25">
      <c r="A21" t="s">
        <v>18</v>
      </c>
      <c r="B21" s="12">
        <f t="shared" si="6"/>
        <v>77386.14120049926</v>
      </c>
      <c r="C21" s="6">
        <f>'App 32 - Mar02 to Feb04 Revenue'!E$49</f>
        <v>79686.5387923612</v>
      </c>
      <c r="D21" s="8"/>
      <c r="E21" s="8">
        <f t="shared" si="0"/>
        <v>-2300.39759186194</v>
      </c>
      <c r="F21" s="8">
        <f t="shared" si="2"/>
        <v>385676.2301626799</v>
      </c>
      <c r="G21" s="8"/>
      <c r="H21" s="15">
        <f t="shared" si="3"/>
        <v>0.0725</v>
      </c>
      <c r="I21" s="8">
        <f t="shared" si="4"/>
        <v>2344.025459350357</v>
      </c>
      <c r="J21" s="8">
        <f t="shared" si="5"/>
        <v>15619.009236654765</v>
      </c>
      <c r="K21" s="8"/>
      <c r="L21" s="8">
        <f t="shared" si="1"/>
        <v>401295.2393993347</v>
      </c>
    </row>
    <row r="22" spans="1:12" ht="14.25">
      <c r="A22" t="s">
        <v>19</v>
      </c>
      <c r="B22" s="12">
        <f t="shared" si="6"/>
        <v>77386.14120049926</v>
      </c>
      <c r="C22" s="6">
        <f>'App 32 - Mar02 to Feb04 Revenue'!F$49</f>
        <v>85388.4199020989</v>
      </c>
      <c r="D22" s="6">
        <v>0</v>
      </c>
      <c r="E22" s="8">
        <f t="shared" si="0"/>
        <v>-8002.278701599644</v>
      </c>
      <c r="F22" s="8">
        <f t="shared" si="2"/>
        <v>377673.9514610803</v>
      </c>
      <c r="G22" s="8"/>
      <c r="H22" s="15">
        <f t="shared" si="3"/>
        <v>0.0725</v>
      </c>
      <c r="I22" s="8">
        <f t="shared" si="4"/>
        <v>2330.1272238995243</v>
      </c>
      <c r="J22" s="8">
        <f t="shared" si="5"/>
        <v>17949.13646055429</v>
      </c>
      <c r="K22" s="8"/>
      <c r="L22" s="8">
        <f t="shared" si="1"/>
        <v>395623.08792163455</v>
      </c>
    </row>
    <row r="23" spans="1:12" ht="14.25">
      <c r="A23" t="s">
        <v>20</v>
      </c>
      <c r="B23" s="12">
        <f t="shared" si="6"/>
        <v>77386.14120049926</v>
      </c>
      <c r="C23" s="6">
        <f>'App 32 - Mar02 to Feb04 Revenue'!G$49</f>
        <v>97162.94552041557</v>
      </c>
      <c r="D23" s="8"/>
      <c r="E23" s="8">
        <f t="shared" si="0"/>
        <v>-19776.804319916308</v>
      </c>
      <c r="F23" s="8">
        <f t="shared" si="2"/>
        <v>357897.147141164</v>
      </c>
      <c r="G23" s="8"/>
      <c r="H23" s="15">
        <f t="shared" si="3"/>
        <v>0.0725</v>
      </c>
      <c r="I23" s="8">
        <f t="shared" si="4"/>
        <v>2281.7801234106932</v>
      </c>
      <c r="J23" s="8">
        <f t="shared" si="5"/>
        <v>20230.916583964983</v>
      </c>
      <c r="K23" s="8"/>
      <c r="L23" s="8">
        <f t="shared" si="1"/>
        <v>378128.063725129</v>
      </c>
    </row>
    <row r="24" spans="1:12" ht="14.25">
      <c r="A24" t="s">
        <v>21</v>
      </c>
      <c r="B24" s="12">
        <f t="shared" si="6"/>
        <v>77386.14120049926</v>
      </c>
      <c r="C24" s="6">
        <f>'App 32 - Mar02 to Feb04 Revenue'!H$49</f>
        <v>107019.84783670977</v>
      </c>
      <c r="D24" s="8"/>
      <c r="E24" s="8">
        <f t="shared" si="0"/>
        <v>-29633.70663621051</v>
      </c>
      <c r="F24" s="8">
        <f t="shared" si="2"/>
        <v>328263.4405049535</v>
      </c>
      <c r="G24" s="8"/>
      <c r="H24" s="15">
        <f t="shared" si="3"/>
        <v>0.0725</v>
      </c>
      <c r="I24" s="8">
        <f t="shared" si="4"/>
        <v>2162.2952639778655</v>
      </c>
      <c r="J24" s="8">
        <f t="shared" si="5"/>
        <v>22393.21184794285</v>
      </c>
      <c r="K24" s="8"/>
      <c r="L24" s="8">
        <f t="shared" si="1"/>
        <v>350656.65235289634</v>
      </c>
    </row>
    <row r="25" spans="1:12" ht="14.25">
      <c r="A25" t="s">
        <v>10</v>
      </c>
      <c r="B25" s="12">
        <f t="shared" si="6"/>
        <v>77386.14120049926</v>
      </c>
      <c r="C25" s="6">
        <f>'App 32 - Mar02 to Feb04 Revenue'!I$49</f>
        <v>95184.55034215299</v>
      </c>
      <c r="D25" s="8"/>
      <c r="E25" s="8">
        <f t="shared" si="0"/>
        <v>-17798.409141653727</v>
      </c>
      <c r="F25" s="8">
        <f t="shared" si="2"/>
        <v>310465.03136329976</v>
      </c>
      <c r="G25" s="8"/>
      <c r="H25" s="15">
        <f t="shared" si="3"/>
        <v>0.0725</v>
      </c>
      <c r="I25" s="8">
        <f t="shared" si="4"/>
        <v>1983.2582863840937</v>
      </c>
      <c r="J25" s="8">
        <f t="shared" si="5"/>
        <v>24376.470134326944</v>
      </c>
      <c r="K25" s="8"/>
      <c r="L25" s="8">
        <f t="shared" si="1"/>
        <v>334841.5014976267</v>
      </c>
    </row>
    <row r="26" spans="1:12" ht="14.25">
      <c r="A26" t="s">
        <v>11</v>
      </c>
      <c r="B26" s="12">
        <f t="shared" si="6"/>
        <v>77386.14120049926</v>
      </c>
      <c r="C26" s="6">
        <f>'App 32 - Mar02 to Feb04 Revenue'!J$49</f>
        <v>98262.08851792382</v>
      </c>
      <c r="D26" s="8"/>
      <c r="E26" s="8">
        <f t="shared" si="0"/>
        <v>-20875.947317424565</v>
      </c>
      <c r="F26" s="8">
        <f t="shared" si="2"/>
        <v>289589.0840458752</v>
      </c>
      <c r="G26" s="8"/>
      <c r="H26" s="15">
        <f t="shared" si="3"/>
        <v>0.0725</v>
      </c>
      <c r="I26" s="8">
        <f t="shared" si="4"/>
        <v>1875.7262311532693</v>
      </c>
      <c r="J26" s="8">
        <f t="shared" si="5"/>
        <v>26252.196365480213</v>
      </c>
      <c r="K26" s="8"/>
      <c r="L26" s="8">
        <f t="shared" si="1"/>
        <v>315841.2804113554</v>
      </c>
    </row>
    <row r="27" spans="1:12" ht="14.25">
      <c r="A27" t="s">
        <v>12</v>
      </c>
      <c r="B27" s="13">
        <f t="shared" si="6"/>
        <v>77386.14120049926</v>
      </c>
      <c r="C27" s="7">
        <f>'App 32 - Mar02 to Feb04 Revenue'!K$49</f>
        <v>103292.55637210114</v>
      </c>
      <c r="D27" s="14"/>
      <c r="E27" s="14">
        <f t="shared" si="0"/>
        <v>-25906.415171601882</v>
      </c>
      <c r="F27" s="14">
        <f t="shared" si="2"/>
        <v>263682.6688742733</v>
      </c>
      <c r="G27" s="14"/>
      <c r="H27" s="17">
        <f t="shared" si="3"/>
        <v>0.0725</v>
      </c>
      <c r="I27" s="14">
        <f t="shared" si="4"/>
        <v>1749.6007161104956</v>
      </c>
      <c r="J27" s="14">
        <f t="shared" si="5"/>
        <v>28001.79708159071</v>
      </c>
      <c r="K27" s="14"/>
      <c r="L27" s="14">
        <f t="shared" si="1"/>
        <v>291684.465955864</v>
      </c>
    </row>
    <row r="28" spans="1:12" ht="14.25">
      <c r="A28" s="2" t="s">
        <v>13</v>
      </c>
      <c r="B28" s="8">
        <f>SUM(B16:B27)</f>
        <v>928633.6944059911</v>
      </c>
      <c r="C28" s="8">
        <f>SUM(C16:C27)</f>
        <v>940924.039306154</v>
      </c>
      <c r="D28" s="8">
        <f>SUM(D16:D27)</f>
        <v>0</v>
      </c>
      <c r="E28" s="8">
        <f>SUM(E16:E27)</f>
        <v>-12290.344900162832</v>
      </c>
      <c r="F28" s="8"/>
      <c r="G28" s="8"/>
      <c r="I28" s="8">
        <f>SUM(I16:I27)</f>
        <v>26334.46012337016</v>
      </c>
      <c r="J28" s="8"/>
      <c r="K28" s="8"/>
      <c r="L28" s="8"/>
    </row>
    <row r="29" spans="2:12" ht="14.2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4.2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4.25">
      <c r="B32" s="10"/>
      <c r="C32" s="10"/>
      <c r="D32" s="66" t="str">
        <f>$D$5</f>
        <v>SIMPILS True-Up Adjustments    (neg = CR)</v>
      </c>
      <c r="E32" s="67" t="s">
        <v>14</v>
      </c>
      <c r="F32" s="67"/>
      <c r="G32" s="10"/>
      <c r="H32" s="67" t="s">
        <v>15</v>
      </c>
      <c r="I32" s="67"/>
      <c r="J32" s="67"/>
      <c r="K32" s="10"/>
      <c r="L32" s="66" t="s">
        <v>5</v>
      </c>
    </row>
    <row r="33" spans="2:12" ht="28.5">
      <c r="B33" s="11" t="s">
        <v>2</v>
      </c>
      <c r="C33" s="11" t="s">
        <v>3</v>
      </c>
      <c r="D33" s="66"/>
      <c r="E33" s="10" t="s">
        <v>4</v>
      </c>
      <c r="F33" s="10" t="s">
        <v>65</v>
      </c>
      <c r="G33" s="10"/>
      <c r="H33" s="16" t="s">
        <v>6</v>
      </c>
      <c r="I33" s="10" t="s">
        <v>4</v>
      </c>
      <c r="J33" s="10" t="s">
        <v>65</v>
      </c>
      <c r="K33" s="10"/>
      <c r="L33" s="66"/>
    </row>
    <row r="34" spans="1:12" ht="14.25">
      <c r="A34" t="s">
        <v>7</v>
      </c>
      <c r="B34" s="6">
        <f>'PILS Entitlement Summary'!H5</f>
        <v>100383.89234836894</v>
      </c>
      <c r="C34" s="6">
        <f>'App 32 - Mar02 to Feb04 Revenue'!L$49</f>
        <v>89272.01442842856</v>
      </c>
      <c r="D34" s="8"/>
      <c r="E34" s="8">
        <f aca="true" t="shared" si="7" ref="E34:E45">B34-C34+D34</f>
        <v>11111.87791994038</v>
      </c>
      <c r="F34" s="8">
        <f>F27+E34</f>
        <v>274794.5467942137</v>
      </c>
      <c r="G34" s="8"/>
      <c r="H34" s="15">
        <f>H27</f>
        <v>0.0725</v>
      </c>
      <c r="I34" s="8">
        <f>H34*F27/12</f>
        <v>1593.082791115401</v>
      </c>
      <c r="J34" s="8">
        <f>J27+I34</f>
        <v>29594.87987270611</v>
      </c>
      <c r="K34" s="8"/>
      <c r="L34" s="8">
        <f aca="true" t="shared" si="8" ref="L34:L45">F34+J34</f>
        <v>304389.42666691984</v>
      </c>
    </row>
    <row r="35" spans="1:12" ht="14.25">
      <c r="A35" t="s">
        <v>8</v>
      </c>
      <c r="B35" s="12">
        <f>B34</f>
        <v>100383.89234836894</v>
      </c>
      <c r="C35" s="6">
        <f>'App 32 - Mar02 to Feb04 Revenue'!M$49</f>
        <v>76798.09352691927</v>
      </c>
      <c r="D35" s="8"/>
      <c r="E35" s="8">
        <f t="shared" si="7"/>
        <v>23585.798821449673</v>
      </c>
      <c r="F35" s="8">
        <f>F34+E35</f>
        <v>298380.3456156634</v>
      </c>
      <c r="G35" s="8"/>
      <c r="H35" s="15">
        <f>H34</f>
        <v>0.0725</v>
      </c>
      <c r="I35" s="8">
        <f>H35*F34/12</f>
        <v>1660.2170535483745</v>
      </c>
      <c r="J35" s="8">
        <f>I35+J34</f>
        <v>31255.096926254486</v>
      </c>
      <c r="K35" s="8"/>
      <c r="L35" s="8">
        <f t="shared" si="8"/>
        <v>329635.4425419179</v>
      </c>
    </row>
    <row r="36" spans="1:12" ht="14.25">
      <c r="A36" t="s">
        <v>9</v>
      </c>
      <c r="B36" s="12">
        <f aca="true" t="shared" si="9" ref="B36:B45">B35</f>
        <v>100383.89234836894</v>
      </c>
      <c r="C36" s="6">
        <f>'App 32 - Mar02 to Feb04 Revenue'!N$49</f>
        <v>144389.74031873778</v>
      </c>
      <c r="D36" s="8"/>
      <c r="E36" s="8">
        <f t="shared" si="7"/>
        <v>-44005.847970368835</v>
      </c>
      <c r="F36" s="8">
        <f aca="true" t="shared" si="10" ref="F36:F45">F35+E36</f>
        <v>254374.49764529456</v>
      </c>
      <c r="G36" s="8"/>
      <c r="H36" s="15">
        <f aca="true" t="shared" si="11" ref="H36:H45">H35</f>
        <v>0.0725</v>
      </c>
      <c r="I36" s="8">
        <f>H36*F35/12</f>
        <v>1802.7145880946327</v>
      </c>
      <c r="J36" s="8">
        <f>I36+J35</f>
        <v>33057.811514349116</v>
      </c>
      <c r="K36" s="8"/>
      <c r="L36" s="8">
        <f t="shared" si="8"/>
        <v>287432.30915964366</v>
      </c>
    </row>
    <row r="37" spans="1:12" ht="14.25">
      <c r="A37" t="s">
        <v>16</v>
      </c>
      <c r="B37" s="12">
        <f t="shared" si="9"/>
        <v>100383.89234836894</v>
      </c>
      <c r="C37" s="6">
        <f>'App 32 - Mar02 to Feb04 Revenue'!O$49</f>
        <v>118884.49674395984</v>
      </c>
      <c r="D37" s="8"/>
      <c r="E37" s="8">
        <f t="shared" si="7"/>
        <v>-18500.604395590897</v>
      </c>
      <c r="F37" s="8">
        <f t="shared" si="10"/>
        <v>235873.89324970366</v>
      </c>
      <c r="G37" s="8"/>
      <c r="H37" s="15">
        <f t="shared" si="11"/>
        <v>0.0725</v>
      </c>
      <c r="I37" s="8">
        <f>H37*F36/12</f>
        <v>1536.8459232736543</v>
      </c>
      <c r="J37" s="8">
        <f>I37+J36</f>
        <v>34594.65743762277</v>
      </c>
      <c r="K37" s="8"/>
      <c r="L37" s="8">
        <f t="shared" si="8"/>
        <v>270468.5506873264</v>
      </c>
    </row>
    <row r="38" spans="1:12" ht="14.25">
      <c r="A38" t="s">
        <v>17</v>
      </c>
      <c r="B38" s="12">
        <f t="shared" si="9"/>
        <v>100383.89234836894</v>
      </c>
      <c r="C38" s="6">
        <f>'App 32 - Mar02 to Feb04 Revenue'!P$49</f>
        <v>109697.61543445602</v>
      </c>
      <c r="D38" s="8"/>
      <c r="E38" s="8">
        <f t="shared" si="7"/>
        <v>-9313.723086087077</v>
      </c>
      <c r="F38" s="8">
        <f t="shared" si="10"/>
        <v>226560.1701636166</v>
      </c>
      <c r="G38" s="8"/>
      <c r="H38" s="15">
        <f t="shared" si="11"/>
        <v>0.0725</v>
      </c>
      <c r="I38" s="8">
        <f aca="true" t="shared" si="12" ref="I38:I45">H38*F37/12</f>
        <v>1425.071438383626</v>
      </c>
      <c r="J38" s="8">
        <f aca="true" t="shared" si="13" ref="J38:J45">I38+J37</f>
        <v>36019.7288760064</v>
      </c>
      <c r="K38" s="8"/>
      <c r="L38" s="8">
        <f t="shared" si="8"/>
        <v>262579.899039623</v>
      </c>
    </row>
    <row r="39" spans="1:12" ht="14.25">
      <c r="A39" t="s">
        <v>18</v>
      </c>
      <c r="B39" s="12">
        <f t="shared" si="9"/>
        <v>100383.89234836894</v>
      </c>
      <c r="C39" s="6">
        <f>'App 32 - Mar02 to Feb04 Revenue'!Q$49</f>
        <v>97988.00219482397</v>
      </c>
      <c r="D39" s="8"/>
      <c r="E39" s="8">
        <f t="shared" si="7"/>
        <v>2395.8901535449695</v>
      </c>
      <c r="F39" s="8">
        <f t="shared" si="10"/>
        <v>228956.06031716155</v>
      </c>
      <c r="G39" s="8"/>
      <c r="H39" s="15">
        <f t="shared" si="11"/>
        <v>0.0725</v>
      </c>
      <c r="I39" s="8">
        <f t="shared" si="12"/>
        <v>1368.8010280718502</v>
      </c>
      <c r="J39" s="8">
        <f t="shared" si="13"/>
        <v>37388.52990407825</v>
      </c>
      <c r="K39" s="8"/>
      <c r="L39" s="8">
        <f t="shared" si="8"/>
        <v>266344.5902212398</v>
      </c>
    </row>
    <row r="40" spans="1:12" ht="14.25">
      <c r="A40" t="s">
        <v>19</v>
      </c>
      <c r="B40" s="12">
        <f t="shared" si="9"/>
        <v>100383.89234836894</v>
      </c>
      <c r="C40" s="6">
        <f>'App 32 - Mar02 to Feb04 Revenue'!R$49</f>
        <v>81175.35541335805</v>
      </c>
      <c r="D40" s="6">
        <v>0</v>
      </c>
      <c r="E40" s="8">
        <f t="shared" si="7"/>
        <v>19208.536935010896</v>
      </c>
      <c r="F40" s="8">
        <f t="shared" si="10"/>
        <v>248164.59725217245</v>
      </c>
      <c r="G40" s="8"/>
      <c r="H40" s="15">
        <f t="shared" si="11"/>
        <v>0.0725</v>
      </c>
      <c r="I40" s="8">
        <f t="shared" si="12"/>
        <v>1383.2761977495177</v>
      </c>
      <c r="J40" s="8">
        <f t="shared" si="13"/>
        <v>38771.806101827766</v>
      </c>
      <c r="K40" s="8"/>
      <c r="L40" s="8">
        <f t="shared" si="8"/>
        <v>286936.4033540002</v>
      </c>
    </row>
    <row r="41" spans="1:12" ht="14.25">
      <c r="A41" t="s">
        <v>20</v>
      </c>
      <c r="B41" s="12">
        <f t="shared" si="9"/>
        <v>100383.89234836894</v>
      </c>
      <c r="C41" s="6">
        <f>'App 32 - Mar02 to Feb04 Revenue'!S$49</f>
        <v>89175.35219675023</v>
      </c>
      <c r="D41" s="8"/>
      <c r="E41" s="8">
        <f t="shared" si="7"/>
        <v>11208.540151618712</v>
      </c>
      <c r="F41" s="8">
        <f t="shared" si="10"/>
        <v>259373.13740379116</v>
      </c>
      <c r="G41" s="8"/>
      <c r="H41" s="15">
        <f t="shared" si="11"/>
        <v>0.0725</v>
      </c>
      <c r="I41" s="8">
        <f t="shared" si="12"/>
        <v>1499.3277750652085</v>
      </c>
      <c r="J41" s="8">
        <f t="shared" si="13"/>
        <v>40271.13387689297</v>
      </c>
      <c r="K41" s="8"/>
      <c r="L41" s="8">
        <f t="shared" si="8"/>
        <v>299644.27128068416</v>
      </c>
    </row>
    <row r="42" spans="1:12" ht="14.25">
      <c r="A42" t="s">
        <v>21</v>
      </c>
      <c r="B42" s="12">
        <f t="shared" si="9"/>
        <v>100383.89234836894</v>
      </c>
      <c r="C42" s="6">
        <f>'App 32 - Mar02 to Feb04 Revenue'!T$49</f>
        <v>85721.13336298909</v>
      </c>
      <c r="D42" s="8"/>
      <c r="E42" s="8">
        <f t="shared" si="7"/>
        <v>14662.758985379856</v>
      </c>
      <c r="F42" s="8">
        <f t="shared" si="10"/>
        <v>274035.896389171</v>
      </c>
      <c r="G42" s="8"/>
      <c r="H42" s="15">
        <f t="shared" si="11"/>
        <v>0.0725</v>
      </c>
      <c r="I42" s="8">
        <f t="shared" si="12"/>
        <v>1567.046038481238</v>
      </c>
      <c r="J42" s="8">
        <f t="shared" si="13"/>
        <v>41838.17991537421</v>
      </c>
      <c r="K42" s="8"/>
      <c r="L42" s="8">
        <f t="shared" si="8"/>
        <v>315874.0763045452</v>
      </c>
    </row>
    <row r="43" spans="1:12" ht="14.25">
      <c r="A43" t="s">
        <v>10</v>
      </c>
      <c r="B43" s="12">
        <f t="shared" si="9"/>
        <v>100383.89234836894</v>
      </c>
      <c r="C43" s="6">
        <f>'App 32 - Mar02 to Feb04 Revenue'!U$49</f>
        <v>93709.63934411337</v>
      </c>
      <c r="D43" s="8"/>
      <c r="E43" s="8">
        <f t="shared" si="7"/>
        <v>6674.253004255574</v>
      </c>
      <c r="F43" s="8">
        <f t="shared" si="10"/>
        <v>280710.1493934266</v>
      </c>
      <c r="G43" s="8"/>
      <c r="H43" s="15">
        <f t="shared" si="11"/>
        <v>0.0725</v>
      </c>
      <c r="I43" s="8">
        <f t="shared" si="12"/>
        <v>1655.6335406845747</v>
      </c>
      <c r="J43" s="8">
        <f t="shared" si="13"/>
        <v>43493.813456058786</v>
      </c>
      <c r="K43" s="8"/>
      <c r="L43" s="8">
        <f t="shared" si="8"/>
        <v>324203.9628494854</v>
      </c>
    </row>
    <row r="44" spans="1:12" ht="14.25">
      <c r="A44" t="s">
        <v>11</v>
      </c>
      <c r="B44" s="12">
        <f t="shared" si="9"/>
        <v>100383.89234836894</v>
      </c>
      <c r="C44" s="6">
        <f>'App 32 - Mar02 to Feb04 Revenue'!V$49</f>
        <v>96704.65324610395</v>
      </c>
      <c r="D44" s="8"/>
      <c r="E44" s="8">
        <f t="shared" si="7"/>
        <v>3679.239102264997</v>
      </c>
      <c r="F44" s="8">
        <f t="shared" si="10"/>
        <v>284389.3884956916</v>
      </c>
      <c r="G44" s="8"/>
      <c r="H44" s="15">
        <f t="shared" si="11"/>
        <v>0.0725</v>
      </c>
      <c r="I44" s="8">
        <f t="shared" si="12"/>
        <v>1695.9571525852855</v>
      </c>
      <c r="J44" s="8">
        <f t="shared" si="13"/>
        <v>45189.770608644074</v>
      </c>
      <c r="K44" s="8"/>
      <c r="L44" s="8">
        <f t="shared" si="8"/>
        <v>329579.15910433565</v>
      </c>
    </row>
    <row r="45" spans="1:12" ht="14.25">
      <c r="A45" t="s">
        <v>12</v>
      </c>
      <c r="B45" s="13">
        <f t="shared" si="9"/>
        <v>100383.89234836894</v>
      </c>
      <c r="C45" s="7">
        <f>'App 32 - Mar02 to Feb04 Revenue'!W$49</f>
        <v>100623.60290472054</v>
      </c>
      <c r="D45" s="14"/>
      <c r="E45" s="14">
        <f t="shared" si="7"/>
        <v>-239.71055635159428</v>
      </c>
      <c r="F45" s="14">
        <f t="shared" si="10"/>
        <v>284149.67793934</v>
      </c>
      <c r="G45" s="14"/>
      <c r="H45" s="17">
        <f t="shared" si="11"/>
        <v>0.0725</v>
      </c>
      <c r="I45" s="14">
        <f t="shared" si="12"/>
        <v>1718.1858888281365</v>
      </c>
      <c r="J45" s="14">
        <f t="shared" si="13"/>
        <v>46907.95649747221</v>
      </c>
      <c r="K45" s="14"/>
      <c r="L45" s="14">
        <f t="shared" si="8"/>
        <v>331057.6344368122</v>
      </c>
    </row>
    <row r="46" spans="1:12" ht="14.25">
      <c r="A46" s="2" t="s">
        <v>13</v>
      </c>
      <c r="B46" s="8">
        <f>SUM(B34:B45)</f>
        <v>1204606.708180427</v>
      </c>
      <c r="C46" s="8">
        <f>SUM(C34:C45)</f>
        <v>1184139.6991153606</v>
      </c>
      <c r="D46" s="8">
        <f>SUM(D34:D45)</f>
        <v>0</v>
      </c>
      <c r="E46" s="8">
        <f>SUM(E34:E45)</f>
        <v>20467.009065066653</v>
      </c>
      <c r="F46" s="8"/>
      <c r="G46" s="8"/>
      <c r="I46" s="8">
        <f>SUM(I34:I45)</f>
        <v>18906.159415881495</v>
      </c>
      <c r="J46" s="8"/>
      <c r="K46" s="8"/>
      <c r="L46" s="8"/>
    </row>
    <row r="47" spans="2:12" ht="14.2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4.2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4.25">
      <c r="B50" s="10"/>
      <c r="C50" s="10"/>
      <c r="D50" s="66" t="str">
        <f>$D$5</f>
        <v>SIMPILS True-Up Adjustments    (neg = CR)</v>
      </c>
      <c r="E50" s="67" t="s">
        <v>14</v>
      </c>
      <c r="F50" s="67"/>
      <c r="G50" s="10"/>
      <c r="H50" s="67" t="s">
        <v>15</v>
      </c>
      <c r="I50" s="67"/>
      <c r="J50" s="67"/>
      <c r="K50" s="10"/>
      <c r="L50" s="66" t="s">
        <v>5</v>
      </c>
    </row>
    <row r="51" spans="2:12" ht="28.5">
      <c r="B51" s="11" t="s">
        <v>2</v>
      </c>
      <c r="C51" s="11" t="s">
        <v>3</v>
      </c>
      <c r="D51" s="66"/>
      <c r="E51" s="10" t="s">
        <v>4</v>
      </c>
      <c r="F51" s="10" t="s">
        <v>65</v>
      </c>
      <c r="G51" s="10"/>
      <c r="H51" s="16" t="s">
        <v>6</v>
      </c>
      <c r="I51" s="10" t="s">
        <v>4</v>
      </c>
      <c r="J51" s="10" t="s">
        <v>65</v>
      </c>
      <c r="K51" s="10"/>
      <c r="L51" s="66"/>
    </row>
    <row r="52" spans="1:12" ht="14.25">
      <c r="A52" t="s">
        <v>7</v>
      </c>
      <c r="B52" s="6">
        <f>'PILS Entitlement Summary'!H6</f>
        <v>100383.89234836894</v>
      </c>
      <c r="C52" s="6">
        <f>'App 32 - Mar02 to Feb04 Revenue'!X$49</f>
        <v>106293.8727921814</v>
      </c>
      <c r="D52" s="8"/>
      <c r="E52" s="8">
        <f aca="true" t="shared" si="14" ref="E52:E63">B52-C52+D52</f>
        <v>-5909.980443812456</v>
      </c>
      <c r="F52" s="8">
        <f>F45+E52</f>
        <v>278239.69749552757</v>
      </c>
      <c r="G52" s="8"/>
      <c r="H52" s="15">
        <f>H45</f>
        <v>0.0725</v>
      </c>
      <c r="I52" s="8">
        <f>H52*F45/12</f>
        <v>1716.737637550179</v>
      </c>
      <c r="J52" s="8">
        <f>J45+I52</f>
        <v>48624.694135022386</v>
      </c>
      <c r="K52" s="8"/>
      <c r="L52" s="8">
        <f aca="true" t="shared" si="15" ref="L52:L63">F52+J52</f>
        <v>326864.39163055</v>
      </c>
    </row>
    <row r="53" spans="1:12" ht="14.25">
      <c r="A53" t="s">
        <v>8</v>
      </c>
      <c r="B53" s="12">
        <f>B52</f>
        <v>100383.89234836894</v>
      </c>
      <c r="C53" s="6">
        <f>'App 32 - Mar02 to Feb04 Revenue'!Y$49</f>
        <v>131941.7148434162</v>
      </c>
      <c r="D53" s="8"/>
      <c r="E53" s="8">
        <f t="shared" si="14"/>
        <v>-31557.822495047265</v>
      </c>
      <c r="F53" s="8">
        <f>F52+E53</f>
        <v>246681.8750004803</v>
      </c>
      <c r="G53" s="8"/>
      <c r="H53" s="15">
        <f>H52</f>
        <v>0.0725</v>
      </c>
      <c r="I53" s="8">
        <f>H53*F52/12</f>
        <v>1681.0315057021455</v>
      </c>
      <c r="J53" s="8">
        <f>I53+J52</f>
        <v>50305.72564072453</v>
      </c>
      <c r="K53" s="8"/>
      <c r="L53" s="8">
        <f t="shared" si="15"/>
        <v>296987.60064120486</v>
      </c>
    </row>
    <row r="54" spans="1:14" ht="14.25">
      <c r="A54" t="s">
        <v>9</v>
      </c>
      <c r="B54" s="12">
        <f>B53</f>
        <v>100383.89234836894</v>
      </c>
      <c r="C54" s="6">
        <f>'App 32 - Mar02 to Feb04 Revenue'!Z49+'App 33 - Mar04 to Feb05 Revenue'!B38</f>
        <v>119040.71571632984</v>
      </c>
      <c r="D54" s="8"/>
      <c r="E54" s="8">
        <f t="shared" si="14"/>
        <v>-18656.823367960897</v>
      </c>
      <c r="F54" s="8">
        <f aca="true" t="shared" si="16" ref="F54:F63">F53+E54</f>
        <v>228025.0516325194</v>
      </c>
      <c r="G54" s="8"/>
      <c r="H54" s="15">
        <f aca="true" t="shared" si="17" ref="H54:H63">H53</f>
        <v>0.0725</v>
      </c>
      <c r="I54" s="8">
        <f>H54*F53/12</f>
        <v>1490.3696614612352</v>
      </c>
      <c r="J54" s="8">
        <f>I54+J53</f>
        <v>51796.095302185764</v>
      </c>
      <c r="K54" s="8"/>
      <c r="L54" s="8">
        <f t="shared" si="15"/>
        <v>279821.14693470515</v>
      </c>
      <c r="N54" s="21"/>
    </row>
    <row r="55" spans="1:12" ht="14.25">
      <c r="A55" t="s">
        <v>16</v>
      </c>
      <c r="B55" s="6">
        <f>'PILS Entitlement Summary'!H7</f>
        <v>77386.14120049926</v>
      </c>
      <c r="C55" s="6">
        <f>'App 33 - Mar04 to Feb05 Revenue'!C$38</f>
        <v>78315.80909246537</v>
      </c>
      <c r="D55" s="8"/>
      <c r="E55" s="8">
        <f t="shared" si="14"/>
        <v>-929.6678919661063</v>
      </c>
      <c r="F55" s="8">
        <f t="shared" si="16"/>
        <v>227095.38374055328</v>
      </c>
      <c r="G55" s="8"/>
      <c r="H55" s="15">
        <f t="shared" si="17"/>
        <v>0.0725</v>
      </c>
      <c r="I55" s="8">
        <f>H55*F54/12</f>
        <v>1377.6513536131379</v>
      </c>
      <c r="J55" s="8">
        <f>I55+J54</f>
        <v>53173.7466557989</v>
      </c>
      <c r="K55" s="8"/>
      <c r="L55" s="8">
        <f t="shared" si="15"/>
        <v>280269.1303963522</v>
      </c>
    </row>
    <row r="56" spans="1:12" ht="14.25">
      <c r="A56" t="s">
        <v>17</v>
      </c>
      <c r="B56" s="20">
        <f>B55</f>
        <v>77386.14120049926</v>
      </c>
      <c r="C56" s="6">
        <f>'App 33 - Mar04 to Feb05 Revenue'!D$38</f>
        <v>79563.71018369627</v>
      </c>
      <c r="D56" s="8"/>
      <c r="E56" s="8">
        <f t="shared" si="14"/>
        <v>-2177.5689831970085</v>
      </c>
      <c r="F56" s="8">
        <f t="shared" si="16"/>
        <v>224917.81475735627</v>
      </c>
      <c r="G56" s="8"/>
      <c r="H56" s="15">
        <f t="shared" si="17"/>
        <v>0.0725</v>
      </c>
      <c r="I56" s="8">
        <f aca="true" t="shared" si="18" ref="I56:I63">H56*F55/12</f>
        <v>1372.0346100991758</v>
      </c>
      <c r="J56" s="8">
        <f aca="true" t="shared" si="19" ref="J56:J63">I56+J55</f>
        <v>54545.78126589808</v>
      </c>
      <c r="K56" s="8"/>
      <c r="L56" s="8">
        <f t="shared" si="15"/>
        <v>279463.59602325433</v>
      </c>
    </row>
    <row r="57" spans="1:12" ht="14.25">
      <c r="A57" t="s">
        <v>18</v>
      </c>
      <c r="B57" s="20">
        <f aca="true" t="shared" si="20" ref="B57:B63">B56</f>
        <v>77386.14120049926</v>
      </c>
      <c r="C57" s="6">
        <f>'App 33 - Mar04 to Feb05 Revenue'!E$38</f>
        <v>69729.3580987351</v>
      </c>
      <c r="D57" s="8"/>
      <c r="E57" s="8">
        <f t="shared" si="14"/>
        <v>7656.783101764158</v>
      </c>
      <c r="F57" s="8">
        <f t="shared" si="16"/>
        <v>232574.59785912043</v>
      </c>
      <c r="G57" s="8"/>
      <c r="H57" s="15">
        <f t="shared" si="17"/>
        <v>0.0725</v>
      </c>
      <c r="I57" s="8">
        <f t="shared" si="18"/>
        <v>1358.8784641590275</v>
      </c>
      <c r="J57" s="8">
        <f t="shared" si="19"/>
        <v>55904.6597300571</v>
      </c>
      <c r="K57" s="8"/>
      <c r="L57" s="8">
        <f t="shared" si="15"/>
        <v>288479.2575891775</v>
      </c>
    </row>
    <row r="58" spans="1:12" ht="14.25">
      <c r="A58" t="s">
        <v>19</v>
      </c>
      <c r="B58" s="20">
        <f t="shared" si="20"/>
        <v>77386.14120049926</v>
      </c>
      <c r="C58" s="6">
        <f>'App 33 - Mar04 to Feb05 Revenue'!F$38</f>
        <v>58704.28849211508</v>
      </c>
      <c r="D58" s="6">
        <v>-40980</v>
      </c>
      <c r="E58" s="8">
        <f t="shared" si="14"/>
        <v>-22298.147291615824</v>
      </c>
      <c r="F58" s="8">
        <f t="shared" si="16"/>
        <v>210276.45056750462</v>
      </c>
      <c r="G58" s="8"/>
      <c r="H58" s="15">
        <f t="shared" si="17"/>
        <v>0.0725</v>
      </c>
      <c r="I58" s="8">
        <f t="shared" si="18"/>
        <v>1405.1381953988523</v>
      </c>
      <c r="J58" s="8">
        <f t="shared" si="19"/>
        <v>57309.797925455954</v>
      </c>
      <c r="K58" s="8"/>
      <c r="L58" s="8">
        <f t="shared" si="15"/>
        <v>267586.2484929606</v>
      </c>
    </row>
    <row r="59" spans="1:12" ht="14.25">
      <c r="A59" t="s">
        <v>20</v>
      </c>
      <c r="B59" s="20">
        <f t="shared" si="20"/>
        <v>77386.14120049926</v>
      </c>
      <c r="C59" s="6">
        <f>'App 33 - Mar04 to Feb05 Revenue'!G$38</f>
        <v>63173.74933002351</v>
      </c>
      <c r="D59" s="8"/>
      <c r="E59" s="8">
        <f t="shared" si="14"/>
        <v>14212.391870475753</v>
      </c>
      <c r="F59" s="8">
        <f t="shared" si="16"/>
        <v>224488.84243798038</v>
      </c>
      <c r="G59" s="8"/>
      <c r="H59" s="15">
        <f t="shared" si="17"/>
        <v>0.0725</v>
      </c>
      <c r="I59" s="8">
        <f t="shared" si="18"/>
        <v>1270.4202221786736</v>
      </c>
      <c r="J59" s="8">
        <f t="shared" si="19"/>
        <v>58580.21814763463</v>
      </c>
      <c r="K59" s="8"/>
      <c r="L59" s="8">
        <f t="shared" si="15"/>
        <v>283069.060585615</v>
      </c>
    </row>
    <row r="60" spans="1:12" ht="14.25">
      <c r="A60" t="s">
        <v>21</v>
      </c>
      <c r="B60" s="20">
        <f t="shared" si="20"/>
        <v>77386.14120049926</v>
      </c>
      <c r="C60" s="6">
        <f>'App 33 - Mar04 to Feb05 Revenue'!H$38</f>
        <v>58072.88633914259</v>
      </c>
      <c r="D60" s="8"/>
      <c r="E60" s="8">
        <f t="shared" si="14"/>
        <v>19313.25486135667</v>
      </c>
      <c r="F60" s="8">
        <f t="shared" si="16"/>
        <v>243802.09729933704</v>
      </c>
      <c r="G60" s="8"/>
      <c r="H60" s="15">
        <f t="shared" si="17"/>
        <v>0.0725</v>
      </c>
      <c r="I60" s="8">
        <f t="shared" si="18"/>
        <v>1356.2867563961313</v>
      </c>
      <c r="J60" s="8">
        <f t="shared" si="19"/>
        <v>59936.504904030764</v>
      </c>
      <c r="K60" s="8"/>
      <c r="L60" s="8">
        <f t="shared" si="15"/>
        <v>303738.6022033678</v>
      </c>
    </row>
    <row r="61" spans="1:12" ht="14.25">
      <c r="A61" t="s">
        <v>10</v>
      </c>
      <c r="B61" s="20">
        <f t="shared" si="20"/>
        <v>77386.14120049926</v>
      </c>
      <c r="C61" s="6">
        <f>'App 33 - Mar04 to Feb05 Revenue'!I$38</f>
        <v>64646.757523257555</v>
      </c>
      <c r="D61" s="8"/>
      <c r="E61" s="8">
        <f t="shared" si="14"/>
        <v>12739.383677241705</v>
      </c>
      <c r="F61" s="8">
        <f t="shared" si="16"/>
        <v>256541.48097657875</v>
      </c>
      <c r="G61" s="8"/>
      <c r="H61" s="15">
        <f t="shared" si="17"/>
        <v>0.0725</v>
      </c>
      <c r="I61" s="8">
        <f t="shared" si="18"/>
        <v>1472.9710045168279</v>
      </c>
      <c r="J61" s="8">
        <f t="shared" si="19"/>
        <v>61409.47590854759</v>
      </c>
      <c r="K61" s="8"/>
      <c r="L61" s="8">
        <f t="shared" si="15"/>
        <v>317950.95688512636</v>
      </c>
    </row>
    <row r="62" spans="1:12" ht="14.25">
      <c r="A62" t="s">
        <v>11</v>
      </c>
      <c r="B62" s="20">
        <f t="shared" si="20"/>
        <v>77386.14120049926</v>
      </c>
      <c r="C62" s="6">
        <f>'App 33 - Mar04 to Feb05 Revenue'!J$38</f>
        <v>56981.485709225664</v>
      </c>
      <c r="D62" s="8"/>
      <c r="E62" s="8">
        <f t="shared" si="14"/>
        <v>20404.655491273596</v>
      </c>
      <c r="F62" s="8">
        <f t="shared" si="16"/>
        <v>276946.13646785234</v>
      </c>
      <c r="G62" s="8"/>
      <c r="H62" s="15">
        <f t="shared" si="17"/>
        <v>0.0725</v>
      </c>
      <c r="I62" s="8">
        <f t="shared" si="18"/>
        <v>1549.9381142334967</v>
      </c>
      <c r="J62" s="8">
        <f t="shared" si="19"/>
        <v>62959.414022781086</v>
      </c>
      <c r="K62" s="8"/>
      <c r="L62" s="8">
        <f t="shared" si="15"/>
        <v>339905.5504906334</v>
      </c>
    </row>
    <row r="63" spans="1:12" ht="14.25">
      <c r="A63" t="s">
        <v>12</v>
      </c>
      <c r="B63" s="13">
        <f t="shared" si="20"/>
        <v>77386.14120049926</v>
      </c>
      <c r="C63" s="7">
        <f>'App 33 - Mar04 to Feb05 Revenue'!K$38</f>
        <v>73374.4762318974</v>
      </c>
      <c r="D63" s="14"/>
      <c r="E63" s="14">
        <f t="shared" si="14"/>
        <v>4011.6649686018645</v>
      </c>
      <c r="F63" s="14">
        <f t="shared" si="16"/>
        <v>280957.8014364542</v>
      </c>
      <c r="G63" s="14"/>
      <c r="H63" s="17">
        <f t="shared" si="17"/>
        <v>0.0725</v>
      </c>
      <c r="I63" s="14">
        <f t="shared" si="18"/>
        <v>1673.216241159941</v>
      </c>
      <c r="J63" s="14">
        <f t="shared" si="19"/>
        <v>64632.63026394103</v>
      </c>
      <c r="K63" s="14"/>
      <c r="L63" s="14">
        <f t="shared" si="15"/>
        <v>345590.4317003952</v>
      </c>
    </row>
    <row r="64" spans="1:12" ht="14.25">
      <c r="A64" s="2" t="s">
        <v>13</v>
      </c>
      <c r="B64" s="8">
        <f>SUM(B52:B63)</f>
        <v>997626.9478496001</v>
      </c>
      <c r="C64" s="8">
        <f>SUM(C52:C63)</f>
        <v>959838.824352486</v>
      </c>
      <c r="D64" s="8">
        <f>SUM(D52:D63)</f>
        <v>-40980</v>
      </c>
      <c r="E64" s="8">
        <f>SUM(E52:E63)</f>
        <v>-3191.8765028858106</v>
      </c>
      <c r="F64" s="8"/>
      <c r="G64" s="8"/>
      <c r="I64" s="8">
        <f>SUM(I52:I63)</f>
        <v>17724.673766468826</v>
      </c>
      <c r="J64" s="8"/>
      <c r="K64" s="8"/>
      <c r="L64" s="8"/>
    </row>
    <row r="65" spans="2:12" ht="14.2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4.2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4.25">
      <c r="B68" s="10"/>
      <c r="C68" s="10"/>
      <c r="D68" s="66" t="str">
        <f>$D$5</f>
        <v>SIMPILS True-Up Adjustments    (neg = CR)</v>
      </c>
      <c r="E68" s="67" t="s">
        <v>14</v>
      </c>
      <c r="F68" s="67"/>
      <c r="G68" s="10"/>
      <c r="H68" s="67" t="s">
        <v>15</v>
      </c>
      <c r="I68" s="67"/>
      <c r="J68" s="67"/>
      <c r="K68" s="10"/>
      <c r="L68" s="66" t="s">
        <v>5</v>
      </c>
    </row>
    <row r="69" spans="2:12" ht="28.5">
      <c r="B69" s="11" t="s">
        <v>2</v>
      </c>
      <c r="C69" s="11" t="s">
        <v>3</v>
      </c>
      <c r="D69" s="66"/>
      <c r="E69" s="10" t="s">
        <v>4</v>
      </c>
      <c r="F69" s="10" t="s">
        <v>65</v>
      </c>
      <c r="G69" s="10"/>
      <c r="H69" s="16" t="s">
        <v>6</v>
      </c>
      <c r="I69" s="10" t="s">
        <v>4</v>
      </c>
      <c r="J69" s="10" t="s">
        <v>65</v>
      </c>
      <c r="K69" s="10"/>
      <c r="L69" s="66"/>
    </row>
    <row r="70" spans="1:12" ht="14.25">
      <c r="A70" t="s">
        <v>7</v>
      </c>
      <c r="B70" s="12">
        <f>B63</f>
        <v>77386.14120049926</v>
      </c>
      <c r="C70" s="6">
        <f>'App 33 - Mar04 to Feb05 Revenue'!L$38</f>
        <v>87674.73004155072</v>
      </c>
      <c r="D70" s="8"/>
      <c r="E70" s="8">
        <f aca="true" t="shared" si="21" ref="E70:E81">B70-C70+D70</f>
        <v>-10288.58884105146</v>
      </c>
      <c r="F70" s="8">
        <f>F63+E70</f>
        <v>270669.2125954027</v>
      </c>
      <c r="G70" s="8"/>
      <c r="H70" s="15">
        <f>H63</f>
        <v>0.0725</v>
      </c>
      <c r="I70" s="8">
        <f>H70*F63/12</f>
        <v>1697.453383678577</v>
      </c>
      <c r="J70" s="8">
        <f>J63+I70</f>
        <v>66330.0836476196</v>
      </c>
      <c r="K70" s="8"/>
      <c r="L70" s="8">
        <f aca="true" t="shared" si="22" ref="L70:L81">F70+J70</f>
        <v>336999.2962430223</v>
      </c>
    </row>
    <row r="71" spans="1:14" ht="14.25">
      <c r="A71" t="s">
        <v>8</v>
      </c>
      <c r="B71" s="12">
        <f>B63</f>
        <v>77386.14120049926</v>
      </c>
      <c r="C71" s="6">
        <f>'App 33 - Mar04 to Feb05 Revenue'!M$38</f>
        <v>104341.5976342218</v>
      </c>
      <c r="D71" s="8"/>
      <c r="E71" s="8">
        <f t="shared" si="21"/>
        <v>-26955.456433722546</v>
      </c>
      <c r="F71" s="8">
        <f>F70+E71</f>
        <v>243713.75616168018</v>
      </c>
      <c r="G71" s="8"/>
      <c r="H71" s="15">
        <f>H70</f>
        <v>0.0725</v>
      </c>
      <c r="I71" s="8">
        <f>H71*F70/12</f>
        <v>1635.293159430558</v>
      </c>
      <c r="J71" s="8">
        <f>I71+J70</f>
        <v>67965.37680705015</v>
      </c>
      <c r="K71" s="8"/>
      <c r="L71" s="8">
        <f t="shared" si="22"/>
        <v>311679.13296873035</v>
      </c>
      <c r="N71" s="21"/>
    </row>
    <row r="72" spans="1:12" ht="14.25">
      <c r="A72" t="s">
        <v>9</v>
      </c>
      <c r="B72" s="12">
        <f>B71</f>
        <v>77386.14120049926</v>
      </c>
      <c r="C72" s="6">
        <f>'App 34 - Mar05 to Apr06 Revenue'!B38+'App 33 - Mar04 to Feb05 Revenue'!N38</f>
        <v>66818.5681478035</v>
      </c>
      <c r="D72" s="8"/>
      <c r="E72" s="8">
        <f t="shared" si="21"/>
        <v>10567.573052695763</v>
      </c>
      <c r="F72" s="8">
        <f aca="true" t="shared" si="23" ref="F72:F81">F71+E72</f>
        <v>254281.32921437593</v>
      </c>
      <c r="G72" s="8"/>
      <c r="H72" s="15">
        <f aca="true" t="shared" si="24" ref="H72:H81">H71</f>
        <v>0.0725</v>
      </c>
      <c r="I72" s="8">
        <f>H72*F71/12</f>
        <v>1472.437276810151</v>
      </c>
      <c r="J72" s="8">
        <f>I72+J71</f>
        <v>69437.8140838603</v>
      </c>
      <c r="K72" s="8"/>
      <c r="L72" s="8">
        <f t="shared" si="22"/>
        <v>323719.14329823625</v>
      </c>
    </row>
    <row r="73" spans="1:12" ht="14.25">
      <c r="A73" t="s">
        <v>16</v>
      </c>
      <c r="B73" s="6">
        <f>'PILS Entitlement Summary'!H8</f>
        <v>87953.03828818096</v>
      </c>
      <c r="C73" s="6">
        <f>'App 34 - Mar05 to Apr06 Revenue'!C$38</f>
        <v>109476.63049298516</v>
      </c>
      <c r="D73" s="8"/>
      <c r="E73" s="8">
        <f t="shared" si="21"/>
        <v>-21523.592204804198</v>
      </c>
      <c r="F73" s="8">
        <f t="shared" si="23"/>
        <v>232757.73700957175</v>
      </c>
      <c r="G73" s="8"/>
      <c r="H73" s="15">
        <f t="shared" si="24"/>
        <v>0.0725</v>
      </c>
      <c r="I73" s="8">
        <f>H73*F72/12</f>
        <v>1536.2830306701878</v>
      </c>
      <c r="J73" s="8">
        <f>I73+J72</f>
        <v>70974.0971145305</v>
      </c>
      <c r="K73" s="8"/>
      <c r="L73" s="8">
        <f t="shared" si="22"/>
        <v>303731.83412410226</v>
      </c>
    </row>
    <row r="74" spans="1:12" ht="14.25">
      <c r="A74" t="s">
        <v>17</v>
      </c>
      <c r="B74" s="12">
        <f>B73</f>
        <v>87953.03828818096</v>
      </c>
      <c r="C74" s="6">
        <f>'App 34 - Mar05 to Apr06 Revenue'!D$38</f>
        <v>111176.92600186379</v>
      </c>
      <c r="D74" s="8"/>
      <c r="E74" s="8">
        <f t="shared" si="21"/>
        <v>-23223.887713682823</v>
      </c>
      <c r="F74" s="8">
        <f t="shared" si="23"/>
        <v>209533.8492958889</v>
      </c>
      <c r="G74" s="8"/>
      <c r="H74" s="15">
        <f t="shared" si="24"/>
        <v>0.0725</v>
      </c>
      <c r="I74" s="8">
        <f aca="true" t="shared" si="25" ref="I74:I81">H74*F73/12</f>
        <v>1406.244661099496</v>
      </c>
      <c r="J74" s="8">
        <f aca="true" t="shared" si="26" ref="J74:J81">I74+J73</f>
        <v>72380.34177562999</v>
      </c>
      <c r="K74" s="8"/>
      <c r="L74" s="8">
        <f t="shared" si="22"/>
        <v>281914.19107151893</v>
      </c>
    </row>
    <row r="75" spans="1:12" ht="14.25">
      <c r="A75" t="s">
        <v>18</v>
      </c>
      <c r="B75" s="12">
        <f aca="true" t="shared" si="27" ref="B75:B81">B74</f>
        <v>87953.03828818096</v>
      </c>
      <c r="C75" s="6">
        <f>'App 34 - Mar05 to Apr06 Revenue'!E$38</f>
        <v>73057.27279632424</v>
      </c>
      <c r="D75" s="8"/>
      <c r="E75" s="8">
        <f t="shared" si="21"/>
        <v>14895.765491856728</v>
      </c>
      <c r="F75" s="8">
        <f t="shared" si="23"/>
        <v>224429.61478774564</v>
      </c>
      <c r="G75" s="8"/>
      <c r="H75" s="15">
        <f t="shared" si="24"/>
        <v>0.0725</v>
      </c>
      <c r="I75" s="8">
        <f t="shared" si="25"/>
        <v>1265.9336728293288</v>
      </c>
      <c r="J75" s="8">
        <f t="shared" si="26"/>
        <v>73646.27544845932</v>
      </c>
      <c r="K75" s="8"/>
      <c r="L75" s="8">
        <f t="shared" si="22"/>
        <v>298075.89023620496</v>
      </c>
    </row>
    <row r="76" spans="1:12" ht="14.25">
      <c r="A76" t="s">
        <v>19</v>
      </c>
      <c r="B76" s="12">
        <f t="shared" si="27"/>
        <v>87953.03828818096</v>
      </c>
      <c r="C76" s="6">
        <f>'App 34 - Mar05 to Apr06 Revenue'!F$38</f>
        <v>65106.20811269244</v>
      </c>
      <c r="D76" s="6">
        <v>-84835</v>
      </c>
      <c r="E76" s="8">
        <f t="shared" si="21"/>
        <v>-61988.169824511475</v>
      </c>
      <c r="F76" s="8">
        <f t="shared" si="23"/>
        <v>162441.44496323416</v>
      </c>
      <c r="G76" s="8"/>
      <c r="H76" s="15">
        <f t="shared" si="24"/>
        <v>0.0725</v>
      </c>
      <c r="I76" s="8">
        <f t="shared" si="25"/>
        <v>1355.9289226759631</v>
      </c>
      <c r="J76" s="8">
        <f t="shared" si="26"/>
        <v>75002.20437113527</v>
      </c>
      <c r="K76" s="8"/>
      <c r="L76" s="8">
        <f t="shared" si="22"/>
        <v>237443.64933436943</v>
      </c>
    </row>
    <row r="77" spans="1:12" ht="14.25">
      <c r="A77" t="s">
        <v>20</v>
      </c>
      <c r="B77" s="12">
        <f t="shared" si="27"/>
        <v>87953.03828818096</v>
      </c>
      <c r="C77" s="6">
        <f>'App 34 - Mar05 to Apr06 Revenue'!G$38</f>
        <v>76058.57336231552</v>
      </c>
      <c r="D77" s="8"/>
      <c r="E77" s="8">
        <f t="shared" si="21"/>
        <v>11894.464925865439</v>
      </c>
      <c r="F77" s="8">
        <f t="shared" si="23"/>
        <v>174335.9098890996</v>
      </c>
      <c r="G77" s="8"/>
      <c r="H77" s="15">
        <f t="shared" si="24"/>
        <v>0.0725</v>
      </c>
      <c r="I77" s="8">
        <f t="shared" si="25"/>
        <v>981.4170633195396</v>
      </c>
      <c r="J77" s="8">
        <f t="shared" si="26"/>
        <v>75983.62143445482</v>
      </c>
      <c r="K77" s="8"/>
      <c r="L77" s="8">
        <f t="shared" si="22"/>
        <v>250319.5313235544</v>
      </c>
    </row>
    <row r="78" spans="1:12" ht="14.25">
      <c r="A78" t="s">
        <v>21</v>
      </c>
      <c r="B78" s="12">
        <f t="shared" si="27"/>
        <v>87953.03828818096</v>
      </c>
      <c r="C78" s="6">
        <f>'App 34 - Mar05 to Apr06 Revenue'!H$38</f>
        <v>76903.2110902979</v>
      </c>
      <c r="D78" s="8"/>
      <c r="E78" s="8">
        <f t="shared" si="21"/>
        <v>11049.82719788306</v>
      </c>
      <c r="F78" s="8">
        <f t="shared" si="23"/>
        <v>185385.73708698264</v>
      </c>
      <c r="G78" s="8"/>
      <c r="H78" s="15">
        <f t="shared" si="24"/>
        <v>0.0725</v>
      </c>
      <c r="I78" s="8">
        <f t="shared" si="25"/>
        <v>1053.2794555799767</v>
      </c>
      <c r="J78" s="8">
        <f t="shared" si="26"/>
        <v>77036.9008900348</v>
      </c>
      <c r="K78" s="8"/>
      <c r="L78" s="8">
        <f t="shared" si="22"/>
        <v>262422.63797701744</v>
      </c>
    </row>
    <row r="79" spans="1:12" ht="14.25">
      <c r="A79" t="s">
        <v>10</v>
      </c>
      <c r="B79" s="12">
        <f t="shared" si="27"/>
        <v>87953.03828818096</v>
      </c>
      <c r="C79" s="6">
        <f>'App 34 - Mar05 to Apr06 Revenue'!I$38</f>
        <v>53184.91511708258</v>
      </c>
      <c r="D79" s="8"/>
      <c r="E79" s="8">
        <f t="shared" si="21"/>
        <v>34768.123171098385</v>
      </c>
      <c r="F79" s="8">
        <f t="shared" si="23"/>
        <v>220153.86025808103</v>
      </c>
      <c r="G79" s="8"/>
      <c r="H79" s="15">
        <f t="shared" si="24"/>
        <v>0.0725</v>
      </c>
      <c r="I79" s="8">
        <f t="shared" si="25"/>
        <v>1120.0388282338533</v>
      </c>
      <c r="J79" s="8">
        <f t="shared" si="26"/>
        <v>78156.93971826865</v>
      </c>
      <c r="K79" s="8"/>
      <c r="L79" s="8">
        <f t="shared" si="22"/>
        <v>298310.7999763497</v>
      </c>
    </row>
    <row r="80" spans="1:12" ht="14.25">
      <c r="A80" t="s">
        <v>11</v>
      </c>
      <c r="B80" s="12">
        <f t="shared" si="27"/>
        <v>87953.03828818096</v>
      </c>
      <c r="C80" s="6">
        <f>'App 34 - Mar05 to Apr06 Revenue'!J$38</f>
        <v>67931.67053783622</v>
      </c>
      <c r="D80" s="8"/>
      <c r="E80" s="8">
        <f t="shared" si="21"/>
        <v>20021.36775034474</v>
      </c>
      <c r="F80" s="8">
        <f t="shared" si="23"/>
        <v>240175.22800842577</v>
      </c>
      <c r="G80" s="8"/>
      <c r="H80" s="15">
        <f t="shared" si="24"/>
        <v>0.0725</v>
      </c>
      <c r="I80" s="8">
        <f t="shared" si="25"/>
        <v>1330.0962390592395</v>
      </c>
      <c r="J80" s="8">
        <f t="shared" si="26"/>
        <v>79487.0359573279</v>
      </c>
      <c r="K80" s="8"/>
      <c r="L80" s="8">
        <f t="shared" si="22"/>
        <v>319662.26396575366</v>
      </c>
    </row>
    <row r="81" spans="1:12" ht="14.25">
      <c r="A81" t="s">
        <v>12</v>
      </c>
      <c r="B81" s="13">
        <f t="shared" si="27"/>
        <v>87953.03828818096</v>
      </c>
      <c r="C81" s="7">
        <f>'App 34 - Mar05 to Apr06 Revenue'!K$38</f>
        <v>77634.12407793138</v>
      </c>
      <c r="D81" s="14"/>
      <c r="E81" s="14">
        <f t="shared" si="21"/>
        <v>10318.914210249583</v>
      </c>
      <c r="F81" s="14">
        <f t="shared" si="23"/>
        <v>250494.14221867535</v>
      </c>
      <c r="G81" s="14"/>
      <c r="H81" s="17">
        <f t="shared" si="24"/>
        <v>0.0725</v>
      </c>
      <c r="I81" s="14">
        <f t="shared" si="25"/>
        <v>1451.0586692175723</v>
      </c>
      <c r="J81" s="14">
        <f t="shared" si="26"/>
        <v>80938.09462654547</v>
      </c>
      <c r="K81" s="14"/>
      <c r="L81" s="14">
        <f t="shared" si="22"/>
        <v>331432.2368452208</v>
      </c>
    </row>
    <row r="82" spans="1:12" ht="14.25">
      <c r="A82" s="2" t="s">
        <v>13</v>
      </c>
      <c r="B82" s="8">
        <f>SUM(B70:B81)</f>
        <v>1023735.7681951263</v>
      </c>
      <c r="C82" s="8">
        <f>SUM(C70:C81)</f>
        <v>969364.4274129053</v>
      </c>
      <c r="D82" s="8">
        <f>SUM(D70:D81)</f>
        <v>-84835</v>
      </c>
      <c r="E82" s="8">
        <f>SUM(E70:E81)</f>
        <v>-30463.65921777881</v>
      </c>
      <c r="F82" s="8"/>
      <c r="G82" s="8"/>
      <c r="I82" s="8">
        <f>SUM(I70:I81)</f>
        <v>16305.464362604444</v>
      </c>
      <c r="J82" s="8"/>
      <c r="K82" s="8"/>
      <c r="L82" s="8"/>
    </row>
    <row r="83" spans="2:12" ht="14.2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4.2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4.25">
      <c r="B86" s="10"/>
      <c r="C86" s="10"/>
      <c r="D86" s="66" t="str">
        <f>$D$5</f>
        <v>SIMPILS True-Up Adjustments    (neg = CR)</v>
      </c>
      <c r="E86" s="67" t="s">
        <v>14</v>
      </c>
      <c r="F86" s="67"/>
      <c r="G86" s="10"/>
      <c r="H86" s="67" t="s">
        <v>15</v>
      </c>
      <c r="I86" s="67"/>
      <c r="J86" s="67"/>
      <c r="K86" s="10"/>
      <c r="L86" s="66" t="s">
        <v>5</v>
      </c>
    </row>
    <row r="87" spans="2:12" ht="28.5">
      <c r="B87" s="11" t="s">
        <v>2</v>
      </c>
      <c r="C87" s="11" t="s">
        <v>3</v>
      </c>
      <c r="D87" s="66"/>
      <c r="E87" s="10" t="s">
        <v>4</v>
      </c>
      <c r="F87" s="10" t="s">
        <v>65</v>
      </c>
      <c r="G87" s="10"/>
      <c r="H87" s="16" t="s">
        <v>6</v>
      </c>
      <c r="I87" s="10" t="s">
        <v>4</v>
      </c>
      <c r="J87" s="10" t="s">
        <v>65</v>
      </c>
      <c r="K87" s="10"/>
      <c r="L87" s="66"/>
    </row>
    <row r="88" spans="1:12" ht="14.25">
      <c r="A88" t="s">
        <v>7</v>
      </c>
      <c r="B88" s="12">
        <f>B81</f>
        <v>87953.03828818096</v>
      </c>
      <c r="C88" s="6">
        <f>'App 34 - Mar05 to Apr06 Revenue'!L$38</f>
        <v>102746.49647288823</v>
      </c>
      <c r="D88" s="8"/>
      <c r="E88" s="8">
        <f aca="true" t="shared" si="28" ref="E88:E99">B88-C88+D88</f>
        <v>-14793.45818470727</v>
      </c>
      <c r="F88" s="8">
        <f>F81+E88</f>
        <v>235700.68403396808</v>
      </c>
      <c r="G88" s="8"/>
      <c r="H88" s="15">
        <f>H81</f>
        <v>0.0725</v>
      </c>
      <c r="I88" s="8">
        <f>H88*F81/12</f>
        <v>1513.40210923783</v>
      </c>
      <c r="J88" s="8">
        <f>J81+I88</f>
        <v>82451.4967357833</v>
      </c>
      <c r="K88" s="8"/>
      <c r="L88" s="8">
        <f aca="true" t="shared" si="29" ref="L88:L99">F88+J88</f>
        <v>318152.1807697514</v>
      </c>
    </row>
    <row r="89" spans="1:12" ht="14.25">
      <c r="A89" t="s">
        <v>8</v>
      </c>
      <c r="B89" s="12">
        <f>B88</f>
        <v>87953.03828818096</v>
      </c>
      <c r="C89" s="6">
        <f>'App 34 - Mar05 to Apr06 Revenue'!M$38</f>
        <v>95376.33494725473</v>
      </c>
      <c r="D89" s="8"/>
      <c r="E89" s="8">
        <f t="shared" si="28"/>
        <v>-7423.296659073763</v>
      </c>
      <c r="F89" s="8">
        <f>F88+E89</f>
        <v>228277.38737489432</v>
      </c>
      <c r="G89" s="8"/>
      <c r="H89" s="15">
        <f>H88</f>
        <v>0.0725</v>
      </c>
      <c r="I89" s="8">
        <f>H89*F88/12</f>
        <v>1424.024966038557</v>
      </c>
      <c r="J89" s="8">
        <f>I89+J88</f>
        <v>83875.52170182185</v>
      </c>
      <c r="K89" s="8"/>
      <c r="L89" s="8">
        <f t="shared" si="29"/>
        <v>312152.90907671617</v>
      </c>
    </row>
    <row r="90" spans="1:12" ht="14.25">
      <c r="A90" t="s">
        <v>9</v>
      </c>
      <c r="B90" s="12">
        <f>B89</f>
        <v>87953.03828818096</v>
      </c>
      <c r="C90" s="6">
        <f>'App 34 - Mar05 to Apr06 Revenue'!N$38</f>
        <v>112515.17350942556</v>
      </c>
      <c r="D90" s="8"/>
      <c r="E90" s="8">
        <f t="shared" si="28"/>
        <v>-24562.135221244593</v>
      </c>
      <c r="F90" s="8">
        <f aca="true" t="shared" si="30" ref="F90:F99">F89+E90</f>
        <v>203715.25215364972</v>
      </c>
      <c r="G90" s="8"/>
      <c r="H90" s="15">
        <f aca="true" t="shared" si="31" ref="H90:H99">H89</f>
        <v>0.0725</v>
      </c>
      <c r="I90" s="8">
        <f>H90*F89/12</f>
        <v>1379.175882056653</v>
      </c>
      <c r="J90" s="8">
        <f>I90+J89</f>
        <v>85254.6975838785</v>
      </c>
      <c r="K90" s="8"/>
      <c r="L90" s="8">
        <f t="shared" si="29"/>
        <v>288969.9497375282</v>
      </c>
    </row>
    <row r="91" spans="1:12" ht="14.25">
      <c r="A91" t="s">
        <v>16</v>
      </c>
      <c r="B91" s="12">
        <f>B90</f>
        <v>87953.03828818096</v>
      </c>
      <c r="C91" s="6">
        <f>'App 34 - Mar05 to Apr06 Revenue'!O$38</f>
        <v>87084.90137019688</v>
      </c>
      <c r="D91" s="8"/>
      <c r="E91" s="8">
        <f t="shared" si="28"/>
        <v>868.136917984084</v>
      </c>
      <c r="F91" s="8">
        <f t="shared" si="30"/>
        <v>204583.3890716338</v>
      </c>
      <c r="G91" s="8"/>
      <c r="H91" s="18">
        <f>H90</f>
        <v>0.0725</v>
      </c>
      <c r="I91" s="8">
        <f>H91*F90/12</f>
        <v>1230.7796484283003</v>
      </c>
      <c r="J91" s="8">
        <f>I91+J90</f>
        <v>86485.4772323068</v>
      </c>
      <c r="K91" s="8"/>
      <c r="L91" s="8">
        <f t="shared" si="29"/>
        <v>291068.8663039406</v>
      </c>
    </row>
    <row r="92" spans="1:12" ht="14.25">
      <c r="A92" t="s">
        <v>17</v>
      </c>
      <c r="B92" s="12"/>
      <c r="C92" s="6">
        <f>'App 34 - Mar05 to Apr06 Revenue'!P$38</f>
        <v>42632.16280061136</v>
      </c>
      <c r="D92" s="8"/>
      <c r="E92" s="8">
        <f t="shared" si="28"/>
        <v>-42632.16280061136</v>
      </c>
      <c r="F92" s="8">
        <f t="shared" si="30"/>
        <v>161951.22627102246</v>
      </c>
      <c r="G92" s="8"/>
      <c r="H92" s="4">
        <v>0.0414</v>
      </c>
      <c r="I92" s="8">
        <f aca="true" t="shared" si="32" ref="I92:I99">H92*F91/12</f>
        <v>705.8126922971366</v>
      </c>
      <c r="J92" s="8">
        <f aca="true" t="shared" si="33" ref="J92:J99">I92+J91</f>
        <v>87191.28992460395</v>
      </c>
      <c r="K92" s="8"/>
      <c r="L92" s="8">
        <f t="shared" si="29"/>
        <v>249142.5161956264</v>
      </c>
    </row>
    <row r="93" spans="1:12" ht="14.2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161951.22627102246</v>
      </c>
      <c r="G93" s="8"/>
      <c r="H93" s="15">
        <f t="shared" si="31"/>
        <v>0.0414</v>
      </c>
      <c r="I93" s="8">
        <f t="shared" si="32"/>
        <v>558.7317306350275</v>
      </c>
      <c r="J93" s="8">
        <f t="shared" si="33"/>
        <v>87750.02165523898</v>
      </c>
      <c r="K93" s="8"/>
      <c r="L93" s="8">
        <f t="shared" si="29"/>
        <v>249701.24792626145</v>
      </c>
    </row>
    <row r="94" spans="1:15" ht="14.25">
      <c r="A94" t="s">
        <v>19</v>
      </c>
      <c r="B94" s="12"/>
      <c r="C94" s="12"/>
      <c r="D94" s="6">
        <v>0</v>
      </c>
      <c r="E94" s="8">
        <f t="shared" si="28"/>
        <v>0</v>
      </c>
      <c r="F94" s="8">
        <f t="shared" si="30"/>
        <v>161951.22627102246</v>
      </c>
      <c r="G94" s="8"/>
      <c r="H94" s="4">
        <v>0.0459</v>
      </c>
      <c r="I94" s="8">
        <f t="shared" si="32"/>
        <v>619.4634404866609</v>
      </c>
      <c r="J94" s="8">
        <f t="shared" si="33"/>
        <v>88369.48509572564</v>
      </c>
      <c r="K94" s="8"/>
      <c r="L94" s="8">
        <f t="shared" si="29"/>
        <v>250320.7113667481</v>
      </c>
      <c r="O94" s="21"/>
    </row>
    <row r="95" spans="1:15" ht="14.2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161951.22627102246</v>
      </c>
      <c r="G95" s="8"/>
      <c r="H95" s="15">
        <f t="shared" si="31"/>
        <v>0.0459</v>
      </c>
      <c r="I95" s="8">
        <f t="shared" si="32"/>
        <v>619.4634404866609</v>
      </c>
      <c r="J95" s="8">
        <f t="shared" si="33"/>
        <v>88988.94853621231</v>
      </c>
      <c r="K95" s="8"/>
      <c r="L95" s="8">
        <f t="shared" si="29"/>
        <v>250940.17480723478</v>
      </c>
      <c r="O95" s="21"/>
    </row>
    <row r="96" spans="1:12" ht="14.2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161951.22627102246</v>
      </c>
      <c r="G96" s="8"/>
      <c r="H96" s="15">
        <f t="shared" si="31"/>
        <v>0.0459</v>
      </c>
      <c r="I96" s="8">
        <f t="shared" si="32"/>
        <v>619.4634404866609</v>
      </c>
      <c r="J96" s="8">
        <f t="shared" si="33"/>
        <v>89608.41197669898</v>
      </c>
      <c r="K96" s="8"/>
      <c r="L96" s="8">
        <f t="shared" si="29"/>
        <v>251559.63824772142</v>
      </c>
    </row>
    <row r="97" spans="1:12" ht="14.2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161951.22627102246</v>
      </c>
      <c r="G97" s="8"/>
      <c r="H97" s="18">
        <f t="shared" si="31"/>
        <v>0.0459</v>
      </c>
      <c r="I97" s="8">
        <f t="shared" si="32"/>
        <v>619.4634404866609</v>
      </c>
      <c r="J97" s="8">
        <f t="shared" si="33"/>
        <v>90227.87541718564</v>
      </c>
      <c r="K97" s="8"/>
      <c r="L97" s="8">
        <f t="shared" si="29"/>
        <v>252179.10168820812</v>
      </c>
    </row>
    <row r="98" spans="1:12" ht="14.2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161951.22627102246</v>
      </c>
      <c r="G98" s="8"/>
      <c r="H98" s="15">
        <f t="shared" si="31"/>
        <v>0.0459</v>
      </c>
      <c r="I98" s="8">
        <f t="shared" si="32"/>
        <v>619.4634404866609</v>
      </c>
      <c r="J98" s="8">
        <f t="shared" si="33"/>
        <v>90847.33885767231</v>
      </c>
      <c r="K98" s="8"/>
      <c r="L98" s="8">
        <f t="shared" si="29"/>
        <v>252798.56512869475</v>
      </c>
    </row>
    <row r="99" spans="1:12" ht="14.2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161951.22627102246</v>
      </c>
      <c r="G99" s="14"/>
      <c r="H99" s="17">
        <f t="shared" si="31"/>
        <v>0.0459</v>
      </c>
      <c r="I99" s="14">
        <f t="shared" si="32"/>
        <v>619.4634404866609</v>
      </c>
      <c r="J99" s="14">
        <f t="shared" si="33"/>
        <v>91466.80229815897</v>
      </c>
      <c r="K99" s="14"/>
      <c r="L99" s="14">
        <f t="shared" si="29"/>
        <v>253418.02856918145</v>
      </c>
    </row>
    <row r="100" spans="1:14" ht="14.25">
      <c r="A100" s="2" t="s">
        <v>13</v>
      </c>
      <c r="B100" s="8">
        <f>SUM(B88:B99)</f>
        <v>351812.15315272385</v>
      </c>
      <c r="C100" s="8">
        <f>SUM(C88:C99)</f>
        <v>440355.06910037674</v>
      </c>
      <c r="D100" s="8">
        <f>SUM(D88:D99)</f>
        <v>0</v>
      </c>
      <c r="E100" s="8">
        <f>SUM(E88:E99)</f>
        <v>-88542.9159476529</v>
      </c>
      <c r="F100" s="8"/>
      <c r="G100" s="8"/>
      <c r="I100" s="8">
        <f>SUM(I88:I99)</f>
        <v>10528.70767161347</v>
      </c>
      <c r="J100" s="8"/>
      <c r="K100" s="8"/>
      <c r="L100" s="8"/>
      <c r="N100" s="21"/>
    </row>
    <row r="101" spans="1:12" ht="30" customHeight="1">
      <c r="A101" s="36" t="s">
        <v>109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4.2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4.25">
      <c r="B104" s="10"/>
      <c r="C104" s="10"/>
      <c r="D104" s="66" t="str">
        <f>$D$5</f>
        <v>SIMPILS True-Up Adjustments    (neg = CR)</v>
      </c>
      <c r="E104" s="67" t="s">
        <v>14</v>
      </c>
      <c r="F104" s="67"/>
      <c r="G104" s="10"/>
      <c r="H104" s="67" t="s">
        <v>15</v>
      </c>
      <c r="I104" s="67"/>
      <c r="J104" s="67"/>
      <c r="K104" s="10"/>
      <c r="L104" s="66" t="s">
        <v>5</v>
      </c>
    </row>
    <row r="105" spans="2:12" ht="28.5">
      <c r="B105" s="11" t="s">
        <v>2</v>
      </c>
      <c r="C105" s="11" t="s">
        <v>3</v>
      </c>
      <c r="D105" s="66"/>
      <c r="E105" s="10" t="s">
        <v>4</v>
      </c>
      <c r="F105" s="10" t="s">
        <v>65</v>
      </c>
      <c r="G105" s="10"/>
      <c r="H105" s="16" t="s">
        <v>6</v>
      </c>
      <c r="I105" s="10" t="s">
        <v>4</v>
      </c>
      <c r="J105" s="10" t="s">
        <v>65</v>
      </c>
      <c r="K105" s="10"/>
      <c r="L105" s="66"/>
    </row>
    <row r="106" spans="1:12" ht="14.2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161951.22627102246</v>
      </c>
      <c r="G106" s="8"/>
      <c r="H106" s="15">
        <f>H99</f>
        <v>0.0459</v>
      </c>
      <c r="I106" s="8">
        <f>H106*F99/12</f>
        <v>619.4634404866609</v>
      </c>
      <c r="J106" s="8">
        <f>J99+I106</f>
        <v>92086.26573864564</v>
      </c>
      <c r="K106" s="8"/>
      <c r="L106" s="8">
        <f aca="true" t="shared" si="35" ref="L106:L117">F106+J106</f>
        <v>254037.4920096681</v>
      </c>
    </row>
    <row r="107" spans="1:12" ht="14.2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161951.22627102246</v>
      </c>
      <c r="G107" s="8"/>
      <c r="H107" s="15">
        <f>H106</f>
        <v>0.0459</v>
      </c>
      <c r="I107" s="8">
        <f>H107*F106/12</f>
        <v>619.4634404866609</v>
      </c>
      <c r="J107" s="8">
        <f>I107+J106</f>
        <v>92705.72917913231</v>
      </c>
      <c r="K107" s="8"/>
      <c r="L107" s="8">
        <f t="shared" si="35"/>
        <v>254656.95545015478</v>
      </c>
    </row>
    <row r="108" spans="1:12" ht="14.2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161951.22627102246</v>
      </c>
      <c r="G108" s="8"/>
      <c r="H108" s="15">
        <f aca="true" t="shared" si="37" ref="H108:H117">H107</f>
        <v>0.0459</v>
      </c>
      <c r="I108" s="8">
        <f>H108*F107/12</f>
        <v>619.4634404866609</v>
      </c>
      <c r="J108" s="8">
        <f>I108+J107</f>
        <v>93325.19261961897</v>
      </c>
      <c r="K108" s="8"/>
      <c r="L108" s="8">
        <f t="shared" si="35"/>
        <v>255276.41889064142</v>
      </c>
    </row>
    <row r="109" spans="1:12" ht="14.2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161951.22627102246</v>
      </c>
      <c r="G109" s="8"/>
      <c r="H109" s="15">
        <f t="shared" si="37"/>
        <v>0.0459</v>
      </c>
      <c r="I109" s="8">
        <f>H109*F108/12</f>
        <v>619.4634404866609</v>
      </c>
      <c r="J109" s="8">
        <f>I109+J108</f>
        <v>93944.65606010564</v>
      </c>
      <c r="K109" s="8"/>
      <c r="L109" s="8">
        <f t="shared" si="35"/>
        <v>255895.88233112812</v>
      </c>
    </row>
    <row r="110" spans="1:12" ht="14.2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161951.22627102246</v>
      </c>
      <c r="G110" s="8"/>
      <c r="H110" s="15">
        <f t="shared" si="37"/>
        <v>0.0459</v>
      </c>
      <c r="I110" s="8">
        <f aca="true" t="shared" si="38" ref="I110:I117">H110*F109/12</f>
        <v>619.4634404866609</v>
      </c>
      <c r="J110" s="8">
        <f aca="true" t="shared" si="39" ref="J110:J117">I110+J109</f>
        <v>94564.11950059231</v>
      </c>
      <c r="K110" s="8"/>
      <c r="L110" s="8">
        <f t="shared" si="35"/>
        <v>256515.34577161475</v>
      </c>
    </row>
    <row r="111" spans="1:12" ht="14.2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161951.22627102246</v>
      </c>
      <c r="G111" s="8"/>
      <c r="H111" s="15">
        <f t="shared" si="37"/>
        <v>0.0459</v>
      </c>
      <c r="I111" s="8">
        <f t="shared" si="38"/>
        <v>619.4634404866609</v>
      </c>
      <c r="J111" s="8">
        <f t="shared" si="39"/>
        <v>95183.58294107897</v>
      </c>
      <c r="K111" s="8"/>
      <c r="L111" s="8">
        <f t="shared" si="35"/>
        <v>257134.80921210145</v>
      </c>
    </row>
    <row r="112" spans="1:12" ht="14.2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161951.22627102246</v>
      </c>
      <c r="G112" s="8"/>
      <c r="H112" s="15">
        <f t="shared" si="37"/>
        <v>0.0459</v>
      </c>
      <c r="I112" s="8">
        <f t="shared" si="38"/>
        <v>619.4634404866609</v>
      </c>
      <c r="J112" s="8">
        <f t="shared" si="39"/>
        <v>95803.04638156564</v>
      </c>
      <c r="K112" s="8"/>
      <c r="L112" s="8">
        <f t="shared" si="35"/>
        <v>257754.2726525881</v>
      </c>
    </row>
    <row r="113" spans="1:12" ht="14.2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161951.22627102246</v>
      </c>
      <c r="G113" s="8"/>
      <c r="H113" s="15">
        <f t="shared" si="37"/>
        <v>0.0459</v>
      </c>
      <c r="I113" s="8">
        <f t="shared" si="38"/>
        <v>619.4634404866609</v>
      </c>
      <c r="J113" s="8">
        <f t="shared" si="39"/>
        <v>96422.5098220523</v>
      </c>
      <c r="K113" s="8"/>
      <c r="L113" s="8">
        <f t="shared" si="35"/>
        <v>258373.73609307478</v>
      </c>
    </row>
    <row r="114" spans="1:12" ht="14.2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161951.22627102246</v>
      </c>
      <c r="G114" s="8"/>
      <c r="H114" s="15">
        <f t="shared" si="37"/>
        <v>0.0459</v>
      </c>
      <c r="I114" s="8">
        <f t="shared" si="38"/>
        <v>619.4634404866609</v>
      </c>
      <c r="J114" s="8">
        <f t="shared" si="39"/>
        <v>97041.97326253897</v>
      </c>
      <c r="K114" s="8"/>
      <c r="L114" s="8">
        <f t="shared" si="35"/>
        <v>258993.19953356142</v>
      </c>
    </row>
    <row r="115" spans="1:12" ht="14.2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161951.22627102246</v>
      </c>
      <c r="G115" s="8"/>
      <c r="H115" s="4">
        <v>0.0514</v>
      </c>
      <c r="I115" s="8">
        <f t="shared" si="38"/>
        <v>693.6910858608795</v>
      </c>
      <c r="J115" s="8">
        <f t="shared" si="39"/>
        <v>97735.66434839985</v>
      </c>
      <c r="K115" s="8"/>
      <c r="L115" s="8">
        <f t="shared" si="35"/>
        <v>259686.8906194223</v>
      </c>
    </row>
    <row r="116" spans="1:12" ht="14.2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161951.22627102246</v>
      </c>
      <c r="G116" s="8"/>
      <c r="H116" s="15">
        <f t="shared" si="37"/>
        <v>0.0514</v>
      </c>
      <c r="I116" s="8">
        <f t="shared" si="38"/>
        <v>693.6910858608795</v>
      </c>
      <c r="J116" s="8">
        <f t="shared" si="39"/>
        <v>98429.35543426072</v>
      </c>
      <c r="K116" s="8"/>
      <c r="L116" s="8">
        <f t="shared" si="35"/>
        <v>260380.5817052832</v>
      </c>
    </row>
    <row r="117" spans="1:12" ht="14.2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161951.22627102246</v>
      </c>
      <c r="G117" s="14"/>
      <c r="H117" s="17">
        <f t="shared" si="37"/>
        <v>0.0514</v>
      </c>
      <c r="I117" s="14">
        <f t="shared" si="38"/>
        <v>693.6910858608795</v>
      </c>
      <c r="J117" s="14">
        <f t="shared" si="39"/>
        <v>99123.0465201216</v>
      </c>
      <c r="K117" s="14"/>
      <c r="L117" s="14">
        <f t="shared" si="35"/>
        <v>261074.27279114406</v>
      </c>
    </row>
    <row r="118" spans="1:12" ht="14.2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7656.244221962588</v>
      </c>
      <c r="J118" s="8"/>
      <c r="K118" s="8"/>
      <c r="L118" s="8"/>
    </row>
    <row r="119" spans="2:12" ht="14.2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4.2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4.25">
      <c r="B122" s="10"/>
      <c r="C122" s="10"/>
      <c r="D122" s="66" t="str">
        <f>$D$5</f>
        <v>SIMPILS True-Up Adjustments    (neg = CR)</v>
      </c>
      <c r="E122" s="67" t="s">
        <v>14</v>
      </c>
      <c r="F122" s="67"/>
      <c r="G122" s="10"/>
      <c r="H122" s="67" t="s">
        <v>15</v>
      </c>
      <c r="I122" s="67"/>
      <c r="J122" s="67"/>
      <c r="K122" s="10"/>
      <c r="L122" s="66" t="s">
        <v>5</v>
      </c>
    </row>
    <row r="123" spans="2:12" ht="28.5">
      <c r="B123" s="11" t="s">
        <v>2</v>
      </c>
      <c r="C123" s="11" t="s">
        <v>3</v>
      </c>
      <c r="D123" s="66"/>
      <c r="E123" s="10" t="s">
        <v>4</v>
      </c>
      <c r="F123" s="10" t="s">
        <v>65</v>
      </c>
      <c r="G123" s="10"/>
      <c r="H123" s="16" t="s">
        <v>6</v>
      </c>
      <c r="I123" s="10" t="s">
        <v>4</v>
      </c>
      <c r="J123" s="10" t="s">
        <v>65</v>
      </c>
      <c r="K123" s="10"/>
      <c r="L123" s="66"/>
    </row>
    <row r="124" spans="1:12" ht="14.2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161951.22627102246</v>
      </c>
      <c r="G124" s="8"/>
      <c r="H124" s="15">
        <f>H117</f>
        <v>0.0514</v>
      </c>
      <c r="I124" s="8">
        <f>H124*F117/12</f>
        <v>693.6910858608795</v>
      </c>
      <c r="J124" s="8">
        <f>J117+I124</f>
        <v>99816.73760598247</v>
      </c>
      <c r="K124" s="8"/>
      <c r="L124" s="8">
        <f aca="true" t="shared" si="41" ref="L124:L135">F124+J124</f>
        <v>261767.96387700492</v>
      </c>
    </row>
    <row r="125" spans="1:12" ht="14.2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161951.22627102246</v>
      </c>
      <c r="G125" s="8"/>
      <c r="H125" s="15">
        <f>H124</f>
        <v>0.0514</v>
      </c>
      <c r="I125" s="8">
        <f>H125*F124/12</f>
        <v>693.6910858608795</v>
      </c>
      <c r="J125" s="8">
        <f>I125+J124</f>
        <v>100510.42869184335</v>
      </c>
      <c r="K125" s="8"/>
      <c r="L125" s="8">
        <f t="shared" si="41"/>
        <v>262461.6549628658</v>
      </c>
    </row>
    <row r="126" spans="1:12" ht="14.2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161951.22627102246</v>
      </c>
      <c r="G126" s="8"/>
      <c r="H126" s="15">
        <f aca="true" t="shared" si="43" ref="H126:H135">H125</f>
        <v>0.0514</v>
      </c>
      <c r="I126" s="8">
        <f>H126*F125/12</f>
        <v>693.6910858608795</v>
      </c>
      <c r="J126" s="8">
        <f>I126+J125</f>
        <v>101204.11977770423</v>
      </c>
      <c r="K126" s="8"/>
      <c r="L126" s="8">
        <f t="shared" si="41"/>
        <v>263155.3460487267</v>
      </c>
    </row>
    <row r="127" spans="1:12" ht="14.2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161951.22627102246</v>
      </c>
      <c r="G127" s="8"/>
      <c r="H127" s="4">
        <v>0.0408</v>
      </c>
      <c r="I127" s="8">
        <f>H127*F126/12</f>
        <v>550.6341693214764</v>
      </c>
      <c r="J127" s="8">
        <f>I127+J126</f>
        <v>101754.7539470257</v>
      </c>
      <c r="K127" s="8"/>
      <c r="L127" s="8">
        <f t="shared" si="41"/>
        <v>263705.98021804815</v>
      </c>
    </row>
    <row r="128" spans="1:12" ht="14.2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161951.22627102246</v>
      </c>
      <c r="G128" s="8"/>
      <c r="H128" s="15">
        <f t="shared" si="43"/>
        <v>0.0408</v>
      </c>
      <c r="I128" s="8">
        <f aca="true" t="shared" si="44" ref="I128:I135">H128*F127/12</f>
        <v>550.6341693214764</v>
      </c>
      <c r="J128" s="8">
        <f aca="true" t="shared" si="45" ref="J128:J135">I128+J127</f>
        <v>102305.38811634718</v>
      </c>
      <c r="K128" s="8"/>
      <c r="L128" s="8">
        <f t="shared" si="41"/>
        <v>264256.61438736966</v>
      </c>
    </row>
    <row r="129" spans="1:12" ht="14.2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161951.22627102246</v>
      </c>
      <c r="G129" s="8"/>
      <c r="H129" s="15">
        <f t="shared" si="43"/>
        <v>0.0408</v>
      </c>
      <c r="I129" s="8">
        <f t="shared" si="44"/>
        <v>550.6341693214764</v>
      </c>
      <c r="J129" s="8">
        <f t="shared" si="45"/>
        <v>102856.02228566866</v>
      </c>
      <c r="K129" s="8"/>
      <c r="L129" s="8">
        <f t="shared" si="41"/>
        <v>264807.2485566911</v>
      </c>
    </row>
    <row r="130" spans="1:12" ht="14.2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161951.22627102246</v>
      </c>
      <c r="G130" s="8"/>
      <c r="H130" s="4">
        <v>0.0335</v>
      </c>
      <c r="I130" s="8">
        <f t="shared" si="44"/>
        <v>452.11384000660445</v>
      </c>
      <c r="J130" s="8">
        <f t="shared" si="45"/>
        <v>103308.13612567526</v>
      </c>
      <c r="K130" s="8"/>
      <c r="L130" s="8">
        <f t="shared" si="41"/>
        <v>265259.36239669775</v>
      </c>
    </row>
    <row r="131" spans="1:12" ht="14.2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161951.22627102246</v>
      </c>
      <c r="G131" s="8"/>
      <c r="H131" s="15">
        <f t="shared" si="43"/>
        <v>0.0335</v>
      </c>
      <c r="I131" s="8">
        <f t="shared" si="44"/>
        <v>452.11384000660445</v>
      </c>
      <c r="J131" s="8">
        <f t="shared" si="45"/>
        <v>103760.24996568185</v>
      </c>
      <c r="K131" s="8"/>
      <c r="L131" s="8">
        <f t="shared" si="41"/>
        <v>265711.47623670433</v>
      </c>
    </row>
    <row r="132" spans="1:12" ht="14.2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161951.22627102246</v>
      </c>
      <c r="G132" s="8"/>
      <c r="H132" s="15">
        <f t="shared" si="43"/>
        <v>0.0335</v>
      </c>
      <c r="I132" s="8">
        <f t="shared" si="44"/>
        <v>452.11384000660445</v>
      </c>
      <c r="J132" s="8">
        <f t="shared" si="45"/>
        <v>104212.36380568845</v>
      </c>
      <c r="K132" s="8"/>
      <c r="L132" s="8">
        <f t="shared" si="41"/>
        <v>266163.5900767109</v>
      </c>
    </row>
    <row r="133" spans="1:12" ht="14.2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161951.22627102246</v>
      </c>
      <c r="G133" s="8"/>
      <c r="H133" s="18">
        <f>H132</f>
        <v>0.0335</v>
      </c>
      <c r="I133" s="8">
        <f t="shared" si="44"/>
        <v>452.11384000660445</v>
      </c>
      <c r="J133" s="8">
        <f t="shared" si="45"/>
        <v>104664.47764569505</v>
      </c>
      <c r="K133" s="8"/>
      <c r="L133" s="8">
        <f t="shared" si="41"/>
        <v>266615.7039167175</v>
      </c>
    </row>
    <row r="134" spans="1:12" ht="14.2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161951.22627102246</v>
      </c>
      <c r="G134" s="8"/>
      <c r="H134" s="15">
        <f t="shared" si="43"/>
        <v>0.0335</v>
      </c>
      <c r="I134" s="8">
        <f t="shared" si="44"/>
        <v>452.11384000660445</v>
      </c>
      <c r="J134" s="8">
        <f t="shared" si="45"/>
        <v>105116.59148570165</v>
      </c>
      <c r="K134" s="8"/>
      <c r="L134" s="8">
        <f t="shared" si="41"/>
        <v>267067.8177567241</v>
      </c>
    </row>
    <row r="135" spans="1:12" ht="14.2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161951.22627102246</v>
      </c>
      <c r="G135" s="14"/>
      <c r="H135" s="17">
        <f t="shared" si="43"/>
        <v>0.0335</v>
      </c>
      <c r="I135" s="14">
        <f t="shared" si="44"/>
        <v>452.11384000660445</v>
      </c>
      <c r="J135" s="14">
        <f t="shared" si="45"/>
        <v>105568.70532570824</v>
      </c>
      <c r="K135" s="14"/>
      <c r="L135" s="14">
        <f t="shared" si="41"/>
        <v>267519.9315967307</v>
      </c>
    </row>
    <row r="136" spans="1:12" ht="14.2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6445.658805586696</v>
      </c>
      <c r="J136" s="8"/>
      <c r="K136" s="8"/>
      <c r="L136" s="8"/>
    </row>
    <row r="137" spans="2:12" ht="14.2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4.2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4.25">
      <c r="B140" s="10"/>
      <c r="C140" s="10"/>
      <c r="D140" s="66" t="str">
        <f>$D$5</f>
        <v>SIMPILS True-Up Adjustments    (neg = CR)</v>
      </c>
      <c r="E140" s="67" t="s">
        <v>14</v>
      </c>
      <c r="F140" s="67"/>
      <c r="G140" s="10"/>
      <c r="H140" s="67" t="s">
        <v>15</v>
      </c>
      <c r="I140" s="67"/>
      <c r="J140" s="67"/>
      <c r="K140" s="10"/>
      <c r="L140" s="66" t="s">
        <v>5</v>
      </c>
    </row>
    <row r="141" spans="2:12" ht="28.5">
      <c r="B141" s="11" t="s">
        <v>2</v>
      </c>
      <c r="C141" s="11" t="s">
        <v>3</v>
      </c>
      <c r="D141" s="66"/>
      <c r="E141" s="10" t="s">
        <v>4</v>
      </c>
      <c r="F141" s="10" t="s">
        <v>65</v>
      </c>
      <c r="G141" s="10"/>
      <c r="H141" s="16" t="s">
        <v>6</v>
      </c>
      <c r="I141" s="10" t="s">
        <v>4</v>
      </c>
      <c r="J141" s="10" t="s">
        <v>65</v>
      </c>
      <c r="K141" s="10"/>
      <c r="L141" s="66"/>
    </row>
    <row r="142" spans="1:12" ht="14.2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161951.22627102246</v>
      </c>
      <c r="G142" s="8"/>
      <c r="H142" s="4">
        <v>0.0245</v>
      </c>
      <c r="I142" s="8">
        <f>H142*F135/12</f>
        <v>330.6504203033375</v>
      </c>
      <c r="J142" s="8">
        <f>J135+I142</f>
        <v>105899.35574601158</v>
      </c>
      <c r="K142" s="8"/>
      <c r="L142" s="8">
        <f aca="true" t="shared" si="47" ref="L142:L153">F142+J142</f>
        <v>267850.58201703406</v>
      </c>
    </row>
    <row r="143" spans="1:12" ht="14.2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161951.22627102246</v>
      </c>
      <c r="G143" s="8"/>
      <c r="H143" s="15">
        <f>H142</f>
        <v>0.0245</v>
      </c>
      <c r="I143" s="8">
        <f>H143*F142/12</f>
        <v>330.6504203033375</v>
      </c>
      <c r="J143" s="8">
        <f>I143+J142</f>
        <v>106230.00616631492</v>
      </c>
      <c r="K143" s="8"/>
      <c r="L143" s="8">
        <f t="shared" si="47"/>
        <v>268181.2324373374</v>
      </c>
    </row>
    <row r="144" spans="1:12" ht="14.2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161951.22627102246</v>
      </c>
      <c r="G144" s="8"/>
      <c r="H144" s="15">
        <f aca="true" t="shared" si="49" ref="H144:H153">H143</f>
        <v>0.0245</v>
      </c>
      <c r="I144" s="8">
        <f>H144*F143/12</f>
        <v>330.6504203033375</v>
      </c>
      <c r="J144" s="8">
        <f>I144+J143</f>
        <v>106560.65658661826</v>
      </c>
      <c r="K144" s="8"/>
      <c r="L144" s="8">
        <f t="shared" si="47"/>
        <v>268511.88285764074</v>
      </c>
    </row>
    <row r="145" spans="1:12" ht="14.2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161951.22627102246</v>
      </c>
      <c r="G145" s="8"/>
      <c r="H145" s="4">
        <v>0.01</v>
      </c>
      <c r="I145" s="8">
        <f>H145*F144/12</f>
        <v>134.95935522585205</v>
      </c>
      <c r="J145" s="8">
        <f>I145+J144</f>
        <v>106695.61594184412</v>
      </c>
      <c r="K145" s="8"/>
      <c r="L145" s="8">
        <f t="shared" si="47"/>
        <v>268646.8422128666</v>
      </c>
    </row>
    <row r="146" spans="1:12" ht="14.2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161951.22627102246</v>
      </c>
      <c r="G146" s="8"/>
      <c r="H146" s="15">
        <f t="shared" si="49"/>
        <v>0.01</v>
      </c>
      <c r="I146" s="8">
        <f aca="true" t="shared" si="50" ref="I146:I153">H146*F145/12</f>
        <v>134.95935522585205</v>
      </c>
      <c r="J146" s="8">
        <f aca="true" t="shared" si="51" ref="J146:J153">I146+J145</f>
        <v>106830.57529706997</v>
      </c>
      <c r="K146" s="8"/>
      <c r="L146" s="8">
        <f t="shared" si="47"/>
        <v>268781.8015680924</v>
      </c>
    </row>
    <row r="147" spans="1:12" ht="14.2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161951.22627102246</v>
      </c>
      <c r="G147" s="8"/>
      <c r="H147" s="15">
        <f t="shared" si="49"/>
        <v>0.01</v>
      </c>
      <c r="I147" s="8">
        <f t="shared" si="50"/>
        <v>134.95935522585205</v>
      </c>
      <c r="J147" s="8">
        <f t="shared" si="51"/>
        <v>106965.53465229581</v>
      </c>
      <c r="K147" s="8"/>
      <c r="L147" s="8">
        <f t="shared" si="47"/>
        <v>268916.7609233183</v>
      </c>
    </row>
    <row r="148" spans="1:12" ht="14.2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161951.22627102246</v>
      </c>
      <c r="G148" s="8"/>
      <c r="H148" s="4">
        <v>0.0055</v>
      </c>
      <c r="I148" s="8">
        <f t="shared" si="50"/>
        <v>74.22764537421862</v>
      </c>
      <c r="J148" s="8">
        <f t="shared" si="51"/>
        <v>107039.76229767004</v>
      </c>
      <c r="K148" s="8"/>
      <c r="L148" s="8">
        <f t="shared" si="47"/>
        <v>268990.98856869247</v>
      </c>
    </row>
    <row r="149" spans="1:12" ht="14.2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161951.22627102246</v>
      </c>
      <c r="G149" s="8"/>
      <c r="H149" s="15">
        <f t="shared" si="49"/>
        <v>0.0055</v>
      </c>
      <c r="I149" s="8">
        <f t="shared" si="50"/>
        <v>74.22764537421862</v>
      </c>
      <c r="J149" s="8">
        <f t="shared" si="51"/>
        <v>107113.98994304426</v>
      </c>
      <c r="K149" s="8"/>
      <c r="L149" s="8">
        <f t="shared" si="47"/>
        <v>269065.2162140667</v>
      </c>
    </row>
    <row r="150" spans="1:12" ht="14.2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161951.22627102246</v>
      </c>
      <c r="G150" s="8"/>
      <c r="H150" s="15">
        <f t="shared" si="49"/>
        <v>0.0055</v>
      </c>
      <c r="I150" s="8">
        <f t="shared" si="50"/>
        <v>74.22764537421862</v>
      </c>
      <c r="J150" s="8">
        <f t="shared" si="51"/>
        <v>107188.21758841848</v>
      </c>
      <c r="K150" s="8"/>
      <c r="L150" s="8">
        <f t="shared" si="47"/>
        <v>269139.443859441</v>
      </c>
    </row>
    <row r="151" spans="1:12" ht="14.2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161951.22627102246</v>
      </c>
      <c r="G151" s="8"/>
      <c r="H151" s="15">
        <f t="shared" si="49"/>
        <v>0.0055</v>
      </c>
      <c r="I151" s="8">
        <f t="shared" si="50"/>
        <v>74.22764537421862</v>
      </c>
      <c r="J151" s="8">
        <f t="shared" si="51"/>
        <v>107262.4452337927</v>
      </c>
      <c r="K151" s="8"/>
      <c r="L151" s="8">
        <f t="shared" si="47"/>
        <v>269213.67150481517</v>
      </c>
    </row>
    <row r="152" spans="1:12" ht="14.2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161951.22627102246</v>
      </c>
      <c r="G152" s="8"/>
      <c r="H152" s="15">
        <f t="shared" si="49"/>
        <v>0.0055</v>
      </c>
      <c r="I152" s="8">
        <f t="shared" si="50"/>
        <v>74.22764537421862</v>
      </c>
      <c r="J152" s="8">
        <f t="shared" si="51"/>
        <v>107336.67287916693</v>
      </c>
      <c r="K152" s="8"/>
      <c r="L152" s="8">
        <f t="shared" si="47"/>
        <v>269287.89915018936</v>
      </c>
    </row>
    <row r="153" spans="1:12" ht="14.2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161951.22627102246</v>
      </c>
      <c r="G153" s="14"/>
      <c r="H153" s="17">
        <f t="shared" si="49"/>
        <v>0.0055</v>
      </c>
      <c r="I153" s="14">
        <f t="shared" si="50"/>
        <v>74.22764537421862</v>
      </c>
      <c r="J153" s="14">
        <f t="shared" si="51"/>
        <v>107410.90052454115</v>
      </c>
      <c r="K153" s="14"/>
      <c r="L153" s="14">
        <f t="shared" si="47"/>
        <v>269362.1267955636</v>
      </c>
    </row>
    <row r="154" spans="1:12" ht="14.2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1842.1951988328801</v>
      </c>
      <c r="J154" s="8"/>
      <c r="K154" s="8"/>
      <c r="L154" s="8"/>
    </row>
    <row r="155" spans="2:12" ht="14.2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4.2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4.25">
      <c r="B158" s="10"/>
      <c r="C158" s="10"/>
      <c r="D158" s="66" t="str">
        <f>$D$5</f>
        <v>SIMPILS True-Up Adjustments    (neg = CR)</v>
      </c>
      <c r="E158" s="67" t="s">
        <v>14</v>
      </c>
      <c r="F158" s="67"/>
      <c r="G158" s="10"/>
      <c r="H158" s="67" t="s">
        <v>15</v>
      </c>
      <c r="I158" s="67"/>
      <c r="J158" s="67"/>
      <c r="K158" s="10"/>
      <c r="L158" s="66" t="s">
        <v>5</v>
      </c>
    </row>
    <row r="159" spans="2:12" ht="28.5">
      <c r="B159" s="11" t="s">
        <v>2</v>
      </c>
      <c r="C159" s="11" t="s">
        <v>3</v>
      </c>
      <c r="D159" s="66"/>
      <c r="E159" s="10" t="s">
        <v>4</v>
      </c>
      <c r="F159" s="10" t="s">
        <v>65</v>
      </c>
      <c r="G159" s="10"/>
      <c r="H159" s="16" t="s">
        <v>6</v>
      </c>
      <c r="I159" s="10" t="s">
        <v>4</v>
      </c>
      <c r="J159" s="10" t="s">
        <v>65</v>
      </c>
      <c r="K159" s="10"/>
      <c r="L159" s="66"/>
    </row>
    <row r="160" spans="1:12" ht="14.2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161951.22627102246</v>
      </c>
      <c r="G160" s="8"/>
      <c r="H160" s="15">
        <f>H153</f>
        <v>0.0055</v>
      </c>
      <c r="I160" s="8">
        <f>H160*F153/12</f>
        <v>74.22764537421862</v>
      </c>
      <c r="J160" s="8">
        <f>J153+I160</f>
        <v>107485.12816991538</v>
      </c>
      <c r="K160" s="8"/>
      <c r="L160" s="8">
        <f aca="true" t="shared" si="53" ref="L160:L171">F160+J160</f>
        <v>269436.35444093787</v>
      </c>
    </row>
    <row r="161" spans="1:12" ht="14.2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161951.22627102246</v>
      </c>
      <c r="G161" s="8"/>
      <c r="H161" s="15">
        <f>H160</f>
        <v>0.0055</v>
      </c>
      <c r="I161" s="8">
        <f>H161*F160/12</f>
        <v>74.22764537421862</v>
      </c>
      <c r="J161" s="8">
        <f>I161+J160</f>
        <v>107559.3558152896</v>
      </c>
      <c r="K161" s="8"/>
      <c r="L161" s="8">
        <f t="shared" si="53"/>
        <v>269510.58208631206</v>
      </c>
    </row>
    <row r="162" spans="1:12" ht="14.2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161951.22627102246</v>
      </c>
      <c r="G162" s="8"/>
      <c r="H162" s="15">
        <f aca="true" t="shared" si="55" ref="H162:H171">H161</f>
        <v>0.0055</v>
      </c>
      <c r="I162" s="8">
        <f>H162*F161/12</f>
        <v>74.22764537421862</v>
      </c>
      <c r="J162" s="8">
        <f>I162+J161</f>
        <v>107633.58346066382</v>
      </c>
      <c r="K162" s="8"/>
      <c r="L162" s="8">
        <f t="shared" si="53"/>
        <v>269584.80973168625</v>
      </c>
    </row>
    <row r="163" spans="1:12" ht="14.2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161951.22627102246</v>
      </c>
      <c r="G163" s="8"/>
      <c r="H163" s="15">
        <f t="shared" si="55"/>
        <v>0.0055</v>
      </c>
      <c r="I163" s="8">
        <f>H163*F162/12</f>
        <v>74.22764537421862</v>
      </c>
      <c r="J163" s="8">
        <f>I163+J162</f>
        <v>107707.81110603805</v>
      </c>
      <c r="K163" s="8"/>
      <c r="L163" s="8">
        <f t="shared" si="53"/>
        <v>269659.0373770605</v>
      </c>
    </row>
    <row r="164" spans="1:12" ht="14.2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161951.22627102246</v>
      </c>
      <c r="G164" s="8"/>
      <c r="H164" s="15">
        <f t="shared" si="55"/>
        <v>0.0055</v>
      </c>
      <c r="I164" s="8">
        <f aca="true" t="shared" si="56" ref="I164:I171">H164*F163/12</f>
        <v>74.22764537421862</v>
      </c>
      <c r="J164" s="8">
        <f aca="true" t="shared" si="57" ref="J164:J171">I164+J163</f>
        <v>107782.03875141227</v>
      </c>
      <c r="K164" s="8"/>
      <c r="L164" s="8">
        <f t="shared" si="53"/>
        <v>269733.26502243476</v>
      </c>
    </row>
    <row r="165" spans="1:12" ht="14.2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161951.22627102246</v>
      </c>
      <c r="G165" s="8"/>
      <c r="H165" s="15">
        <f t="shared" si="55"/>
        <v>0.0055</v>
      </c>
      <c r="I165" s="8">
        <f t="shared" si="56"/>
        <v>74.22764537421862</v>
      </c>
      <c r="J165" s="8">
        <f t="shared" si="57"/>
        <v>107856.2663967865</v>
      </c>
      <c r="K165" s="8"/>
      <c r="L165" s="8">
        <f t="shared" si="53"/>
        <v>269807.49266780895</v>
      </c>
    </row>
    <row r="166" spans="1:12" ht="14.2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161951.22627102246</v>
      </c>
      <c r="G166" s="8"/>
      <c r="H166" s="4">
        <v>0.0089</v>
      </c>
      <c r="I166" s="8">
        <f t="shared" si="56"/>
        <v>120.11382615100833</v>
      </c>
      <c r="J166" s="8">
        <f t="shared" si="57"/>
        <v>107976.3802229375</v>
      </c>
      <c r="K166" s="8"/>
      <c r="L166" s="8">
        <f t="shared" si="53"/>
        <v>269927.60649395996</v>
      </c>
    </row>
    <row r="167" spans="1:12" ht="14.2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161951.22627102246</v>
      </c>
      <c r="G167" s="8"/>
      <c r="H167" s="15">
        <f t="shared" si="55"/>
        <v>0.0089</v>
      </c>
      <c r="I167" s="8">
        <f t="shared" si="56"/>
        <v>120.11382615100833</v>
      </c>
      <c r="J167" s="8">
        <f t="shared" si="57"/>
        <v>108096.4940490885</v>
      </c>
      <c r="K167" s="8"/>
      <c r="L167" s="8">
        <f t="shared" si="53"/>
        <v>270047.72032011097</v>
      </c>
    </row>
    <row r="168" spans="1:12" ht="14.2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161951.22627102246</v>
      </c>
      <c r="G168" s="8"/>
      <c r="H168" s="15">
        <f t="shared" si="55"/>
        <v>0.0089</v>
      </c>
      <c r="I168" s="8">
        <f t="shared" si="56"/>
        <v>120.11382615100833</v>
      </c>
      <c r="J168" s="8">
        <f t="shared" si="57"/>
        <v>108216.60787523951</v>
      </c>
      <c r="K168" s="8"/>
      <c r="L168" s="8">
        <f t="shared" si="53"/>
        <v>270167.834146262</v>
      </c>
    </row>
    <row r="169" spans="1:12" ht="14.2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161951.22627102246</v>
      </c>
      <c r="G169" s="8"/>
      <c r="H169" s="4">
        <v>0.012</v>
      </c>
      <c r="I169" s="8">
        <f t="shared" si="56"/>
        <v>161.95122627102248</v>
      </c>
      <c r="J169" s="8">
        <f t="shared" si="57"/>
        <v>108378.55910151053</v>
      </c>
      <c r="K169" s="8"/>
      <c r="L169" s="8">
        <f t="shared" si="53"/>
        <v>270329.785372533</v>
      </c>
    </row>
    <row r="170" spans="1:12" ht="14.2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161951.22627102246</v>
      </c>
      <c r="G170" s="8"/>
      <c r="H170" s="15">
        <f t="shared" si="55"/>
        <v>0.012</v>
      </c>
      <c r="I170" s="8">
        <f t="shared" si="56"/>
        <v>161.95122627102248</v>
      </c>
      <c r="J170" s="8">
        <f t="shared" si="57"/>
        <v>108540.51032778155</v>
      </c>
      <c r="K170" s="8"/>
      <c r="L170" s="8">
        <f t="shared" si="53"/>
        <v>270491.736598804</v>
      </c>
    </row>
    <row r="171" spans="1:12" ht="14.2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161951.22627102246</v>
      </c>
      <c r="G171" s="14"/>
      <c r="H171" s="17">
        <f t="shared" si="55"/>
        <v>0.012</v>
      </c>
      <c r="I171" s="14">
        <f t="shared" si="56"/>
        <v>161.95122627102248</v>
      </c>
      <c r="J171" s="14">
        <f t="shared" si="57"/>
        <v>108702.46155405257</v>
      </c>
      <c r="K171" s="14"/>
      <c r="L171" s="14">
        <f t="shared" si="53"/>
        <v>270653.687825075</v>
      </c>
    </row>
    <row r="172" spans="1:14" ht="14.2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1291.5610295114043</v>
      </c>
      <c r="J172" s="8"/>
      <c r="K172" s="8"/>
      <c r="L172" s="8"/>
      <c r="N172" s="21"/>
    </row>
    <row r="173" spans="2:14" ht="14.2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4.2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4.25">
      <c r="B176" s="10"/>
      <c r="C176" s="10"/>
      <c r="D176" s="66" t="str">
        <f>$D$5</f>
        <v>SIMPILS True-Up Adjustments    (neg = CR)</v>
      </c>
      <c r="E176" s="67" t="s">
        <v>14</v>
      </c>
      <c r="F176" s="67"/>
      <c r="G176" s="10"/>
      <c r="H176" s="67" t="s">
        <v>15</v>
      </c>
      <c r="I176" s="67"/>
      <c r="J176" s="67"/>
      <c r="K176" s="10"/>
      <c r="L176" s="66" t="s">
        <v>5</v>
      </c>
    </row>
    <row r="177" spans="2:12" ht="28.5">
      <c r="B177" s="11" t="s">
        <v>2</v>
      </c>
      <c r="C177" s="11" t="s">
        <v>3</v>
      </c>
      <c r="D177" s="66"/>
      <c r="E177" s="10" t="s">
        <v>4</v>
      </c>
      <c r="F177" s="10" t="s">
        <v>65</v>
      </c>
      <c r="G177" s="10"/>
      <c r="H177" s="16" t="s">
        <v>6</v>
      </c>
      <c r="I177" s="10" t="s">
        <v>4</v>
      </c>
      <c r="J177" s="10" t="s">
        <v>65</v>
      </c>
      <c r="K177" s="10"/>
      <c r="L177" s="66"/>
    </row>
    <row r="178" spans="1:12" ht="14.2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161951.22627102246</v>
      </c>
      <c r="G178" s="8"/>
      <c r="H178" s="4">
        <v>0.0147</v>
      </c>
      <c r="I178" s="8">
        <f>H178*F171/12</f>
        <v>198.3902521820025</v>
      </c>
      <c r="J178" s="8">
        <f>J171+I178</f>
        <v>108900.85180623457</v>
      </c>
      <c r="K178" s="8"/>
      <c r="L178" s="8">
        <f aca="true" t="shared" si="59" ref="L178:L189">F178+J178</f>
        <v>270852.078077257</v>
      </c>
    </row>
    <row r="179" spans="1:12" ht="14.2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161951.22627102246</v>
      </c>
      <c r="G179" s="8"/>
      <c r="H179" s="15">
        <f>H178</f>
        <v>0.0147</v>
      </c>
      <c r="I179" s="8">
        <f>H179*F178/12</f>
        <v>198.3902521820025</v>
      </c>
      <c r="J179" s="8">
        <f>I179+J178</f>
        <v>109099.24205841657</v>
      </c>
      <c r="K179" s="8"/>
      <c r="L179" s="8">
        <f t="shared" si="59"/>
        <v>271050.46832943906</v>
      </c>
    </row>
    <row r="180" spans="1:12" ht="14.2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161951.22627102246</v>
      </c>
      <c r="G180" s="8"/>
      <c r="H180" s="15">
        <f aca="true" t="shared" si="61" ref="H180:H189">H179</f>
        <v>0.0147</v>
      </c>
      <c r="I180" s="8">
        <f>H180*F179/12</f>
        <v>198.3902521820025</v>
      </c>
      <c r="J180" s="8">
        <f>I180+J179</f>
        <v>109297.63231059856</v>
      </c>
      <c r="K180" s="8"/>
      <c r="L180" s="8">
        <f t="shared" si="59"/>
        <v>271248.858581621</v>
      </c>
    </row>
    <row r="181" spans="1:12" ht="14.2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161951.22627102246</v>
      </c>
      <c r="G181" s="8"/>
      <c r="H181" s="15">
        <f t="shared" si="61"/>
        <v>0.0147</v>
      </c>
      <c r="I181" s="8">
        <f>H181*F180/12</f>
        <v>198.3902521820025</v>
      </c>
      <c r="J181" s="8">
        <f>I181+J180</f>
        <v>109496.02256278056</v>
      </c>
      <c r="K181" s="8"/>
      <c r="L181" s="8">
        <f t="shared" si="59"/>
        <v>271447.248833803</v>
      </c>
    </row>
    <row r="182" spans="1:12" ht="14.2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161951.22627102246</v>
      </c>
      <c r="G182" s="8"/>
      <c r="H182" s="15">
        <f t="shared" si="61"/>
        <v>0.0147</v>
      </c>
      <c r="I182" s="8">
        <f aca="true" t="shared" si="62" ref="I182:I189">H182*F181/12</f>
        <v>198.3902521820025</v>
      </c>
      <c r="J182" s="8">
        <f aca="true" t="shared" si="63" ref="J182:J189">I182+J181</f>
        <v>109694.41281496256</v>
      </c>
      <c r="K182" s="8"/>
      <c r="L182" s="8">
        <f t="shared" si="59"/>
        <v>271645.639085985</v>
      </c>
    </row>
    <row r="183" spans="1:12" ht="14.2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161951.22627102246</v>
      </c>
      <c r="G183" s="8"/>
      <c r="H183" s="15">
        <f t="shared" si="61"/>
        <v>0.0147</v>
      </c>
      <c r="I183" s="8">
        <f t="shared" si="62"/>
        <v>198.3902521820025</v>
      </c>
      <c r="J183" s="8">
        <f t="shared" si="63"/>
        <v>109892.80306714456</v>
      </c>
      <c r="K183" s="8"/>
      <c r="L183" s="8">
        <f t="shared" si="59"/>
        <v>271844.02933816705</v>
      </c>
    </row>
    <row r="184" spans="1:12" ht="14.2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161951.22627102246</v>
      </c>
      <c r="G184" s="8"/>
      <c r="H184" s="15">
        <f t="shared" si="61"/>
        <v>0.0147</v>
      </c>
      <c r="I184" s="8">
        <f t="shared" si="62"/>
        <v>198.3902521820025</v>
      </c>
      <c r="J184" s="8">
        <f t="shared" si="63"/>
        <v>110091.19331932656</v>
      </c>
      <c r="K184" s="8"/>
      <c r="L184" s="8">
        <f t="shared" si="59"/>
        <v>272042.419590349</v>
      </c>
    </row>
    <row r="185" spans="1:12" ht="14.2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161951.22627102246</v>
      </c>
      <c r="G185" s="8"/>
      <c r="H185" s="15">
        <f t="shared" si="61"/>
        <v>0.0147</v>
      </c>
      <c r="I185" s="8">
        <f t="shared" si="62"/>
        <v>198.3902521820025</v>
      </c>
      <c r="J185" s="8">
        <f t="shared" si="63"/>
        <v>110289.58357150856</v>
      </c>
      <c r="K185" s="8"/>
      <c r="L185" s="8">
        <f t="shared" si="59"/>
        <v>272240.809842531</v>
      </c>
    </row>
    <row r="186" spans="1:12" ht="14.2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161951.22627102246</v>
      </c>
      <c r="G186" s="8"/>
      <c r="H186" s="15">
        <f t="shared" si="61"/>
        <v>0.0147</v>
      </c>
      <c r="I186" s="8">
        <f t="shared" si="62"/>
        <v>198.3902521820025</v>
      </c>
      <c r="J186" s="8">
        <f t="shared" si="63"/>
        <v>110487.97382369055</v>
      </c>
      <c r="K186" s="8"/>
      <c r="L186" s="8">
        <f t="shared" si="59"/>
        <v>272439.200094713</v>
      </c>
    </row>
    <row r="187" spans="1:12" ht="14.2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161951.22627102246</v>
      </c>
      <c r="G187" s="8"/>
      <c r="H187" s="15">
        <f t="shared" si="61"/>
        <v>0.0147</v>
      </c>
      <c r="I187" s="8">
        <f t="shared" si="62"/>
        <v>198.3902521820025</v>
      </c>
      <c r="J187" s="8">
        <f t="shared" si="63"/>
        <v>110686.36407587255</v>
      </c>
      <c r="K187" s="8"/>
      <c r="L187" s="8">
        <f t="shared" si="59"/>
        <v>272637.59034689504</v>
      </c>
    </row>
    <row r="188" spans="1:12" ht="14.2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161951.22627102246</v>
      </c>
      <c r="G188" s="8"/>
      <c r="H188" s="15">
        <f t="shared" si="61"/>
        <v>0.0147</v>
      </c>
      <c r="I188" s="8">
        <f t="shared" si="62"/>
        <v>198.3902521820025</v>
      </c>
      <c r="J188" s="8">
        <f t="shared" si="63"/>
        <v>110884.75432805455</v>
      </c>
      <c r="K188" s="8"/>
      <c r="L188" s="8">
        <f t="shared" si="59"/>
        <v>272835.980599077</v>
      </c>
    </row>
    <row r="189" spans="1:12" ht="14.2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161951.22627102246</v>
      </c>
      <c r="G189" s="14"/>
      <c r="H189" s="17">
        <f t="shared" si="61"/>
        <v>0.0147</v>
      </c>
      <c r="I189" s="14">
        <f t="shared" si="62"/>
        <v>198.3902521820025</v>
      </c>
      <c r="J189" s="14">
        <f t="shared" si="63"/>
        <v>111083.14458023655</v>
      </c>
      <c r="K189" s="14"/>
      <c r="L189" s="14">
        <f t="shared" si="59"/>
        <v>273034.370851259</v>
      </c>
    </row>
    <row r="190" spans="1:12" ht="14.2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2380.68302618403</v>
      </c>
      <c r="J190" s="8"/>
      <c r="K190" s="8"/>
      <c r="L190" s="8"/>
    </row>
    <row r="191" spans="2:13" ht="14.2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4.2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4.25">
      <c r="B194" s="10"/>
      <c r="C194" s="10"/>
      <c r="D194" s="66" t="str">
        <f>$D$5</f>
        <v>SIMPILS True-Up Adjustments    (neg = CR)</v>
      </c>
      <c r="E194" s="67" t="s">
        <v>14</v>
      </c>
      <c r="F194" s="67"/>
      <c r="G194" s="10"/>
      <c r="H194" s="67" t="s">
        <v>15</v>
      </c>
      <c r="I194" s="67"/>
      <c r="J194" s="67"/>
      <c r="K194" s="10"/>
      <c r="L194" s="66" t="s">
        <v>5</v>
      </c>
    </row>
    <row r="195" spans="2:12" ht="28.5">
      <c r="B195" s="11" t="s">
        <v>2</v>
      </c>
      <c r="C195" s="11" t="s">
        <v>3</v>
      </c>
      <c r="D195" s="66"/>
      <c r="E195" s="10" t="s">
        <v>4</v>
      </c>
      <c r="F195" s="10" t="s">
        <v>65</v>
      </c>
      <c r="G195" s="10"/>
      <c r="H195" s="16" t="s">
        <v>6</v>
      </c>
      <c r="I195" s="10" t="s">
        <v>4</v>
      </c>
      <c r="J195" s="10" t="s">
        <v>65</v>
      </c>
      <c r="K195" s="10"/>
      <c r="L195" s="66"/>
    </row>
    <row r="196" spans="1:12" ht="14.2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161951.22627102246</v>
      </c>
      <c r="G196" s="8"/>
      <c r="H196" s="15">
        <f>H189</f>
        <v>0.0147</v>
      </c>
      <c r="I196" s="8">
        <f>H196*F189/12</f>
        <v>198.3902521820025</v>
      </c>
      <c r="J196" s="8">
        <f>J189+I196</f>
        <v>111281.53483241855</v>
      </c>
      <c r="K196" s="8"/>
      <c r="L196" s="8">
        <f aca="true" t="shared" si="65" ref="L196:L207">F196+J196</f>
        <v>273232.761103441</v>
      </c>
    </row>
    <row r="197" spans="1:12" ht="14.2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161951.22627102246</v>
      </c>
      <c r="G197" s="8"/>
      <c r="H197" s="15">
        <f>H196</f>
        <v>0.0147</v>
      </c>
      <c r="I197" s="8">
        <f>H197*F196/12</f>
        <v>198.3902521820025</v>
      </c>
      <c r="J197" s="8">
        <f>I197+J196</f>
        <v>111479.92508460055</v>
      </c>
      <c r="K197" s="8"/>
      <c r="L197" s="8">
        <f t="shared" si="65"/>
        <v>273431.15135562303</v>
      </c>
    </row>
    <row r="198" spans="1:12" ht="14.2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161951.22627102246</v>
      </c>
      <c r="G198" s="8"/>
      <c r="H198" s="15">
        <f aca="true" t="shared" si="67" ref="H198:H207">H197</f>
        <v>0.0147</v>
      </c>
      <c r="I198" s="8">
        <f>H198*F197/12</f>
        <v>198.3902521820025</v>
      </c>
      <c r="J198" s="8">
        <f>I198+J197</f>
        <v>111678.31533678254</v>
      </c>
      <c r="K198" s="8"/>
      <c r="L198" s="8">
        <f t="shared" si="65"/>
        <v>273629.541607805</v>
      </c>
    </row>
    <row r="199" spans="1:12" ht="14.25">
      <c r="A199" s="40" t="s">
        <v>16</v>
      </c>
      <c r="B199" s="13"/>
      <c r="C199" s="13"/>
      <c r="D199" s="14"/>
      <c r="E199" s="14">
        <f t="shared" si="64"/>
        <v>0</v>
      </c>
      <c r="F199" s="14">
        <f t="shared" si="66"/>
        <v>161951.22627102246</v>
      </c>
      <c r="G199" s="14"/>
      <c r="H199" s="17">
        <f t="shared" si="67"/>
        <v>0.0147</v>
      </c>
      <c r="I199" s="14">
        <f>H199*F198/12</f>
        <v>198.3902521820025</v>
      </c>
      <c r="J199" s="14">
        <f>I199+J198</f>
        <v>111876.70558896454</v>
      </c>
      <c r="K199" s="14"/>
      <c r="L199" s="14">
        <f t="shared" si="65"/>
        <v>273827.931859987</v>
      </c>
    </row>
    <row r="200" spans="1:12" ht="14.2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161951.22627102246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111876.70558896454</v>
      </c>
      <c r="K200" s="8"/>
      <c r="L200" s="8">
        <f t="shared" si="65"/>
        <v>273827.931859987</v>
      </c>
    </row>
    <row r="201" spans="1:12" ht="14.2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161951.22627102246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111876.70558896454</v>
      </c>
      <c r="K201" s="8"/>
      <c r="L201" s="8">
        <f t="shared" si="65"/>
        <v>273827.931859987</v>
      </c>
    </row>
    <row r="202" spans="1:12" ht="14.2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161951.22627102246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111876.70558896454</v>
      </c>
      <c r="K202" s="8"/>
      <c r="L202" s="8">
        <f t="shared" si="65"/>
        <v>273827.931859987</v>
      </c>
    </row>
    <row r="203" spans="1:12" ht="14.2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161951.22627102246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111876.70558896454</v>
      </c>
      <c r="K203" s="8"/>
      <c r="L203" s="8">
        <f t="shared" si="65"/>
        <v>273827.931859987</v>
      </c>
    </row>
    <row r="204" spans="1:12" ht="14.2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161951.22627102246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111876.70558896454</v>
      </c>
      <c r="K204" s="8"/>
      <c r="L204" s="8">
        <f t="shared" si="65"/>
        <v>273827.931859987</v>
      </c>
    </row>
    <row r="205" spans="1:12" ht="14.2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161951.22627102246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111876.70558896454</v>
      </c>
      <c r="K205" s="8"/>
      <c r="L205" s="8">
        <f t="shared" si="65"/>
        <v>273827.931859987</v>
      </c>
    </row>
    <row r="206" spans="1:12" ht="14.2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161951.22627102246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111876.70558896454</v>
      </c>
      <c r="K206" s="8"/>
      <c r="L206" s="8">
        <f t="shared" si="65"/>
        <v>273827.931859987</v>
      </c>
    </row>
    <row r="207" spans="1:12" ht="14.2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161951.22627102246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111876.70558896454</v>
      </c>
      <c r="K207" s="14"/>
      <c r="L207" s="14">
        <f t="shared" si="65"/>
        <v>273827.931859987</v>
      </c>
    </row>
    <row r="208" spans="1:12" ht="14.2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793.56100872801</v>
      </c>
      <c r="J208" s="8"/>
      <c r="K208" s="8"/>
      <c r="L208" s="8"/>
    </row>
    <row r="209" spans="2:12" ht="14.2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4.2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4.2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4.2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4.2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4.2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4.2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4.2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4.2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4.2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4.2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4.2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4.2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4.2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4.2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4.2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4.2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4.2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4.2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4.2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4.2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4.2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4.2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4.2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4.2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4.2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4.2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4.2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4.2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4.2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4.2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4.2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4.2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4.2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4.2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4.2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4.2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4.2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4.2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4.2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4.2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4.2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4.2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4.2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4.2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4.2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4.2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4.2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4.2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4.2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4.2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4.2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4.2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4.2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H14:J14"/>
    <mergeCell ref="L14:L15"/>
    <mergeCell ref="D14:D15"/>
    <mergeCell ref="A1:L1"/>
    <mergeCell ref="A2:L2"/>
    <mergeCell ref="D86:D87"/>
    <mergeCell ref="D104:D105"/>
    <mergeCell ref="D122:D123"/>
    <mergeCell ref="D140:D141"/>
    <mergeCell ref="D5:D6"/>
    <mergeCell ref="L5:L6"/>
    <mergeCell ref="H5:J5"/>
    <mergeCell ref="E14:F14"/>
    <mergeCell ref="D68:D69"/>
    <mergeCell ref="E5:F5"/>
    <mergeCell ref="E32:F32"/>
    <mergeCell ref="E68:F68"/>
    <mergeCell ref="D176:D177"/>
    <mergeCell ref="D194:D195"/>
    <mergeCell ref="D158:D159"/>
    <mergeCell ref="H32:J32"/>
    <mergeCell ref="L32:L33"/>
    <mergeCell ref="E50:F50"/>
    <mergeCell ref="H50:J50"/>
    <mergeCell ref="L50:L51"/>
    <mergeCell ref="D32:D33"/>
    <mergeCell ref="D50:D51"/>
    <mergeCell ref="E140:F140"/>
    <mergeCell ref="H140:J140"/>
    <mergeCell ref="H68:J68"/>
    <mergeCell ref="L68:L69"/>
    <mergeCell ref="E86:F86"/>
    <mergeCell ref="H86:J86"/>
    <mergeCell ref="L86:L87"/>
    <mergeCell ref="E104:F104"/>
    <mergeCell ref="H104:J104"/>
    <mergeCell ref="L104:L105"/>
    <mergeCell ref="E122:F122"/>
    <mergeCell ref="H122:J122"/>
    <mergeCell ref="L122:L123"/>
    <mergeCell ref="L140:L141"/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8"/>
  <sheetViews>
    <sheetView zoomScale="90" zoomScaleNormal="90" zoomScalePageLayoutView="0" workbookViewId="0" topLeftCell="A22">
      <selection activeCell="E36" sqref="E36:K36"/>
    </sheetView>
  </sheetViews>
  <sheetFormatPr defaultColWidth="13.57421875" defaultRowHeight="15"/>
  <cols>
    <col min="1" max="1" width="34.421875" style="30" customWidth="1"/>
    <col min="2" max="2" width="12.7109375" style="30" bestFit="1" customWidth="1"/>
    <col min="3" max="4" width="12.140625" style="30" bestFit="1" customWidth="1"/>
    <col min="5" max="7" width="12.28125" style="30" bestFit="1" customWidth="1"/>
    <col min="8" max="8" width="12.57421875" style="30" customWidth="1"/>
    <col min="9" max="11" width="12.28125" style="30" bestFit="1" customWidth="1"/>
    <col min="12" max="26" width="12.140625" style="30" bestFit="1" customWidth="1"/>
    <col min="27" max="252" width="9.140625" style="30" customWidth="1"/>
    <col min="253" max="253" width="21.28125" style="30" customWidth="1"/>
    <col min="254" max="16384" width="13.57421875" style="30" customWidth="1"/>
  </cols>
  <sheetData>
    <row r="1" spans="1:14" ht="21">
      <c r="A1" s="25" t="s">
        <v>59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4.2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4.25">
      <c r="A3" s="2" t="s">
        <v>38</v>
      </c>
      <c r="B3" s="34" t="s">
        <v>60</v>
      </c>
      <c r="C3"/>
      <c r="D3"/>
      <c r="E3"/>
      <c r="F3"/>
      <c r="G3"/>
      <c r="H3"/>
      <c r="I3"/>
      <c r="J3"/>
      <c r="K3"/>
      <c r="L3"/>
      <c r="M3"/>
      <c r="N3"/>
    </row>
    <row r="4" spans="1:14" ht="14.25">
      <c r="A4" s="2" t="s">
        <v>63</v>
      </c>
      <c r="B4" s="34" t="s">
        <v>105</v>
      </c>
      <c r="C4"/>
      <c r="D4"/>
      <c r="E4"/>
      <c r="F4"/>
      <c r="G4"/>
      <c r="H4"/>
      <c r="I4"/>
      <c r="J4"/>
      <c r="K4"/>
      <c r="L4"/>
      <c r="M4"/>
      <c r="N4"/>
    </row>
    <row r="5" spans="1:14" ht="14.2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4.25">
      <c r="A6" s="2"/>
      <c r="B6" s="69" t="s">
        <v>40</v>
      </c>
      <c r="C6" s="69"/>
      <c r="D6" s="69" t="s">
        <v>61</v>
      </c>
      <c r="E6" s="69"/>
      <c r="F6" s="69" t="s">
        <v>62</v>
      </c>
      <c r="G6" s="69"/>
      <c r="H6"/>
      <c r="I6"/>
      <c r="J6"/>
      <c r="K6"/>
      <c r="L6"/>
      <c r="M6"/>
      <c r="N6"/>
    </row>
    <row r="7" spans="1:14" ht="14.25">
      <c r="A7" s="2" t="s">
        <v>39</v>
      </c>
      <c r="B7" s="23" t="s">
        <v>41</v>
      </c>
      <c r="C7" s="23" t="s">
        <v>42</v>
      </c>
      <c r="D7" s="23" t="s">
        <v>41</v>
      </c>
      <c r="E7" s="23" t="s">
        <v>42</v>
      </c>
      <c r="F7" s="23" t="s">
        <v>41</v>
      </c>
      <c r="G7" s="23" t="s">
        <v>42</v>
      </c>
      <c r="H7"/>
      <c r="I7"/>
      <c r="J7"/>
      <c r="K7"/>
      <c r="L7"/>
      <c r="M7"/>
      <c r="N7"/>
    </row>
    <row r="8" spans="1:14" ht="14.25">
      <c r="A8" t="s">
        <v>44</v>
      </c>
      <c r="B8" s="8">
        <v>11.287448531383253</v>
      </c>
      <c r="C8" s="24">
        <v>0.010115036781010552</v>
      </c>
      <c r="D8" s="54">
        <v>0.4583288657362344</v>
      </c>
      <c r="E8" s="49">
        <v>0.00041056571289012036</v>
      </c>
      <c r="F8" s="54">
        <v>1.5422508962757604</v>
      </c>
      <c r="G8" s="49">
        <v>0.0013815305690331203</v>
      </c>
      <c r="H8"/>
      <c r="I8"/>
      <c r="J8"/>
      <c r="K8"/>
      <c r="L8"/>
      <c r="M8"/>
      <c r="N8"/>
    </row>
    <row r="9" spans="1:14" ht="14.25">
      <c r="A9" t="s">
        <v>45</v>
      </c>
      <c r="B9" s="8">
        <v>20.772059799105413</v>
      </c>
      <c r="C9" s="24">
        <v>0.00617905152400115</v>
      </c>
      <c r="D9" s="54">
        <v>0.844321549764189</v>
      </c>
      <c r="E9" s="49">
        <v>0.0002506326206734437</v>
      </c>
      <c r="F9" s="54">
        <v>2.841094603057671</v>
      </c>
      <c r="G9" s="49">
        <v>0.0008433646945815797</v>
      </c>
      <c r="H9"/>
      <c r="I9"/>
      <c r="J9"/>
      <c r="K9"/>
      <c r="L9"/>
      <c r="M9"/>
      <c r="N9"/>
    </row>
    <row r="10" spans="1:14" ht="14.25">
      <c r="A10" t="s">
        <v>46</v>
      </c>
      <c r="B10" s="8">
        <v>254.84103244764677</v>
      </c>
      <c r="C10" s="24">
        <v>1.6111770222853043</v>
      </c>
      <c r="D10" s="54">
        <v>10.351753819458933</v>
      </c>
      <c r="E10" s="50">
        <v>0.06538389449987252</v>
      </c>
      <c r="F10" s="54">
        <v>34.83307031173186</v>
      </c>
      <c r="G10" s="49">
        <v>0.22001313343519593</v>
      </c>
      <c r="H10"/>
      <c r="I10"/>
      <c r="J10"/>
      <c r="K10"/>
      <c r="L10"/>
      <c r="M10"/>
      <c r="N10"/>
    </row>
    <row r="11" spans="1:14" ht="14.25">
      <c r="A11" t="s">
        <v>106</v>
      </c>
      <c r="B11" s="8">
        <v>46.59788910093867</v>
      </c>
      <c r="C11" s="24">
        <v>0.08644115291532906</v>
      </c>
      <c r="D11" s="54">
        <v>1.8926358536570358</v>
      </c>
      <c r="E11" s="50">
        <v>0.003507932442398392</v>
      </c>
      <c r="F11" s="54">
        <v>6.36861336878141</v>
      </c>
      <c r="G11" s="49">
        <v>0.011803995684786796</v>
      </c>
      <c r="H11"/>
      <c r="I11"/>
      <c r="J11"/>
      <c r="K11"/>
      <c r="L11"/>
      <c r="M11"/>
      <c r="N11"/>
    </row>
    <row r="12" spans="1:14" ht="14.25">
      <c r="A12" t="s">
        <v>103</v>
      </c>
      <c r="B12" s="8">
        <v>1.4554917913576575</v>
      </c>
      <c r="C12" s="24">
        <v>5.1892575932168</v>
      </c>
      <c r="D12" s="54">
        <v>0.05912213114557253</v>
      </c>
      <c r="E12" s="50">
        <v>0.21058740046137261</v>
      </c>
      <c r="F12" s="54">
        <v>0.19894265137004596</v>
      </c>
      <c r="G12" s="49">
        <v>0.7086147772609256</v>
      </c>
      <c r="H12"/>
      <c r="I12"/>
      <c r="J12"/>
      <c r="K12"/>
      <c r="L12"/>
      <c r="M12"/>
      <c r="N12"/>
    </row>
    <row r="13" spans="1:14" ht="14.25">
      <c r="A13" t="s">
        <v>100</v>
      </c>
      <c r="B13" s="12">
        <v>2.0545440508732074</v>
      </c>
      <c r="C13" s="63">
        <v>0.7540696991666863</v>
      </c>
      <c r="D13" s="64">
        <v>0.025764434229387304</v>
      </c>
      <c r="E13" s="65">
        <v>0.10506205020777619</v>
      </c>
      <c r="F13" s="64">
        <v>0.08669587440992171</v>
      </c>
      <c r="G13" s="65">
        <v>0.35352789931140893</v>
      </c>
      <c r="H13" s="62"/>
      <c r="I13"/>
      <c r="J13"/>
      <c r="K13"/>
      <c r="L13"/>
      <c r="M13"/>
      <c r="N13"/>
    </row>
    <row r="14" spans="1:14" ht="14.25">
      <c r="A14" t="s">
        <v>104</v>
      </c>
      <c r="B14" s="8">
        <v>4.72506386740797</v>
      </c>
      <c r="C14" s="24">
        <v>0.04002233395222893</v>
      </c>
      <c r="D14" s="54">
        <v>0.1919072356364805</v>
      </c>
      <c r="E14" s="49">
        <v>0.0016242735345268907</v>
      </c>
      <c r="F14" s="54">
        <v>0.645757071588186</v>
      </c>
      <c r="G14" s="49">
        <v>0.0054655892344837136</v>
      </c>
      <c r="H14"/>
      <c r="I14"/>
      <c r="J14"/>
      <c r="K14"/>
      <c r="L14"/>
      <c r="M14"/>
      <c r="N14"/>
    </row>
    <row r="15" spans="1:14" ht="14.25">
      <c r="A15"/>
      <c r="B15" s="8"/>
      <c r="C15" s="24"/>
      <c r="D15" s="24"/>
      <c r="E15" s="49"/>
      <c r="F15" s="24"/>
      <c r="G15" s="49"/>
      <c r="H15"/>
      <c r="I15"/>
      <c r="J15"/>
      <c r="K15"/>
      <c r="L15"/>
      <c r="M15"/>
      <c r="N15"/>
    </row>
    <row r="16" spans="1:14" ht="21">
      <c r="A16" s="25" t="s">
        <v>58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26" ht="18">
      <c r="A17"/>
      <c r="B17" s="70">
        <v>2002</v>
      </c>
      <c r="C17" s="70"/>
      <c r="D17" s="70"/>
      <c r="E17" s="70"/>
      <c r="F17" s="70"/>
      <c r="G17" s="70"/>
      <c r="H17" s="70"/>
      <c r="I17" s="70"/>
      <c r="J17" s="70"/>
      <c r="K17" s="70"/>
      <c r="L17" s="71">
        <v>2003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>
        <v>2004</v>
      </c>
      <c r="Y17" s="72"/>
      <c r="Z17" s="72"/>
    </row>
    <row r="18" spans="1:26" s="32" customFormat="1" ht="14.25">
      <c r="A18" s="23" t="str">
        <f aca="true" t="shared" si="0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1" t="s">
        <v>54</v>
      </c>
      <c r="O18" s="1" t="s">
        <v>16</v>
      </c>
      <c r="P18" s="1" t="s">
        <v>17</v>
      </c>
      <c r="Q18" s="1" t="s">
        <v>18</v>
      </c>
      <c r="R18" s="1" t="s">
        <v>19</v>
      </c>
      <c r="S18" s="1" t="s">
        <v>47</v>
      </c>
      <c r="T18" s="1" t="s">
        <v>48</v>
      </c>
      <c r="U18" s="1" t="s">
        <v>49</v>
      </c>
      <c r="V18" s="1" t="s">
        <v>50</v>
      </c>
      <c r="W18" s="1" t="s">
        <v>51</v>
      </c>
      <c r="X18" s="1" t="s">
        <v>52</v>
      </c>
      <c r="Y18" s="1" t="s">
        <v>53</v>
      </c>
      <c r="Z18" s="32" t="s">
        <v>99</v>
      </c>
    </row>
    <row r="19" spans="1:26" ht="14.25">
      <c r="A19" t="str">
        <f t="shared" si="0"/>
        <v>Residential</v>
      </c>
      <c r="B19" s="33">
        <v>17254</v>
      </c>
      <c r="C19" s="33">
        <v>17260</v>
      </c>
      <c r="D19" s="33">
        <v>17256</v>
      </c>
      <c r="E19" s="33">
        <v>17281</v>
      </c>
      <c r="F19" s="33">
        <v>17286</v>
      </c>
      <c r="G19" s="33">
        <v>17304</v>
      </c>
      <c r="H19" s="33">
        <v>17327</v>
      </c>
      <c r="I19" s="33">
        <v>17347</v>
      </c>
      <c r="J19" s="33">
        <v>17349</v>
      </c>
      <c r="K19" s="33">
        <v>17369</v>
      </c>
      <c r="L19" s="33">
        <v>17375</v>
      </c>
      <c r="M19" s="33">
        <v>17376</v>
      </c>
      <c r="N19" s="33">
        <v>17382</v>
      </c>
      <c r="O19" s="33">
        <v>17395</v>
      </c>
      <c r="P19" s="33">
        <v>17408</v>
      </c>
      <c r="Q19" s="33">
        <v>17439</v>
      </c>
      <c r="R19" s="33">
        <v>17456</v>
      </c>
      <c r="S19" s="33">
        <v>17468</v>
      </c>
      <c r="T19" s="33">
        <v>17483</v>
      </c>
      <c r="U19" s="33">
        <v>17508</v>
      </c>
      <c r="V19" s="33">
        <v>17534</v>
      </c>
      <c r="W19" s="33">
        <v>17548</v>
      </c>
      <c r="X19" s="33">
        <v>17565</v>
      </c>
      <c r="Y19" s="33">
        <v>17573</v>
      </c>
      <c r="Z19" s="60">
        <v>17585</v>
      </c>
    </row>
    <row r="20" spans="1:26" ht="14.25">
      <c r="A20" t="str">
        <f t="shared" si="0"/>
        <v>General Service &lt; 50 kW</v>
      </c>
      <c r="B20" s="33">
        <v>2343</v>
      </c>
      <c r="C20" s="33">
        <v>2343</v>
      </c>
      <c r="D20" s="33">
        <v>2341</v>
      </c>
      <c r="E20" s="33">
        <v>2344</v>
      </c>
      <c r="F20" s="33">
        <v>2346</v>
      </c>
      <c r="G20" s="33">
        <v>2341</v>
      </c>
      <c r="H20" s="33">
        <v>2341</v>
      </c>
      <c r="I20" s="33">
        <v>2344</v>
      </c>
      <c r="J20" s="33">
        <v>2341</v>
      </c>
      <c r="K20" s="33">
        <v>2341</v>
      </c>
      <c r="L20" s="33">
        <v>2345</v>
      </c>
      <c r="M20" s="33">
        <v>2341</v>
      </c>
      <c r="N20" s="33">
        <v>2341</v>
      </c>
      <c r="O20" s="33">
        <v>2341</v>
      </c>
      <c r="P20" s="33">
        <v>2342</v>
      </c>
      <c r="Q20" s="33">
        <v>2340</v>
      </c>
      <c r="R20" s="33">
        <v>2341</v>
      </c>
      <c r="S20" s="33">
        <v>2337</v>
      </c>
      <c r="T20" s="33">
        <v>2341</v>
      </c>
      <c r="U20" s="33">
        <v>2341</v>
      </c>
      <c r="V20" s="33">
        <v>2343</v>
      </c>
      <c r="W20" s="33">
        <v>2343</v>
      </c>
      <c r="X20" s="33">
        <v>2342</v>
      </c>
      <c r="Y20" s="33">
        <v>2341</v>
      </c>
      <c r="Z20" s="60">
        <v>2338</v>
      </c>
    </row>
    <row r="21" spans="1:26" ht="14.25">
      <c r="A21" t="str">
        <f t="shared" si="0"/>
        <v>General Service &gt; 50 kW</v>
      </c>
      <c r="B21" s="33">
        <v>237</v>
      </c>
      <c r="C21" s="33">
        <v>237</v>
      </c>
      <c r="D21" s="33">
        <v>241</v>
      </c>
      <c r="E21" s="33">
        <v>241</v>
      </c>
      <c r="F21" s="33">
        <v>241</v>
      </c>
      <c r="G21" s="33">
        <v>240</v>
      </c>
      <c r="H21" s="33">
        <v>239</v>
      </c>
      <c r="I21" s="33">
        <v>239</v>
      </c>
      <c r="J21" s="33">
        <v>244</v>
      </c>
      <c r="K21" s="33">
        <v>243</v>
      </c>
      <c r="L21" s="33">
        <v>242</v>
      </c>
      <c r="M21" s="33">
        <v>242</v>
      </c>
      <c r="N21" s="33">
        <v>243</v>
      </c>
      <c r="O21" s="33">
        <v>242</v>
      </c>
      <c r="P21" s="33">
        <v>243</v>
      </c>
      <c r="Q21" s="33">
        <v>244</v>
      </c>
      <c r="R21" s="33">
        <v>244</v>
      </c>
      <c r="S21" s="33">
        <v>244</v>
      </c>
      <c r="T21" s="33">
        <v>244</v>
      </c>
      <c r="U21" s="33">
        <v>239</v>
      </c>
      <c r="V21" s="33">
        <v>243</v>
      </c>
      <c r="W21" s="33">
        <v>244</v>
      </c>
      <c r="X21" s="33">
        <v>244</v>
      </c>
      <c r="Y21" s="33">
        <v>244</v>
      </c>
      <c r="Z21" s="33">
        <v>245</v>
      </c>
    </row>
    <row r="22" spans="1:26" ht="14.25">
      <c r="A22" t="str">
        <f t="shared" si="0"/>
        <v>General Service &gt; 50 kW - TOU</v>
      </c>
      <c r="B22" s="33">
        <v>1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3">
        <v>1</v>
      </c>
      <c r="O22" s="33">
        <v>1</v>
      </c>
      <c r="P22" s="33">
        <v>1</v>
      </c>
      <c r="Q22" s="33">
        <v>1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1</v>
      </c>
      <c r="Z22" s="60">
        <v>1</v>
      </c>
    </row>
    <row r="23" spans="1:26" ht="14.25">
      <c r="A23" t="str">
        <f t="shared" si="0"/>
        <v>Sentinel Lights</v>
      </c>
      <c r="B23" s="33">
        <v>14</v>
      </c>
      <c r="C23" s="33">
        <v>14</v>
      </c>
      <c r="D23" s="33">
        <v>14</v>
      </c>
      <c r="E23" s="33">
        <v>14</v>
      </c>
      <c r="F23" s="33">
        <v>15</v>
      </c>
      <c r="G23" s="33">
        <v>15</v>
      </c>
      <c r="H23" s="33">
        <v>15</v>
      </c>
      <c r="I23" s="33">
        <v>15</v>
      </c>
      <c r="J23" s="33">
        <v>15</v>
      </c>
      <c r="K23" s="33">
        <v>15</v>
      </c>
      <c r="L23" s="33">
        <v>15</v>
      </c>
      <c r="M23" s="33">
        <v>15</v>
      </c>
      <c r="N23" s="33">
        <v>15</v>
      </c>
      <c r="O23" s="33">
        <v>15</v>
      </c>
      <c r="P23" s="33">
        <v>15</v>
      </c>
      <c r="Q23" s="33">
        <v>15</v>
      </c>
      <c r="R23" s="33">
        <v>15</v>
      </c>
      <c r="S23" s="33">
        <v>15</v>
      </c>
      <c r="T23" s="33">
        <v>15</v>
      </c>
      <c r="U23" s="33">
        <v>15</v>
      </c>
      <c r="V23" s="33">
        <v>15</v>
      </c>
      <c r="W23" s="33">
        <v>15</v>
      </c>
      <c r="X23" s="33">
        <v>15</v>
      </c>
      <c r="Y23" s="33">
        <v>15</v>
      </c>
      <c r="Z23" s="60">
        <v>15</v>
      </c>
    </row>
    <row r="24" spans="1:26" ht="14.25">
      <c r="A24" t="str">
        <f t="shared" si="0"/>
        <v>Street Lights</v>
      </c>
      <c r="B24" s="33">
        <v>5978</v>
      </c>
      <c r="C24" s="33">
        <v>5978</v>
      </c>
      <c r="D24" s="33">
        <v>5978</v>
      </c>
      <c r="E24" s="33">
        <v>5978</v>
      </c>
      <c r="F24" s="33">
        <v>5978</v>
      </c>
      <c r="G24" s="33">
        <v>5978</v>
      </c>
      <c r="H24" s="33">
        <v>5978</v>
      </c>
      <c r="I24" s="33">
        <v>5978</v>
      </c>
      <c r="J24" s="33">
        <v>5978</v>
      </c>
      <c r="K24" s="33">
        <v>5978</v>
      </c>
      <c r="L24" s="33">
        <v>5978</v>
      </c>
      <c r="M24" s="33">
        <v>5978</v>
      </c>
      <c r="N24" s="33">
        <v>5978</v>
      </c>
      <c r="O24" s="33">
        <v>5978</v>
      </c>
      <c r="P24" s="33">
        <v>5978</v>
      </c>
      <c r="Q24" s="33">
        <v>5978</v>
      </c>
      <c r="R24" s="33">
        <v>5978</v>
      </c>
      <c r="S24" s="33">
        <v>5978</v>
      </c>
      <c r="T24" s="33">
        <v>5979</v>
      </c>
      <c r="U24" s="33">
        <v>5999</v>
      </c>
      <c r="V24" s="33">
        <v>5999</v>
      </c>
      <c r="W24" s="33">
        <v>5999</v>
      </c>
      <c r="X24" s="33">
        <v>5999</v>
      </c>
      <c r="Y24" s="33">
        <v>5999</v>
      </c>
      <c r="Z24" s="60">
        <v>6003</v>
      </c>
    </row>
    <row r="25" spans="1:26" ht="14.25">
      <c r="A25" t="str">
        <f t="shared" si="0"/>
        <v>Unmetered Scattered Load</v>
      </c>
      <c r="B25" s="33">
        <v>73</v>
      </c>
      <c r="C25" s="33">
        <v>73</v>
      </c>
      <c r="D25" s="33">
        <v>73</v>
      </c>
      <c r="E25" s="33">
        <v>72</v>
      </c>
      <c r="F25" s="33">
        <v>71</v>
      </c>
      <c r="G25" s="33">
        <v>70</v>
      </c>
      <c r="H25" s="33">
        <v>70</v>
      </c>
      <c r="I25" s="33">
        <v>70</v>
      </c>
      <c r="J25" s="33">
        <v>70</v>
      </c>
      <c r="K25" s="33">
        <v>70</v>
      </c>
      <c r="L25" s="33">
        <v>70</v>
      </c>
      <c r="M25" s="33">
        <v>70</v>
      </c>
      <c r="N25" s="33">
        <v>70</v>
      </c>
      <c r="O25" s="33">
        <v>70</v>
      </c>
      <c r="P25" s="33">
        <v>70</v>
      </c>
      <c r="Q25" s="33">
        <v>70</v>
      </c>
      <c r="R25" s="33">
        <v>70</v>
      </c>
      <c r="S25" s="33">
        <v>70</v>
      </c>
      <c r="T25" s="33">
        <v>70</v>
      </c>
      <c r="U25" s="33">
        <v>70</v>
      </c>
      <c r="V25" s="33">
        <v>70</v>
      </c>
      <c r="W25" s="33">
        <v>70</v>
      </c>
      <c r="X25" s="33">
        <v>70</v>
      </c>
      <c r="Y25" s="33">
        <v>70</v>
      </c>
      <c r="Z25" s="60">
        <v>69</v>
      </c>
    </row>
    <row r="26" spans="1:14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21">
      <c r="A27" s="25" t="s">
        <v>64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6" s="32" customFormat="1" ht="18">
      <c r="A28" s="1"/>
      <c r="B28" s="70">
        <f>B17</f>
        <v>2002</v>
      </c>
      <c r="C28" s="70"/>
      <c r="D28" s="70"/>
      <c r="E28" s="70"/>
      <c r="F28" s="70"/>
      <c r="G28" s="70"/>
      <c r="H28" s="70"/>
      <c r="I28" s="70"/>
      <c r="J28" s="70"/>
      <c r="K28" s="70"/>
      <c r="L28" s="71">
        <f>L17</f>
        <v>2003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>
        <v>2004</v>
      </c>
      <c r="Y28" s="72"/>
      <c r="Z28" s="72"/>
    </row>
    <row r="29" spans="1:26" s="32" customFormat="1" ht="14.25">
      <c r="A29" s="23" t="str">
        <f>A7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47</v>
      </c>
      <c r="H29" s="1" t="s">
        <v>48</v>
      </c>
      <c r="I29" s="1" t="s">
        <v>49</v>
      </c>
      <c r="J29" s="1" t="s">
        <v>50</v>
      </c>
      <c r="K29" s="1" t="s">
        <v>51</v>
      </c>
      <c r="L29" s="1" t="s">
        <v>52</v>
      </c>
      <c r="M29" s="1" t="s">
        <v>53</v>
      </c>
      <c r="N29" s="1" t="s">
        <v>54</v>
      </c>
      <c r="O29" s="1" t="s">
        <v>16</v>
      </c>
      <c r="P29" s="1" t="s">
        <v>17</v>
      </c>
      <c r="Q29" s="1" t="s">
        <v>18</v>
      </c>
      <c r="R29" s="1" t="s">
        <v>19</v>
      </c>
      <c r="S29" s="1" t="s">
        <v>47</v>
      </c>
      <c r="T29" s="1" t="s">
        <v>48</v>
      </c>
      <c r="U29" s="1" t="s">
        <v>49</v>
      </c>
      <c r="V29" s="1" t="s">
        <v>50</v>
      </c>
      <c r="W29" s="1" t="s">
        <v>51</v>
      </c>
      <c r="X29" s="1" t="s">
        <v>52</v>
      </c>
      <c r="Y29" s="1" t="s">
        <v>53</v>
      </c>
      <c r="Z29" s="32" t="s">
        <v>99</v>
      </c>
    </row>
    <row r="30" spans="1:26" ht="14.25">
      <c r="A30" t="str">
        <f aca="true" t="shared" si="1" ref="A30:A36">A19</f>
        <v>Residential</v>
      </c>
      <c r="B30" s="33">
        <v>25909341.77036667</v>
      </c>
      <c r="C30" s="33">
        <v>23332964.631866634</v>
      </c>
      <c r="D30" s="33">
        <f>'[1]Statistics'!$D$9</f>
        <v>16869188</v>
      </c>
      <c r="E30" s="33">
        <v>13313803</v>
      </c>
      <c r="F30" s="33">
        <v>13119260</v>
      </c>
      <c r="G30" s="33">
        <v>14486831</v>
      </c>
      <c r="H30" s="33">
        <v>13711376</v>
      </c>
      <c r="I30" s="33">
        <v>11842775</v>
      </c>
      <c r="J30" s="33">
        <v>15031374</v>
      </c>
      <c r="K30" s="33">
        <v>17930469</v>
      </c>
      <c r="L30" s="33">
        <f>'[1]Statistics'!$D$56</f>
        <v>16186602.58</v>
      </c>
      <c r="M30" s="33">
        <f>'[1]Statistics'!$D$60</f>
        <v>10356662.9728</v>
      </c>
      <c r="N30" s="33">
        <f>'[1]Statistics'!$D$64</f>
        <v>36575519.1422</v>
      </c>
      <c r="O30" s="33">
        <f>'[1]Statistics'!$D$68</f>
        <v>25871071.2493</v>
      </c>
      <c r="P30" s="33">
        <f>'[1]Statistics'!$D$72</f>
        <v>18297354.8788</v>
      </c>
      <c r="Q30" s="33">
        <f>'[1]Statistics'!$D$76</f>
        <v>16013068.759</v>
      </c>
      <c r="R30" s="33">
        <f>'[1]Statistics'!$D$80</f>
        <v>12070415.1511</v>
      </c>
      <c r="S30" s="33">
        <f>'[1]Statistics'!$D$84</f>
        <v>12254505.8198</v>
      </c>
      <c r="T30" s="33">
        <f>'[1]Statistics'!$D$88</f>
        <v>11644542.8479</v>
      </c>
      <c r="U30" s="33">
        <f>'[1]Statistics'!$D$92</f>
        <v>12820935.9781</v>
      </c>
      <c r="V30" s="33">
        <f>'[1]Statistics'!$D$96</f>
        <v>14831862.1562</v>
      </c>
      <c r="W30" s="33">
        <f>'[1]Statistics'!$D$100</f>
        <v>16855995.2909</v>
      </c>
      <c r="X30" s="33">
        <v>19346336.1008</v>
      </c>
      <c r="Y30" s="33">
        <v>32087423.343901098</v>
      </c>
      <c r="Z30" s="33">
        <v>27497554.4021</v>
      </c>
    </row>
    <row r="31" spans="1:26" ht="14.25">
      <c r="A31" t="str">
        <f t="shared" si="1"/>
        <v>General Service &lt; 50 kW</v>
      </c>
      <c r="B31" s="33">
        <v>8954205.3082</v>
      </c>
      <c r="C31" s="33">
        <v>6610522.500933333</v>
      </c>
      <c r="D31" s="33">
        <f>'[1]Statistics'!$H$9</f>
        <v>4815215</v>
      </c>
      <c r="E31" s="33">
        <v>5477421</v>
      </c>
      <c r="F31" s="33">
        <v>5216616</v>
      </c>
      <c r="G31" s="33">
        <v>5951808</v>
      </c>
      <c r="H31" s="33">
        <v>6013565</v>
      </c>
      <c r="I31" s="33">
        <v>5919138</v>
      </c>
      <c r="J31" s="33">
        <v>5745772</v>
      </c>
      <c r="K31" s="33">
        <v>6330711</v>
      </c>
      <c r="L31" s="33">
        <f>'[1]Statistics'!$H$56</f>
        <v>2899923.3677999997</v>
      </c>
      <c r="M31" s="33">
        <f>'[1]Statistics'!$H$60</f>
        <v>113080.3696</v>
      </c>
      <c r="N31" s="33">
        <f>'[1]Statistics'!$H$64</f>
        <v>11978516.2029</v>
      </c>
      <c r="O31" s="33">
        <f>'[1]Statistics'!$H$68</f>
        <v>7675465.2304</v>
      </c>
      <c r="P31" s="33">
        <f>'[1]Statistics'!$H$72</f>
        <v>7361996.7801</v>
      </c>
      <c r="Q31" s="33">
        <f>'[1]Statistics'!$H$76</f>
        <v>6044760.2992</v>
      </c>
      <c r="R31" s="33">
        <f>'[1]Statistics'!$H$80</f>
        <v>6045884.851</v>
      </c>
      <c r="S31" s="33">
        <f>'[1]Statistics'!$H$84</f>
        <v>5305934.7142</v>
      </c>
      <c r="T31" s="33">
        <f>'[1]Statistics'!$H$88</f>
        <v>4921012.2043</v>
      </c>
      <c r="U31" s="33">
        <f>'[1]Statistics'!$H$92</f>
        <v>6522444.825</v>
      </c>
      <c r="V31" s="33">
        <f>'[1]Statistics'!$H$96</f>
        <v>6073395.074100001</v>
      </c>
      <c r="W31" s="33">
        <f>'[1]Statistics'!$H$100</f>
        <v>5760064.4452</v>
      </c>
      <c r="X31" s="33">
        <v>6322781.9065000005</v>
      </c>
      <c r="Y31" s="33">
        <v>8989678.7371</v>
      </c>
      <c r="Z31" s="33">
        <v>8687862.718600001</v>
      </c>
    </row>
    <row r="32" spans="1:26" ht="14.25">
      <c r="A32" t="str">
        <f t="shared" si="1"/>
        <v>General Service &gt; 50 kW</v>
      </c>
      <c r="B32" s="33">
        <v>31467.5862</v>
      </c>
      <c r="C32" s="33">
        <v>28149.13693333333</v>
      </c>
      <c r="D32" s="33">
        <v>42046.6</v>
      </c>
      <c r="E32" s="33">
        <v>-20604.8</v>
      </c>
      <c r="F32" s="33">
        <v>3863.4</v>
      </c>
      <c r="G32" s="33">
        <v>33255.6</v>
      </c>
      <c r="H32" s="33">
        <v>72260.8</v>
      </c>
      <c r="I32" s="33">
        <v>42480.7</v>
      </c>
      <c r="J32" s="33">
        <v>33006.1</v>
      </c>
      <c r="K32" s="33">
        <v>29552.3</v>
      </c>
      <c r="L32" s="33">
        <v>5036.659</v>
      </c>
      <c r="M32" s="33">
        <v>8757.846</v>
      </c>
      <c r="N32" s="33">
        <v>35384.954000000005</v>
      </c>
      <c r="O32" s="33">
        <v>29948.754</v>
      </c>
      <c r="P32" s="33">
        <v>46271.51</v>
      </c>
      <c r="Q32" s="33">
        <v>24886.334000000003</v>
      </c>
      <c r="R32" s="33">
        <v>-10625.052</v>
      </c>
      <c r="S32" s="33">
        <v>19674.906</v>
      </c>
      <c r="T32" s="33">
        <v>14532.182</v>
      </c>
      <c r="U32" s="33">
        <v>25986.02</v>
      </c>
      <c r="V32" s="33">
        <v>26533.597</v>
      </c>
      <c r="W32" s="33">
        <v>28498.223199999997</v>
      </c>
      <c r="X32" s="33">
        <v>30464.826299999997</v>
      </c>
      <c r="Y32" s="33">
        <v>30062.975499999997</v>
      </c>
      <c r="Z32" s="33">
        <v>34973.7186</v>
      </c>
    </row>
    <row r="33" spans="1:26" ht="14.25">
      <c r="A33" t="str">
        <f t="shared" si="1"/>
        <v>General Service &gt; 50 kW - TOU</v>
      </c>
      <c r="B33" s="33">
        <v>434.1</v>
      </c>
      <c r="C33" s="33">
        <v>422.3</v>
      </c>
      <c r="D33" s="33">
        <v>416.4</v>
      </c>
      <c r="E33" s="33">
        <v>418.8</v>
      </c>
      <c r="F33" s="33">
        <v>428.6</v>
      </c>
      <c r="G33" s="33">
        <v>428.4</v>
      </c>
      <c r="H33" s="33">
        <v>417.2</v>
      </c>
      <c r="I33" s="33">
        <v>419.3</v>
      </c>
      <c r="J33" s="33">
        <v>425.9</v>
      </c>
      <c r="K33" s="33">
        <v>441.7</v>
      </c>
      <c r="L33" s="33">
        <v>440.1</v>
      </c>
      <c r="M33" s="33">
        <v>417</v>
      </c>
      <c r="N33" s="33">
        <v>434.1</v>
      </c>
      <c r="O33" s="33">
        <v>509.2</v>
      </c>
      <c r="P33" s="33">
        <v>407.4</v>
      </c>
      <c r="Q33" s="33">
        <v>414</v>
      </c>
      <c r="R33" s="33">
        <v>410.5</v>
      </c>
      <c r="S33" s="33">
        <v>422.4</v>
      </c>
      <c r="T33" s="33">
        <v>400.5</v>
      </c>
      <c r="U33" s="33">
        <v>403.2</v>
      </c>
      <c r="V33" s="33">
        <v>423.6</v>
      </c>
      <c r="W33" s="33">
        <v>449.7</v>
      </c>
      <c r="X33" s="33">
        <v>458.9</v>
      </c>
      <c r="Y33" s="33">
        <v>418.2</v>
      </c>
      <c r="Z33" s="33">
        <v>441.6</v>
      </c>
    </row>
    <row r="34" spans="1:26" ht="14.25">
      <c r="A34" t="str">
        <f t="shared" si="1"/>
        <v>Sentinel Lights</v>
      </c>
      <c r="B34" s="33">
        <v>2.74</v>
      </c>
      <c r="C34" s="33">
        <v>2.74</v>
      </c>
      <c r="D34" s="33">
        <v>2.74</v>
      </c>
      <c r="E34" s="33">
        <v>2.74</v>
      </c>
      <c r="F34" s="33">
        <v>2.74</v>
      </c>
      <c r="G34" s="33">
        <v>2.74</v>
      </c>
      <c r="H34" s="33">
        <v>2.74</v>
      </c>
      <c r="I34" s="33">
        <v>2.74</v>
      </c>
      <c r="J34" s="33">
        <v>2.74</v>
      </c>
      <c r="K34" s="33">
        <v>2.74</v>
      </c>
      <c r="L34" s="33">
        <v>2.74</v>
      </c>
      <c r="M34" s="33">
        <v>2.74</v>
      </c>
      <c r="N34" s="33">
        <v>2.74</v>
      </c>
      <c r="O34" s="33">
        <v>2.74</v>
      </c>
      <c r="P34" s="33">
        <v>2.74</v>
      </c>
      <c r="Q34" s="33">
        <v>2.74</v>
      </c>
      <c r="R34" s="33">
        <v>2.74</v>
      </c>
      <c r="S34" s="33">
        <v>2.74</v>
      </c>
      <c r="T34" s="33">
        <v>2.74</v>
      </c>
      <c r="U34" s="33">
        <v>2.74</v>
      </c>
      <c r="V34" s="33">
        <v>2.74</v>
      </c>
      <c r="W34" s="33">
        <v>2.74</v>
      </c>
      <c r="X34" s="33">
        <v>2.74</v>
      </c>
      <c r="Y34" s="33">
        <v>2.74</v>
      </c>
      <c r="Z34" s="33">
        <v>2.74</v>
      </c>
    </row>
    <row r="35" spans="1:26" ht="14.25">
      <c r="A35" t="str">
        <f t="shared" si="1"/>
        <v>Street Lights</v>
      </c>
      <c r="B35" s="33">
        <v>1267.78</v>
      </c>
      <c r="C35" s="33">
        <v>1021.17</v>
      </c>
      <c r="D35" s="33">
        <v>888.973</v>
      </c>
      <c r="E35" s="33">
        <v>2010.329</v>
      </c>
      <c r="F35" s="33">
        <v>560.03</v>
      </c>
      <c r="G35" s="33">
        <v>905.8</v>
      </c>
      <c r="H35" s="33">
        <v>1006.991</v>
      </c>
      <c r="I35" s="33">
        <v>1148.229</v>
      </c>
      <c r="J35" s="33">
        <v>1231.04</v>
      </c>
      <c r="K35" s="33">
        <v>1636.03</v>
      </c>
      <c r="L35" s="33">
        <v>1359.23</v>
      </c>
      <c r="M35" s="33">
        <v>1302.033</v>
      </c>
      <c r="N35" s="33">
        <v>1231.01</v>
      </c>
      <c r="O35" s="33">
        <v>1133.29</v>
      </c>
      <c r="P35" s="33">
        <v>1126.958</v>
      </c>
      <c r="Q35" s="33">
        <v>752.84</v>
      </c>
      <c r="R35" s="33">
        <v>1513.738</v>
      </c>
      <c r="S35" s="33">
        <v>1126.958</v>
      </c>
      <c r="T35" s="33">
        <v>0</v>
      </c>
      <c r="U35" s="33">
        <v>2252.69</v>
      </c>
      <c r="V35" s="33">
        <v>1131.395</v>
      </c>
      <c r="W35" s="33">
        <v>1131.395</v>
      </c>
      <c r="X35" s="33">
        <v>1131.395</v>
      </c>
      <c r="Y35" s="33">
        <v>1131.395</v>
      </c>
      <c r="Z35" s="33">
        <v>1131.395</v>
      </c>
    </row>
    <row r="36" spans="1:26" ht="14.25">
      <c r="A36" t="str">
        <f t="shared" si="1"/>
        <v>Unmetered Scattered Load</v>
      </c>
      <c r="B36" s="33">
        <v>63088.072421766665</v>
      </c>
      <c r="C36" s="33">
        <v>33764.62792783333</v>
      </c>
      <c r="D36" s="33">
        <f>'[1]Statistics'!$L$9</f>
        <v>35345</v>
      </c>
      <c r="E36" s="33">
        <v>33584</v>
      </c>
      <c r="F36" s="33">
        <v>46362</v>
      </c>
      <c r="G36" s="33">
        <v>48561</v>
      </c>
      <c r="H36" s="33">
        <v>46245</v>
      </c>
      <c r="I36" s="33">
        <v>56500</v>
      </c>
      <c r="J36" s="33">
        <v>47276</v>
      </c>
      <c r="K36" s="33">
        <v>48683</v>
      </c>
      <c r="L36" s="33">
        <f>'[1]Statistics'!$L$56</f>
        <v>450</v>
      </c>
      <c r="M36" s="33">
        <f>'[1]Statistics'!$L$60</f>
        <v>18187.5945</v>
      </c>
      <c r="N36" s="33">
        <f>'[1]Statistics'!$L$64</f>
        <v>76281.6986</v>
      </c>
      <c r="O36" s="33">
        <f>'[1]Statistics'!$L$68</f>
        <v>45286.4879</v>
      </c>
      <c r="P36" s="33">
        <f>'[1]Statistics'!$L$72</f>
        <v>62140.8329</v>
      </c>
      <c r="Q36" s="33">
        <f>'[1]Statistics'!$L$76</f>
        <v>83430.8055</v>
      </c>
      <c r="R36" s="33">
        <f>'[1]Statistics'!$L$80</f>
        <v>31196.4164</v>
      </c>
      <c r="S36" s="33">
        <f>'[1]Statistics'!$L$84</f>
        <v>33378.7726</v>
      </c>
      <c r="T36" s="33">
        <f>'[1]Statistics'!$L$88</f>
        <v>38679.4521</v>
      </c>
      <c r="U36" s="33">
        <f>'[1]Statistics'!$L$92</f>
        <v>52619.737</v>
      </c>
      <c r="V36" s="33">
        <f>'[1]Statistics'!$L$96</f>
        <v>51575.0795</v>
      </c>
      <c r="W36" s="33">
        <f>'[1]Statistics'!$L$100</f>
        <v>37275.3863</v>
      </c>
      <c r="X36" s="33">
        <v>41402.991781100005</v>
      </c>
      <c r="Y36" s="33">
        <v>52347.6164383</v>
      </c>
      <c r="Z36" s="33">
        <v>62118.9041096</v>
      </c>
    </row>
    <row r="37" spans="1:14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21">
      <c r="A38" s="25" t="s">
        <v>56</v>
      </c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26" ht="18">
      <c r="A40"/>
      <c r="B40" s="70">
        <f>B28</f>
        <v>2002</v>
      </c>
      <c r="C40" s="70"/>
      <c r="D40" s="70"/>
      <c r="E40" s="70"/>
      <c r="F40" s="70"/>
      <c r="G40" s="70"/>
      <c r="H40" s="70"/>
      <c r="I40" s="70"/>
      <c r="J40" s="70"/>
      <c r="K40" s="70"/>
      <c r="L40" s="71">
        <f>L28</f>
        <v>2003</v>
      </c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2">
        <v>2004</v>
      </c>
      <c r="Y40" s="72"/>
      <c r="Z40" s="72"/>
    </row>
    <row r="41" spans="1:26" s="32" customFormat="1" ht="14.25">
      <c r="A41" s="23" t="str">
        <f aca="true" t="shared" si="2" ref="A41:A48">A29</f>
        <v>Rate Class</v>
      </c>
      <c r="B41" s="1" t="s">
        <v>9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47</v>
      </c>
      <c r="H41" s="1" t="s">
        <v>48</v>
      </c>
      <c r="I41" s="1" t="s">
        <v>49</v>
      </c>
      <c r="J41" s="1" t="s">
        <v>50</v>
      </c>
      <c r="K41" s="1" t="s">
        <v>51</v>
      </c>
      <c r="L41" s="1" t="s">
        <v>52</v>
      </c>
      <c r="M41" s="1" t="s">
        <v>53</v>
      </c>
      <c r="N41" s="1" t="s">
        <v>54</v>
      </c>
      <c r="O41" s="1" t="s">
        <v>16</v>
      </c>
      <c r="P41" s="1" t="s">
        <v>17</v>
      </c>
      <c r="Q41" s="1" t="s">
        <v>18</v>
      </c>
      <c r="R41" s="1" t="s">
        <v>19</v>
      </c>
      <c r="S41" s="1" t="s">
        <v>47</v>
      </c>
      <c r="T41" s="1" t="s">
        <v>48</v>
      </c>
      <c r="U41" s="1" t="s">
        <v>49</v>
      </c>
      <c r="V41" s="1" t="s">
        <v>50</v>
      </c>
      <c r="W41" s="1" t="s">
        <v>51</v>
      </c>
      <c r="X41" s="1" t="s">
        <v>52</v>
      </c>
      <c r="Y41" s="1" t="s">
        <v>53</v>
      </c>
      <c r="Z41" s="32" t="s">
        <v>99</v>
      </c>
    </row>
    <row r="42" spans="1:26" ht="14.25">
      <c r="A42" s="27" t="str">
        <f t="shared" si="2"/>
        <v>Residential</v>
      </c>
      <c r="B42" s="26">
        <f aca="true" t="shared" si="3" ref="B42:B48">(B19*($D8+$F8)+B30*($E8+$G8))*0.5</f>
        <v>40475.01913375379</v>
      </c>
      <c r="C42" s="26">
        <f aca="true" t="shared" si="4" ref="C42:Y42">(C19*($D8+$F8)+C30*($E8+$G8))</f>
        <v>76344.9258553417</v>
      </c>
      <c r="D42" s="26">
        <f t="shared" si="4"/>
        <v>64753.213467143134</v>
      </c>
      <c r="E42" s="26">
        <f t="shared" si="4"/>
        <v>58431.635721887775</v>
      </c>
      <c r="F42" s="26">
        <f t="shared" si="4"/>
        <v>58092.99883372364</v>
      </c>
      <c r="G42" s="26">
        <f t="shared" si="4"/>
        <v>60579.8281738059</v>
      </c>
      <c r="H42" s="26">
        <f t="shared" si="4"/>
        <v>59236.151486033385</v>
      </c>
      <c r="I42" s="26">
        <f t="shared" si="4"/>
        <v>55927.45017677558</v>
      </c>
      <c r="J42" s="26">
        <f t="shared" si="4"/>
        <v>61645.72774874377</v>
      </c>
      <c r="K42" s="26">
        <f t="shared" si="4"/>
        <v>66881.19671442627</v>
      </c>
      <c r="L42" s="26">
        <f t="shared" si="4"/>
        <v>63768.02366554555</v>
      </c>
      <c r="M42" s="26">
        <f t="shared" si="4"/>
        <v>53322.2111514074</v>
      </c>
      <c r="N42" s="26">
        <f t="shared" si="4"/>
        <v>100320.92928744142</v>
      </c>
      <c r="O42" s="26">
        <f t="shared" si="4"/>
        <v>81163.53555544044</v>
      </c>
      <c r="P42" s="26">
        <f t="shared" si="4"/>
        <v>67616.71414443236</v>
      </c>
      <c r="Q42" s="26">
        <f t="shared" si="4"/>
        <v>63585.07145491228</v>
      </c>
      <c r="R42" s="26">
        <f t="shared" si="4"/>
        <v>56553.46643923764</v>
      </c>
      <c r="S42" s="26">
        <f t="shared" si="4"/>
        <v>56907.38159929582</v>
      </c>
      <c r="T42" s="26">
        <f t="shared" si="4"/>
        <v>55844.27792167316</v>
      </c>
      <c r="U42" s="26">
        <f t="shared" si="4"/>
        <v>58002.50217043492</v>
      </c>
      <c r="V42" s="26">
        <f t="shared" si="4"/>
        <v>61658.29057124235</v>
      </c>
      <c r="W42" s="26">
        <f t="shared" si="4"/>
        <v>65313.74015272403</v>
      </c>
      <c r="X42" s="26">
        <f t="shared" si="4"/>
        <v>69810.68051482172</v>
      </c>
      <c r="Y42" s="26">
        <f t="shared" si="4"/>
        <v>92659.94022893894</v>
      </c>
      <c r="Z42" s="57">
        <f aca="true" t="shared" si="5" ref="Z42:Z48">(Z19*($D8+$F8)+Z30*($E8+$G8))*0.5</f>
        <v>42229.23006048319</v>
      </c>
    </row>
    <row r="43" spans="1:26" ht="14.25">
      <c r="A43" s="27" t="str">
        <f t="shared" si="2"/>
        <v>General Service &lt; 50 kW</v>
      </c>
      <c r="B43" s="26">
        <f t="shared" si="3"/>
        <v>9215.40330673735</v>
      </c>
      <c r="C43" s="26">
        <f aca="true" t="shared" si="6" ref="C43:Y43">(C20*($D9+$F9)+C31*($E9+$G9))</f>
        <v>15866.823914515608</v>
      </c>
      <c r="D43" s="26">
        <f t="shared" si="6"/>
        <v>13895.391496131691</v>
      </c>
      <c r="E43" s="26">
        <f t="shared" si="6"/>
        <v>14630.899330735927</v>
      </c>
      <c r="F43" s="26">
        <f t="shared" si="6"/>
        <v>14352.950193236484</v>
      </c>
      <c r="G43" s="26">
        <f t="shared" si="6"/>
        <v>15138.821186669345</v>
      </c>
      <c r="H43" s="26">
        <f t="shared" si="6"/>
        <v>15206.383178867549</v>
      </c>
      <c r="I43" s="26">
        <f t="shared" si="6"/>
        <v>15114.13654283843</v>
      </c>
      <c r="J43" s="26">
        <f t="shared" si="6"/>
        <v>14913.418355823462</v>
      </c>
      <c r="K43" s="26">
        <f t="shared" si="6"/>
        <v>15553.340051411418</v>
      </c>
      <c r="L43" s="26">
        <f t="shared" si="6"/>
        <v>11814.809257185767</v>
      </c>
      <c r="M43" s="26">
        <f t="shared" si="6"/>
        <v>8751.26883450642</v>
      </c>
      <c r="N43" s="26">
        <f t="shared" si="6"/>
        <v>21732.023780467374</v>
      </c>
      <c r="O43" s="26">
        <f t="shared" si="6"/>
        <v>17024.497569146853</v>
      </c>
      <c r="P43" s="26">
        <f t="shared" si="6"/>
        <v>16685.249342254323</v>
      </c>
      <c r="Q43" s="26">
        <f t="shared" si="6"/>
        <v>15236.825336288106</v>
      </c>
      <c r="R43" s="26">
        <f t="shared" si="6"/>
        <v>15241.74100909099</v>
      </c>
      <c r="S43" s="26">
        <f t="shared" si="6"/>
        <v>14417.495881397917</v>
      </c>
      <c r="T43" s="26">
        <f t="shared" si="6"/>
        <v>14011.133353597379</v>
      </c>
      <c r="U43" s="26">
        <f t="shared" si="6"/>
        <v>15763.096341204997</v>
      </c>
      <c r="V43" s="26">
        <f t="shared" si="6"/>
        <v>15279.207951610104</v>
      </c>
      <c r="W43" s="26">
        <f t="shared" si="6"/>
        <v>14936.425084806335</v>
      </c>
      <c r="X43" s="26">
        <f t="shared" si="6"/>
        <v>15548.351060562836</v>
      </c>
      <c r="Y43" s="26">
        <f t="shared" si="6"/>
        <v>18462.243617148546</v>
      </c>
      <c r="Z43" s="57">
        <f t="shared" si="5"/>
        <v>9060.50072737506</v>
      </c>
    </row>
    <row r="44" spans="1:26" ht="14.25">
      <c r="A44" s="27" t="str">
        <f t="shared" si="2"/>
        <v>General Service &gt; 50 kW</v>
      </c>
      <c r="B44" s="26">
        <f t="shared" si="3"/>
        <v>9844.779448431396</v>
      </c>
      <c r="C44" s="26">
        <f aca="true" t="shared" si="7" ref="C44:Y44">(C21*($D10+$F10)+C32*($E10+$G10))</f>
        <v>18742.483338802816</v>
      </c>
      <c r="D44" s="26">
        <f t="shared" si="7"/>
        <v>22889.517290391632</v>
      </c>
      <c r="E44" s="26">
        <f t="shared" si="7"/>
        <v>5008.993934420483</v>
      </c>
      <c r="F44" s="26">
        <f t="shared" si="7"/>
        <v>11992.145493341324</v>
      </c>
      <c r="G44" s="26">
        <f t="shared" si="7"/>
        <v>20335.40719368325</v>
      </c>
      <c r="H44" s="26">
        <f t="shared" si="7"/>
        <v>31422.190523564994</v>
      </c>
      <c r="I44" s="26">
        <f t="shared" si="7"/>
        <v>22923.03849195586</v>
      </c>
      <c r="J44" s="26">
        <f t="shared" si="7"/>
        <v>20444.939931738216</v>
      </c>
      <c r="K44" s="26">
        <f t="shared" si="7"/>
        <v>19414.050852524888</v>
      </c>
      <c r="L44" s="26">
        <f t="shared" si="7"/>
        <v>12372.174949070586</v>
      </c>
      <c r="M44" s="26">
        <f t="shared" si="7"/>
        <v>13434.1906592612</v>
      </c>
      <c r="N44" s="26">
        <f t="shared" si="7"/>
        <v>21078.672969098476</v>
      </c>
      <c r="O44" s="26">
        <f t="shared" si="7"/>
        <v>19482.012821706667</v>
      </c>
      <c r="P44" s="26">
        <f t="shared" si="7"/>
        <v>24185.66369594716</v>
      </c>
      <c r="Q44" s="26">
        <f t="shared" si="7"/>
        <v>18127.582847809997</v>
      </c>
      <c r="R44" s="26">
        <f t="shared" si="7"/>
        <v>7992.7388255549995</v>
      </c>
      <c r="S44" s="26">
        <f t="shared" si="7"/>
        <v>16640.2567853124</v>
      </c>
      <c r="T44" s="26">
        <f t="shared" si="7"/>
        <v>15172.538640222054</v>
      </c>
      <c r="U44" s="26">
        <f t="shared" si="7"/>
        <v>18215.505843215848</v>
      </c>
      <c r="V44" s="26">
        <f t="shared" si="7"/>
        <v>18552.52198810621</v>
      </c>
      <c r="W44" s="26">
        <f t="shared" si="7"/>
        <v>19158.40529072077</v>
      </c>
      <c r="X44" s="26">
        <f t="shared" si="7"/>
        <v>19719.667970588664</v>
      </c>
      <c r="Y44" s="26">
        <f t="shared" si="7"/>
        <v>19604.98094659533</v>
      </c>
      <c r="Z44" s="57">
        <f t="shared" si="5"/>
        <v>10525.838628209583</v>
      </c>
    </row>
    <row r="45" spans="1:26" ht="14.25">
      <c r="A45" s="27" t="str">
        <f t="shared" si="2"/>
        <v>General Service &gt; 50 kW - TOU</v>
      </c>
      <c r="B45" s="26">
        <f t="shared" si="3"/>
        <v>7.454078611224768</v>
      </c>
      <c r="C45" s="26">
        <f aca="true" t="shared" si="8" ref="C45:Y45">(C22*($D11+$F11)+C33*($E11+$G11))</f>
        <v>14.727476470548751</v>
      </c>
      <c r="D45" s="26">
        <f t="shared" si="8"/>
        <v>14.637136094598358</v>
      </c>
      <c r="E45" s="26">
        <f t="shared" si="8"/>
        <v>14.673884722103603</v>
      </c>
      <c r="F45" s="26">
        <f t="shared" si="8"/>
        <v>14.823941617750018</v>
      </c>
      <c r="G45" s="26">
        <f t="shared" si="8"/>
        <v>14.820879232124579</v>
      </c>
      <c r="H45" s="26">
        <f t="shared" si="8"/>
        <v>14.649385637100107</v>
      </c>
      <c r="I45" s="26">
        <f t="shared" si="8"/>
        <v>14.681540686167196</v>
      </c>
      <c r="J45" s="26">
        <f t="shared" si="8"/>
        <v>14.782599411806618</v>
      </c>
      <c r="K45" s="26">
        <f t="shared" si="8"/>
        <v>15.024527876216144</v>
      </c>
      <c r="L45" s="26">
        <f t="shared" si="8"/>
        <v>15.000028791212648</v>
      </c>
      <c r="M45" s="26">
        <f t="shared" si="8"/>
        <v>14.64632325147467</v>
      </c>
      <c r="N45" s="26">
        <f t="shared" si="8"/>
        <v>14.908157222449535</v>
      </c>
      <c r="O45" s="26">
        <f t="shared" si="8"/>
        <v>16.058083024801142</v>
      </c>
      <c r="P45" s="26">
        <f t="shared" si="8"/>
        <v>14.499328741453692</v>
      </c>
      <c r="Q45" s="26">
        <f t="shared" si="8"/>
        <v>14.600387467093114</v>
      </c>
      <c r="R45" s="26">
        <f t="shared" si="8"/>
        <v>14.546795718647966</v>
      </c>
      <c r="S45" s="26">
        <f t="shared" si="8"/>
        <v>14.729007663361468</v>
      </c>
      <c r="T45" s="26">
        <f t="shared" si="8"/>
        <v>14.393676437376115</v>
      </c>
      <c r="U45" s="26">
        <f t="shared" si="8"/>
        <v>14.435018643319513</v>
      </c>
      <c r="V45" s="26">
        <f t="shared" si="8"/>
        <v>14.747381977114092</v>
      </c>
      <c r="W45" s="26">
        <f t="shared" si="8"/>
        <v>15.147023301233624</v>
      </c>
      <c r="X45" s="26">
        <f t="shared" si="8"/>
        <v>15.287893040003729</v>
      </c>
      <c r="Y45" s="26">
        <f t="shared" si="8"/>
        <v>14.664697565227291</v>
      </c>
      <c r="Z45" s="57">
        <f t="shared" si="5"/>
        <v>7.511498341701713</v>
      </c>
    </row>
    <row r="46" spans="1:26" ht="14.25">
      <c r="A46" s="27" t="str">
        <f t="shared" si="2"/>
        <v>Sentinel Lights</v>
      </c>
      <c r="B46" s="26">
        <f t="shared" si="3"/>
        <v>3.065760461088878</v>
      </c>
      <c r="C46" s="26">
        <f aca="true" t="shared" si="9" ref="C46:Y46">(C23*($D12+$F12)+C34*($E12+$G12))</f>
        <v>6.131520922177756</v>
      </c>
      <c r="D46" s="26">
        <f t="shared" si="9"/>
        <v>6.131520922177756</v>
      </c>
      <c r="E46" s="26">
        <f t="shared" si="9"/>
        <v>6.131520922177756</v>
      </c>
      <c r="F46" s="26">
        <f t="shared" si="9"/>
        <v>6.389585704693374</v>
      </c>
      <c r="G46" s="26">
        <f t="shared" si="9"/>
        <v>6.389585704693374</v>
      </c>
      <c r="H46" s="26">
        <f t="shared" si="9"/>
        <v>6.389585704693374</v>
      </c>
      <c r="I46" s="26">
        <f t="shared" si="9"/>
        <v>6.389585704693374</v>
      </c>
      <c r="J46" s="26">
        <f t="shared" si="9"/>
        <v>6.389585704693374</v>
      </c>
      <c r="K46" s="26">
        <f t="shared" si="9"/>
        <v>6.389585704693374</v>
      </c>
      <c r="L46" s="26">
        <f t="shared" si="9"/>
        <v>6.389585704693374</v>
      </c>
      <c r="M46" s="26">
        <f t="shared" si="9"/>
        <v>6.389585704693374</v>
      </c>
      <c r="N46" s="26">
        <f t="shared" si="9"/>
        <v>6.389585704693374</v>
      </c>
      <c r="O46" s="26">
        <f t="shared" si="9"/>
        <v>6.389585704693374</v>
      </c>
      <c r="P46" s="26">
        <f t="shared" si="9"/>
        <v>6.389585704693374</v>
      </c>
      <c r="Q46" s="26">
        <f t="shared" si="9"/>
        <v>6.389585704693374</v>
      </c>
      <c r="R46" s="26">
        <f t="shared" si="9"/>
        <v>6.389585704693374</v>
      </c>
      <c r="S46" s="26">
        <f t="shared" si="9"/>
        <v>6.389585704693374</v>
      </c>
      <c r="T46" s="26">
        <f t="shared" si="9"/>
        <v>6.389585704693374</v>
      </c>
      <c r="U46" s="26">
        <f t="shared" si="9"/>
        <v>6.389585704693374</v>
      </c>
      <c r="V46" s="26">
        <f t="shared" si="9"/>
        <v>6.389585704693374</v>
      </c>
      <c r="W46" s="26">
        <f t="shared" si="9"/>
        <v>6.389585704693374</v>
      </c>
      <c r="X46" s="26">
        <f t="shared" si="9"/>
        <v>6.389585704693374</v>
      </c>
      <c r="Y46" s="26">
        <f t="shared" si="9"/>
        <v>6.389585704693374</v>
      </c>
      <c r="Z46" s="57">
        <f t="shared" si="5"/>
        <v>3.194792852346687</v>
      </c>
    </row>
    <row r="47" spans="1:26" ht="14.25">
      <c r="A47" s="45" t="str">
        <f t="shared" si="2"/>
        <v>Street Lights</v>
      </c>
      <c r="B47" s="57">
        <f t="shared" si="3"/>
        <v>626.8394456236109</v>
      </c>
      <c r="C47" s="26">
        <f aca="true" t="shared" si="10" ref="C47:Y47">(C24*($D13+$F13)+C35*($E13+$G13))</f>
        <v>1140.5860237962956</v>
      </c>
      <c r="D47" s="26">
        <f t="shared" si="10"/>
        <v>1079.9618082397078</v>
      </c>
      <c r="E47" s="26">
        <f t="shared" si="10"/>
        <v>1594.2043996727432</v>
      </c>
      <c r="F47" s="26">
        <f t="shared" si="10"/>
        <v>929.1118544750186</v>
      </c>
      <c r="G47" s="26">
        <f t="shared" si="10"/>
        <v>1087.6785013202673</v>
      </c>
      <c r="H47" s="26">
        <f t="shared" si="10"/>
        <v>1134.083676902063</v>
      </c>
      <c r="I47" s="26">
        <f t="shared" si="10"/>
        <v>1198.8540041922538</v>
      </c>
      <c r="J47" s="26">
        <f t="shared" si="10"/>
        <v>1236.830296501887</v>
      </c>
      <c r="K47" s="26">
        <f t="shared" si="10"/>
        <v>1422.5546401576617</v>
      </c>
      <c r="L47" s="26">
        <f t="shared" si="10"/>
        <v>1295.6169421307513</v>
      </c>
      <c r="M47" s="26">
        <f t="shared" si="10"/>
        <v>1269.3869727881024</v>
      </c>
      <c r="N47" s="26">
        <f t="shared" si="10"/>
        <v>1236.8165388034013</v>
      </c>
      <c r="O47" s="26">
        <f t="shared" si="10"/>
        <v>1192.0031289363865</v>
      </c>
      <c r="P47" s="26">
        <f t="shared" si="10"/>
        <v>1189.0993373760311</v>
      </c>
      <c r="Q47" s="26">
        <f t="shared" si="10"/>
        <v>1017.5325826418127</v>
      </c>
      <c r="R47" s="26">
        <f t="shared" si="10"/>
        <v>1366.4727580510616</v>
      </c>
      <c r="S47" s="26">
        <f t="shared" si="10"/>
        <v>1189.0993373760311</v>
      </c>
      <c r="T47" s="26">
        <f t="shared" si="10"/>
        <v>672.4001853544286</v>
      </c>
      <c r="U47" s="26">
        <f t="shared" si="10"/>
        <v>1707.710384909588</v>
      </c>
      <c r="V47" s="26">
        <f t="shared" si="10"/>
        <v>1193.4957674634734</v>
      </c>
      <c r="W47" s="26">
        <f t="shared" si="10"/>
        <v>1193.4957674634734</v>
      </c>
      <c r="X47" s="26">
        <f t="shared" si="10"/>
        <v>1193.4957674634734</v>
      </c>
      <c r="Y47" s="26">
        <f t="shared" si="10"/>
        <v>1193.4957674634734</v>
      </c>
      <c r="Z47" s="57">
        <f t="shared" si="5"/>
        <v>596.9728043490152</v>
      </c>
    </row>
    <row r="48" spans="1:26" ht="14.25">
      <c r="A48" s="28" t="str">
        <f t="shared" si="2"/>
        <v>Unmetered Scattered Load</v>
      </c>
      <c r="B48" s="29">
        <f t="shared" si="3"/>
        <v>254.2176351295644</v>
      </c>
      <c r="C48" s="29">
        <f aca="true" t="shared" si="11" ref="C48:Y48">(C25*($D14+$F14)+C36*($E14+$G14))</f>
        <v>300.53607288244183</v>
      </c>
      <c r="D48" s="29">
        <f t="shared" si="11"/>
        <v>311.7406939980805</v>
      </c>
      <c r="E48" s="29">
        <f t="shared" si="11"/>
        <v>298.4177813546281</v>
      </c>
      <c r="F48" s="29">
        <f t="shared" si="11"/>
        <v>388.1743835098209</v>
      </c>
      <c r="G48" s="29">
        <f t="shared" si="11"/>
        <v>402.9273274316506</v>
      </c>
      <c r="H48" s="29">
        <f t="shared" si="11"/>
        <v>386.50720525862204</v>
      </c>
      <c r="I48" s="29">
        <f t="shared" si="11"/>
        <v>459.21374795482575</v>
      </c>
      <c r="J48" s="29">
        <f t="shared" si="11"/>
        <v>393.81685377347196</v>
      </c>
      <c r="K48" s="29">
        <f t="shared" si="11"/>
        <v>403.7922906894699</v>
      </c>
      <c r="L48" s="29">
        <f t="shared" si="11"/>
        <v>61.826939751781424</v>
      </c>
      <c r="M48" s="29">
        <f t="shared" si="11"/>
        <v>187.58405060913867</v>
      </c>
      <c r="N48" s="29">
        <f t="shared" si="11"/>
        <v>599.4632763667549</v>
      </c>
      <c r="O48" s="29">
        <f t="shared" si="11"/>
        <v>379.71148600718584</v>
      </c>
      <c r="P48" s="29">
        <f t="shared" si="11"/>
        <v>499.2064791187459</v>
      </c>
      <c r="Q48" s="29">
        <f t="shared" si="11"/>
        <v>650.1494632087417</v>
      </c>
      <c r="R48" s="29">
        <f t="shared" si="11"/>
        <v>279.8148126666385</v>
      </c>
      <c r="S48" s="29">
        <f t="shared" si="11"/>
        <v>295.2874186377379</v>
      </c>
      <c r="T48" s="29">
        <f t="shared" si="11"/>
        <v>332.8685088752457</v>
      </c>
      <c r="U48" s="29">
        <f t="shared" si="11"/>
        <v>431.7032157771564</v>
      </c>
      <c r="V48" s="29">
        <f t="shared" si="11"/>
        <v>424.29673746153867</v>
      </c>
      <c r="W48" s="29">
        <f t="shared" si="11"/>
        <v>322.9138750345846</v>
      </c>
      <c r="X48" s="29">
        <f t="shared" si="11"/>
        <v>352.1780314601996</v>
      </c>
      <c r="Y48" s="29">
        <f t="shared" si="11"/>
        <v>429.7739183380773</v>
      </c>
      <c r="Z48" s="29">
        <f t="shared" si="5"/>
        <v>249.1066713484474</v>
      </c>
    </row>
    <row r="49" spans="1:26" ht="14.25">
      <c r="A49" t="s">
        <v>13</v>
      </c>
      <c r="B49" s="26">
        <f aca="true" t="shared" si="12" ref="B49:Z49">SUM(B42:B47)</f>
        <v>60172.56117361846</v>
      </c>
      <c r="C49" s="26">
        <f t="shared" si="12"/>
        <v>112115.67812984916</v>
      </c>
      <c r="D49" s="26">
        <f t="shared" si="12"/>
        <v>102638.85271892294</v>
      </c>
      <c r="E49" s="26">
        <f t="shared" si="12"/>
        <v>79686.5387923612</v>
      </c>
      <c r="F49" s="26">
        <f t="shared" si="12"/>
        <v>85388.4199020989</v>
      </c>
      <c r="G49" s="26">
        <f t="shared" si="12"/>
        <v>97162.94552041557</v>
      </c>
      <c r="H49" s="26">
        <f t="shared" si="12"/>
        <v>107019.84783670977</v>
      </c>
      <c r="I49" s="26">
        <f t="shared" si="12"/>
        <v>95184.55034215299</v>
      </c>
      <c r="J49" s="26">
        <f t="shared" si="12"/>
        <v>98262.08851792382</v>
      </c>
      <c r="K49" s="26">
        <f t="shared" si="12"/>
        <v>103292.55637210114</v>
      </c>
      <c r="L49" s="26">
        <f t="shared" si="12"/>
        <v>89272.01442842856</v>
      </c>
      <c r="M49" s="26">
        <f t="shared" si="12"/>
        <v>76798.09352691927</v>
      </c>
      <c r="N49" s="26">
        <f t="shared" si="12"/>
        <v>144389.74031873778</v>
      </c>
      <c r="O49" s="26">
        <f t="shared" si="12"/>
        <v>118884.49674395984</v>
      </c>
      <c r="P49" s="26">
        <f t="shared" si="12"/>
        <v>109697.61543445602</v>
      </c>
      <c r="Q49" s="26">
        <f t="shared" si="12"/>
        <v>97988.00219482397</v>
      </c>
      <c r="R49" s="26">
        <f t="shared" si="12"/>
        <v>81175.35541335805</v>
      </c>
      <c r="S49" s="26">
        <f t="shared" si="12"/>
        <v>89175.35219675023</v>
      </c>
      <c r="T49" s="26">
        <f t="shared" si="12"/>
        <v>85721.13336298909</v>
      </c>
      <c r="U49" s="26">
        <f t="shared" si="12"/>
        <v>93709.63934411337</v>
      </c>
      <c r="V49" s="26">
        <f t="shared" si="12"/>
        <v>96704.65324610395</v>
      </c>
      <c r="W49" s="26">
        <f t="shared" si="12"/>
        <v>100623.60290472054</v>
      </c>
      <c r="X49" s="26">
        <f t="shared" si="12"/>
        <v>106293.8727921814</v>
      </c>
      <c r="Y49" s="26">
        <f t="shared" si="12"/>
        <v>131941.7148434162</v>
      </c>
      <c r="Z49" s="26">
        <f t="shared" si="12"/>
        <v>62423.248511610895</v>
      </c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</sheetData>
  <sheetProtection/>
  <mergeCells count="12">
    <mergeCell ref="L40:W40"/>
    <mergeCell ref="X17:Z17"/>
    <mergeCell ref="X28:Z28"/>
    <mergeCell ref="X40:Z40"/>
    <mergeCell ref="B40:K40"/>
    <mergeCell ref="F6:G6"/>
    <mergeCell ref="B6:C6"/>
    <mergeCell ref="D6:E6"/>
    <mergeCell ref="B17:K17"/>
    <mergeCell ref="B28:K28"/>
    <mergeCell ref="L17:W17"/>
    <mergeCell ref="L28:W28"/>
  </mergeCells>
  <printOptions/>
  <pageMargins left="0.75" right="0.75" top="1" bottom="1" header="0.5" footer="0.5"/>
  <pageSetup fitToHeight="1" fitToWidth="1" horizontalDpi="600" verticalDpi="600" orientation="landscape" scale="3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5"/>
  <sheetViews>
    <sheetView zoomScale="70" zoomScaleNormal="70" zoomScalePageLayoutView="0" workbookViewId="0" topLeftCell="A1">
      <selection activeCell="O23" sqref="O23"/>
    </sheetView>
  </sheetViews>
  <sheetFormatPr defaultColWidth="21.28125" defaultRowHeight="15"/>
  <cols>
    <col min="1" max="1" width="34.421875" style="30" customWidth="1"/>
    <col min="2" max="2" width="14.421875" style="30" bestFit="1" customWidth="1"/>
    <col min="3" max="3" width="18.00390625" style="30" bestFit="1" customWidth="1"/>
    <col min="4" max="4" width="14.421875" style="30" bestFit="1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2" width="14.421875" style="30" bestFit="1" customWidth="1"/>
    <col min="13" max="13" width="14.00390625" style="30" bestFit="1" customWidth="1"/>
    <col min="14" max="14" width="14.00390625" style="30" customWidth="1"/>
    <col min="15" max="254" width="9.140625" style="30" customWidth="1"/>
    <col min="255" max="16384" width="21.28125" style="30" customWidth="1"/>
  </cols>
  <sheetData>
    <row r="1" spans="1:13" ht="21">
      <c r="A1" s="25" t="s">
        <v>57</v>
      </c>
      <c r="B1"/>
      <c r="C1"/>
      <c r="D1"/>
      <c r="E1"/>
      <c r="F1"/>
      <c r="G1"/>
      <c r="H1"/>
      <c r="I1"/>
      <c r="J1"/>
      <c r="K1"/>
      <c r="L1"/>
      <c r="M1"/>
    </row>
    <row r="2" spans="1:13" ht="14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2" t="s">
        <v>38</v>
      </c>
      <c r="B3" s="34" t="s">
        <v>108</v>
      </c>
      <c r="C3"/>
      <c r="D3"/>
      <c r="E3"/>
      <c r="F3"/>
      <c r="G3"/>
      <c r="H3"/>
      <c r="I3"/>
      <c r="J3"/>
      <c r="K3"/>
      <c r="L3"/>
      <c r="M3"/>
    </row>
    <row r="4" spans="1:13" ht="14.25">
      <c r="A4" s="2" t="s">
        <v>63</v>
      </c>
      <c r="B4" s="34" t="s">
        <v>35</v>
      </c>
      <c r="C4"/>
      <c r="D4"/>
      <c r="E4"/>
      <c r="F4"/>
      <c r="G4"/>
      <c r="H4"/>
      <c r="I4"/>
      <c r="J4"/>
      <c r="K4"/>
      <c r="L4"/>
      <c r="M4"/>
    </row>
    <row r="5" spans="1:13" ht="14.2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4.25">
      <c r="A6" s="2"/>
      <c r="B6" s="69" t="s">
        <v>40</v>
      </c>
      <c r="C6" s="69"/>
      <c r="D6" s="69" t="s">
        <v>43</v>
      </c>
      <c r="E6" s="69"/>
      <c r="F6"/>
      <c r="G6"/>
      <c r="H6"/>
      <c r="I6"/>
      <c r="J6"/>
      <c r="K6"/>
      <c r="L6"/>
      <c r="M6"/>
    </row>
    <row r="7" spans="1:13" ht="14.25">
      <c r="A7" s="2" t="s">
        <v>39</v>
      </c>
      <c r="B7" s="23" t="s">
        <v>41</v>
      </c>
      <c r="C7" s="23" t="s">
        <v>42</v>
      </c>
      <c r="D7" s="23" t="s">
        <v>41</v>
      </c>
      <c r="E7" s="23" t="s">
        <v>42</v>
      </c>
      <c r="F7"/>
      <c r="G7"/>
      <c r="H7"/>
      <c r="I7"/>
      <c r="J7"/>
      <c r="K7"/>
      <c r="L7"/>
      <c r="M7"/>
    </row>
    <row r="8" spans="1:13" ht="14.25">
      <c r="A8" t="str">
        <f>'App 32 - Mar02 to Feb04 Revenue'!A19</f>
        <v>Residential</v>
      </c>
      <c r="B8" s="8">
        <v>11.29</v>
      </c>
      <c r="C8" s="24">
        <v>0.012254460016717806</v>
      </c>
      <c r="D8" s="8">
        <v>0</v>
      </c>
      <c r="E8" s="49">
        <v>0.0028932917582176368</v>
      </c>
      <c r="F8"/>
      <c r="G8"/>
      <c r="H8"/>
      <c r="I8"/>
      <c r="J8"/>
      <c r="K8"/>
      <c r="L8"/>
      <c r="M8"/>
    </row>
    <row r="9" spans="1:13" ht="14.25">
      <c r="A9" t="str">
        <f>'App 32 - Mar02 to Feb04 Revenue'!A20</f>
        <v>General Service &lt; 50 kW</v>
      </c>
      <c r="B9" s="8">
        <v>20.77</v>
      </c>
      <c r="C9" s="24">
        <v>0.008632726759027353</v>
      </c>
      <c r="D9" s="8">
        <v>0</v>
      </c>
      <c r="E9" s="49">
        <v>0.0020404033002767974</v>
      </c>
      <c r="F9"/>
      <c r="G9"/>
      <c r="H9"/>
      <c r="I9"/>
      <c r="J9"/>
      <c r="K9"/>
      <c r="L9"/>
      <c r="M9"/>
    </row>
    <row r="10" spans="1:13" ht="14.25">
      <c r="A10" t="str">
        <f>'App 32 - Mar02 to Feb04 Revenue'!A21</f>
        <v>General Service &gt; 50 kW</v>
      </c>
      <c r="B10" s="8">
        <v>254.84</v>
      </c>
      <c r="C10" s="24">
        <v>2.473143057925737</v>
      </c>
      <c r="D10" s="8">
        <v>0</v>
      </c>
      <c r="E10" s="49">
        <v>0.42574599051626083</v>
      </c>
      <c r="F10"/>
      <c r="G10"/>
      <c r="H10"/>
      <c r="I10"/>
      <c r="J10"/>
      <c r="K10"/>
      <c r="L10"/>
      <c r="M10"/>
    </row>
    <row r="11" spans="1:13" ht="14.25">
      <c r="A11" t="str">
        <f>'App 32 - Mar02 to Feb04 Revenue'!A22</f>
        <v>General Service &gt; 50 kW - TOU</v>
      </c>
      <c r="B11" s="8">
        <v>46.6</v>
      </c>
      <c r="C11" s="24">
        <v>0.9415244623978667</v>
      </c>
      <c r="D11" s="8">
        <v>0</v>
      </c>
      <c r="E11" s="49">
        <v>0.022800318618746707</v>
      </c>
      <c r="F11"/>
      <c r="G11"/>
      <c r="H11"/>
      <c r="I11"/>
      <c r="J11"/>
      <c r="K11"/>
      <c r="L11"/>
      <c r="M11"/>
    </row>
    <row r="12" spans="1:13" ht="14.25">
      <c r="A12" t="str">
        <f>'App 32 - Mar02 to Feb04 Revenue'!A23</f>
        <v>Sentinel Lights</v>
      </c>
      <c r="B12" s="8">
        <v>1.46</v>
      </c>
      <c r="C12" s="24">
        <v>5.902040942458748</v>
      </c>
      <c r="D12" s="8">
        <v>0</v>
      </c>
      <c r="E12" s="49">
        <v>1.0712157068287853</v>
      </c>
      <c r="F12"/>
      <c r="G12"/>
      <c r="H12"/>
      <c r="I12"/>
      <c r="J12"/>
      <c r="K12"/>
      <c r="L12"/>
      <c r="M12"/>
    </row>
    <row r="13" spans="1:13" ht="14.25">
      <c r="A13" t="str">
        <f>'App 32 - Mar02 to Feb04 Revenue'!A24</f>
        <v>Street Lights</v>
      </c>
      <c r="B13" s="8">
        <v>2.05</v>
      </c>
      <c r="C13" s="24">
        <v>1.6678633828068778</v>
      </c>
      <c r="D13" s="8">
        <v>0</v>
      </c>
      <c r="E13" s="49">
        <v>0.9252461820893327</v>
      </c>
      <c r="F13"/>
      <c r="G13"/>
      <c r="H13"/>
      <c r="I13"/>
      <c r="J13"/>
      <c r="K13"/>
      <c r="L13"/>
      <c r="M13"/>
    </row>
    <row r="14" spans="1:13" ht="14.25">
      <c r="A14" t="str">
        <f>'App 32 - Mar02 to Feb04 Revenue'!A25</f>
        <v>Unmetered Scattered Load</v>
      </c>
      <c r="B14" s="8">
        <v>4.73</v>
      </c>
      <c r="C14" s="24">
        <v>0.042803002926235637</v>
      </c>
      <c r="D14" s="8">
        <v>0</v>
      </c>
      <c r="E14" s="49">
        <v>0.007773063719287658</v>
      </c>
      <c r="F14"/>
      <c r="G14"/>
      <c r="H14"/>
      <c r="I14"/>
      <c r="J14"/>
      <c r="K14"/>
      <c r="L14"/>
      <c r="M14"/>
    </row>
    <row r="15" spans="1:13" ht="14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1">
      <c r="A16" s="25" t="s">
        <v>64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4" s="32" customFormat="1" ht="18">
      <c r="A17" s="1"/>
      <c r="B17" s="70">
        <v>2004</v>
      </c>
      <c r="C17" s="70"/>
      <c r="D17" s="70"/>
      <c r="E17" s="70"/>
      <c r="F17" s="70"/>
      <c r="G17" s="70"/>
      <c r="H17" s="70"/>
      <c r="I17" s="70"/>
      <c r="J17" s="70"/>
      <c r="K17" s="70"/>
      <c r="L17" s="71">
        <v>2005</v>
      </c>
      <c r="M17" s="71"/>
      <c r="N17" s="71"/>
    </row>
    <row r="18" spans="1:14" s="32" customFormat="1" ht="14.25">
      <c r="A18" s="23" t="str">
        <f aca="true" t="shared" si="0" ref="A18:A25">A7</f>
        <v>Rate Class</v>
      </c>
      <c r="B18" s="1" t="s">
        <v>99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32" t="s">
        <v>99</v>
      </c>
    </row>
    <row r="19" spans="1:14" ht="14.25">
      <c r="A19" t="str">
        <f t="shared" si="0"/>
        <v>Residential</v>
      </c>
      <c r="B19" s="26">
        <f>'App 32 - Mar02 to Feb04 Revenue'!Z30</f>
        <v>27497554.4021</v>
      </c>
      <c r="C19" s="26">
        <v>17485479.3219</v>
      </c>
      <c r="D19" s="26">
        <v>18087403.7641</v>
      </c>
      <c r="E19" s="26">
        <v>14938207.549800001</v>
      </c>
      <c r="F19" s="26">
        <v>11776752.2465</v>
      </c>
      <c r="G19" s="26">
        <v>13609704.0698</v>
      </c>
      <c r="H19" s="26">
        <v>12512302.3069</v>
      </c>
      <c r="I19" s="26">
        <v>12555043.7465</v>
      </c>
      <c r="J19" s="26">
        <v>12422755.3695</v>
      </c>
      <c r="K19" s="26">
        <v>17124945.888800003</v>
      </c>
      <c r="L19" s="26">
        <v>20553884.340000004</v>
      </c>
      <c r="M19" s="26">
        <v>26151886.257999998</v>
      </c>
      <c r="N19" s="26">
        <v>13654951.766800001</v>
      </c>
    </row>
    <row r="20" spans="1:14" ht="14.25">
      <c r="A20" t="str">
        <f t="shared" si="0"/>
        <v>General Service &lt; 50 kW</v>
      </c>
      <c r="B20" s="26">
        <f>'App 32 - Mar02 to Feb04 Revenue'!Z31</f>
        <v>8687862.718600001</v>
      </c>
      <c r="C20" s="26">
        <v>5812442.034599999</v>
      </c>
      <c r="D20" s="26">
        <v>6229691.8897</v>
      </c>
      <c r="E20" s="26">
        <v>5868243.7518</v>
      </c>
      <c r="F20" s="26">
        <v>5272291.690300001</v>
      </c>
      <c r="G20" s="26">
        <v>5335181.242</v>
      </c>
      <c r="H20" s="26">
        <v>5687877.1144</v>
      </c>
      <c r="I20" s="26">
        <v>6489773.6043</v>
      </c>
      <c r="J20" s="26">
        <v>4717323.2592</v>
      </c>
      <c r="K20" s="26">
        <v>6301737.3279</v>
      </c>
      <c r="L20" s="26">
        <v>6434086.0622</v>
      </c>
      <c r="M20" s="26">
        <v>7711054.8693</v>
      </c>
      <c r="N20" s="26">
        <v>6242636.9421999995</v>
      </c>
    </row>
    <row r="21" spans="1:14" ht="14.25">
      <c r="A21" t="str">
        <f t="shared" si="0"/>
        <v>General Service &gt; 50 kW</v>
      </c>
      <c r="B21" s="26">
        <f>'App 32 - Mar02 to Feb04 Revenue'!Z32</f>
        <v>34973.7186</v>
      </c>
      <c r="C21" s="26">
        <v>34052.3028</v>
      </c>
      <c r="D21" s="26">
        <v>31614.771099999998</v>
      </c>
      <c r="E21" s="26">
        <v>31392.530600000002</v>
      </c>
      <c r="F21" s="26">
        <v>30093.2967</v>
      </c>
      <c r="G21" s="26">
        <v>27833.753699999997</v>
      </c>
      <c r="H21" s="26">
        <v>24082.183</v>
      </c>
      <c r="I21" s="26">
        <v>30468.029899999998</v>
      </c>
      <c r="J21" s="26">
        <v>24317.7742</v>
      </c>
      <c r="K21" s="26">
        <v>22789.014000000003</v>
      </c>
      <c r="L21" s="26">
        <v>32419.083999999995</v>
      </c>
      <c r="M21" s="26">
        <v>27910.608</v>
      </c>
      <c r="N21" s="26">
        <v>24040.586000000003</v>
      </c>
    </row>
    <row r="22" spans="1:14" ht="14.25">
      <c r="A22" t="str">
        <f t="shared" si="0"/>
        <v>General Service &gt; 50 kW - TOU</v>
      </c>
      <c r="B22" s="26">
        <f>'App 32 - Mar02 to Feb04 Revenue'!Z33</f>
        <v>441.6</v>
      </c>
      <c r="C22" s="26">
        <v>446.6</v>
      </c>
      <c r="D22" s="26">
        <v>440.4</v>
      </c>
      <c r="E22" s="26">
        <v>445.1</v>
      </c>
      <c r="F22" s="26">
        <v>457</v>
      </c>
      <c r="G22" s="26">
        <v>451.2</v>
      </c>
      <c r="H22" s="26">
        <v>427.8</v>
      </c>
      <c r="I22" s="26">
        <v>426.2</v>
      </c>
      <c r="J22" s="26">
        <v>430.1</v>
      </c>
      <c r="K22" s="26">
        <v>458.1</v>
      </c>
      <c r="L22" s="26">
        <v>428.9</v>
      </c>
      <c r="M22" s="26">
        <v>415.9</v>
      </c>
      <c r="N22" s="26">
        <v>430.1</v>
      </c>
    </row>
    <row r="23" spans="1:14" ht="14.25">
      <c r="A23" t="str">
        <f t="shared" si="0"/>
        <v>Sentinel Lights</v>
      </c>
      <c r="B23" s="26">
        <f>'App 32 - Mar02 to Feb04 Revenue'!Z34</f>
        <v>2.74</v>
      </c>
      <c r="C23" s="26">
        <v>2.74</v>
      </c>
      <c r="D23" s="26">
        <v>2.74</v>
      </c>
      <c r="E23" s="26">
        <v>2.74</v>
      </c>
      <c r="F23" s="26">
        <v>2.74</v>
      </c>
      <c r="G23" s="26">
        <v>2.74</v>
      </c>
      <c r="H23" s="26">
        <v>2.74</v>
      </c>
      <c r="I23" s="26">
        <v>2.74</v>
      </c>
      <c r="J23" s="26">
        <v>2.74</v>
      </c>
      <c r="K23" s="26">
        <v>2.74</v>
      </c>
      <c r="L23" s="26">
        <v>2.74</v>
      </c>
      <c r="M23" s="26">
        <v>2.74</v>
      </c>
      <c r="N23" s="26">
        <v>2.74</v>
      </c>
    </row>
    <row r="24" spans="1:14" ht="14.25">
      <c r="A24" t="str">
        <f t="shared" si="0"/>
        <v>Street Lights</v>
      </c>
      <c r="B24" s="26">
        <f>'App 32 - Mar02 to Feb04 Revenue'!Z35</f>
        <v>1131.395</v>
      </c>
      <c r="C24" s="26">
        <v>1464.195</v>
      </c>
      <c r="D24" s="26">
        <v>1132.295</v>
      </c>
      <c r="E24" s="26">
        <v>1250.32</v>
      </c>
      <c r="F24" s="26">
        <v>1132.295</v>
      </c>
      <c r="G24" s="26">
        <v>1132.295</v>
      </c>
      <c r="H24" s="26">
        <v>0</v>
      </c>
      <c r="I24" s="26">
        <v>2264.59</v>
      </c>
      <c r="J24" s="26">
        <v>1132.295</v>
      </c>
      <c r="K24" s="26">
        <v>1354.466</v>
      </c>
      <c r="L24" s="26">
        <v>1365.265</v>
      </c>
      <c r="M24" s="26">
        <v>1132.295</v>
      </c>
      <c r="N24" s="26">
        <v>1154.458</v>
      </c>
    </row>
    <row r="25" spans="1:14" ht="14.25">
      <c r="A25" t="str">
        <f t="shared" si="0"/>
        <v>Unmetered Scattered Load</v>
      </c>
      <c r="B25" s="26">
        <f>'App 32 - Mar02 to Feb04 Revenue'!Z36</f>
        <v>62118.9041096</v>
      </c>
      <c r="C25" s="26">
        <v>43272.920753599996</v>
      </c>
      <c r="D25" s="26">
        <v>47091.6493153</v>
      </c>
      <c r="E25" s="26">
        <v>46167.7808221</v>
      </c>
      <c r="F25" s="26">
        <v>45660.5260275</v>
      </c>
      <c r="G25" s="26">
        <v>39778.5205482</v>
      </c>
      <c r="H25" s="26">
        <v>41484.361643899996</v>
      </c>
      <c r="I25" s="26">
        <v>58621.4465754</v>
      </c>
      <c r="J25" s="26">
        <v>41843.8684934</v>
      </c>
      <c r="K25" s="26">
        <v>45273.2054591</v>
      </c>
      <c r="L25" s="26">
        <v>49848.789041200005</v>
      </c>
      <c r="M25" s="26">
        <v>49510.684931899996</v>
      </c>
      <c r="N25" s="26">
        <v>50863.6145557</v>
      </c>
    </row>
    <row r="26" spans="1:14" ht="14.25">
      <c r="A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21">
      <c r="A27" s="25" t="s">
        <v>56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3" ht="14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4" ht="18">
      <c r="A29"/>
      <c r="B29" s="70">
        <v>2004</v>
      </c>
      <c r="C29" s="70"/>
      <c r="D29" s="70"/>
      <c r="E29" s="70"/>
      <c r="F29" s="70"/>
      <c r="G29" s="70"/>
      <c r="H29" s="70"/>
      <c r="I29" s="70"/>
      <c r="J29" s="70"/>
      <c r="K29" s="70"/>
      <c r="L29" s="71">
        <v>2005</v>
      </c>
      <c r="M29" s="71"/>
      <c r="N29" s="71"/>
    </row>
    <row r="30" spans="1:14" s="32" customFormat="1" ht="14.25">
      <c r="A30" s="23" t="str">
        <f aca="true" t="shared" si="1" ref="A30:A37">A18</f>
        <v>Rate Class</v>
      </c>
      <c r="B30" s="1" t="s">
        <v>99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47</v>
      </c>
      <c r="H30" s="1" t="s">
        <v>48</v>
      </c>
      <c r="I30" s="1" t="s">
        <v>49</v>
      </c>
      <c r="J30" s="1" t="s">
        <v>50</v>
      </c>
      <c r="K30" s="1" t="s">
        <v>51</v>
      </c>
      <c r="L30" s="1" t="s">
        <v>52</v>
      </c>
      <c r="M30" s="1" t="s">
        <v>53</v>
      </c>
      <c r="N30" s="32" t="s">
        <v>99</v>
      </c>
    </row>
    <row r="31" spans="1:14" ht="14.25">
      <c r="A31" s="45" t="str">
        <f t="shared" si="1"/>
        <v>Residential</v>
      </c>
      <c r="B31" s="26">
        <f aca="true" t="shared" si="2" ref="B31:B37">(B19*$E8)*0.5</f>
        <v>39779.223761368514</v>
      </c>
      <c r="C31" s="26">
        <f aca="true" t="shared" si="3" ref="C31:M31">(C19*$E8)</f>
        <v>50590.59321053818</v>
      </c>
      <c r="D31" s="26">
        <f t="shared" si="3"/>
        <v>52332.13623822519</v>
      </c>
      <c r="E31" s="26">
        <f t="shared" si="3"/>
        <v>43220.59278638082</v>
      </c>
      <c r="F31" s="26">
        <f t="shared" si="3"/>
        <v>34073.58021336949</v>
      </c>
      <c r="G31" s="26">
        <f t="shared" si="3"/>
        <v>39376.84461693337</v>
      </c>
      <c r="H31" s="26">
        <f t="shared" si="3"/>
        <v>36201.74114088129</v>
      </c>
      <c r="I31" s="26">
        <f t="shared" si="3"/>
        <v>36325.40459581033</v>
      </c>
      <c r="J31" s="26">
        <f t="shared" si="3"/>
        <v>35942.65572492824</v>
      </c>
      <c r="K31" s="26">
        <f t="shared" si="3"/>
        <v>49547.46479998805</v>
      </c>
      <c r="L31" s="26">
        <f t="shared" si="3"/>
        <v>59468.38416028056</v>
      </c>
      <c r="M31" s="26">
        <f t="shared" si="3"/>
        <v>75665.03697211646</v>
      </c>
      <c r="N31" s="26">
        <f aca="true" t="shared" si="4" ref="N31:N37">(N19*$E8)*0.5</f>
        <v>19753.8797028709</v>
      </c>
    </row>
    <row r="32" spans="1:14" ht="14.25">
      <c r="A32" s="45" t="str">
        <f t="shared" si="1"/>
        <v>General Service &lt; 50 kW</v>
      </c>
      <c r="B32" s="26">
        <f t="shared" si="2"/>
        <v>8863.371881691595</v>
      </c>
      <c r="C32" s="26">
        <f aca="true" t="shared" si="5" ref="C32:M32">(C20*$E9)</f>
        <v>11859.725910065421</v>
      </c>
      <c r="D32" s="26">
        <f t="shared" si="5"/>
        <v>12711.083891451479</v>
      </c>
      <c r="E32" s="26">
        <f t="shared" si="5"/>
        <v>11973.583918001415</v>
      </c>
      <c r="F32" s="26">
        <f t="shared" si="5"/>
        <v>10757.601364910057</v>
      </c>
      <c r="G32" s="26">
        <f t="shared" si="5"/>
        <v>10885.921413751663</v>
      </c>
      <c r="H32" s="26">
        <f t="shared" si="5"/>
        <v>11605.563235790629</v>
      </c>
      <c r="I32" s="26">
        <f t="shared" si="5"/>
        <v>13241.755480262966</v>
      </c>
      <c r="J32" s="26">
        <f t="shared" si="5"/>
        <v>9625.241946544178</v>
      </c>
      <c r="K32" s="26">
        <f t="shared" si="5"/>
        <v>12858.085641324647</v>
      </c>
      <c r="L32" s="26">
        <f t="shared" si="5"/>
        <v>13128.130435577823</v>
      </c>
      <c r="M32" s="26">
        <f t="shared" si="5"/>
        <v>15733.66180393519</v>
      </c>
      <c r="N32" s="26">
        <f t="shared" si="4"/>
        <v>6368.748509647367</v>
      </c>
    </row>
    <row r="33" spans="1:14" ht="14.25">
      <c r="A33" s="45" t="str">
        <f t="shared" si="1"/>
        <v>General Service &gt; 50 kW</v>
      </c>
      <c r="B33" s="26">
        <f t="shared" si="2"/>
        <v>7444.960233696987</v>
      </c>
      <c r="C33" s="26">
        <f aca="true" t="shared" si="6" ref="C33:M33">(C21*$E10)</f>
        <v>14497.631384945642</v>
      </c>
      <c r="D33" s="26">
        <f t="shared" si="6"/>
        <v>13459.862036914355</v>
      </c>
      <c r="E33" s="26">
        <f t="shared" si="6"/>
        <v>13365.244035109028</v>
      </c>
      <c r="F33" s="26">
        <f t="shared" si="6"/>
        <v>12812.100411441223</v>
      </c>
      <c r="G33" s="26">
        <f t="shared" si="6"/>
        <v>11850.10903879214</v>
      </c>
      <c r="H33" s="26">
        <f t="shared" si="6"/>
        <v>10252.892855128859</v>
      </c>
      <c r="I33" s="26">
        <f t="shared" si="6"/>
        <v>12971.641568854551</v>
      </c>
      <c r="J33" s="26">
        <f t="shared" si="6"/>
        <v>10353.194863929772</v>
      </c>
      <c r="K33" s="26">
        <f t="shared" si="6"/>
        <v>9702.331338318936</v>
      </c>
      <c r="L33" s="26">
        <f t="shared" si="6"/>
        <v>13802.295029209861</v>
      </c>
      <c r="M33" s="26">
        <f t="shared" si="6"/>
        <v>11882.829448871074</v>
      </c>
      <c r="N33" s="26">
        <f t="shared" si="4"/>
        <v>5117.591549580677</v>
      </c>
    </row>
    <row r="34" spans="1:14" ht="14.25">
      <c r="A34" s="45" t="str">
        <f t="shared" si="1"/>
        <v>General Service &gt; 50 kW - TOU</v>
      </c>
      <c r="B34" s="26">
        <f t="shared" si="2"/>
        <v>5.034310351019273</v>
      </c>
      <c r="C34" s="26">
        <f aca="true" t="shared" si="7" ref="C34:M34">(C22*$E11)</f>
        <v>10.18262229513228</v>
      </c>
      <c r="D34" s="26">
        <f t="shared" si="7"/>
        <v>10.041260319696049</v>
      </c>
      <c r="E34" s="26">
        <f t="shared" si="7"/>
        <v>10.14842181720416</v>
      </c>
      <c r="F34" s="26">
        <f t="shared" si="7"/>
        <v>10.419745608767245</v>
      </c>
      <c r="G34" s="26">
        <f t="shared" si="7"/>
        <v>10.287503760778513</v>
      </c>
      <c r="H34" s="26">
        <f t="shared" si="7"/>
        <v>9.753976305099842</v>
      </c>
      <c r="I34" s="26">
        <f t="shared" si="7"/>
        <v>9.717495795309846</v>
      </c>
      <c r="J34" s="26">
        <f t="shared" si="7"/>
        <v>9.806417037922959</v>
      </c>
      <c r="K34" s="26">
        <f t="shared" si="7"/>
        <v>10.444825959247867</v>
      </c>
      <c r="L34" s="26">
        <f t="shared" si="7"/>
        <v>9.779056655580462</v>
      </c>
      <c r="M34" s="26">
        <f t="shared" si="7"/>
        <v>9.482652513536754</v>
      </c>
      <c r="N34" s="26">
        <f t="shared" si="4"/>
        <v>4.903208518961479</v>
      </c>
    </row>
    <row r="35" spans="1:14" ht="14.25">
      <c r="A35" s="45" t="str">
        <f t="shared" si="1"/>
        <v>Sentinel Lights</v>
      </c>
      <c r="B35" s="26">
        <f t="shared" si="2"/>
        <v>1.467565518355436</v>
      </c>
      <c r="C35" s="26">
        <f aca="true" t="shared" si="8" ref="C35:M35">(C23*$E12)</f>
        <v>2.935131036710872</v>
      </c>
      <c r="D35" s="26">
        <f t="shared" si="8"/>
        <v>2.935131036710872</v>
      </c>
      <c r="E35" s="26">
        <f t="shared" si="8"/>
        <v>2.935131036710872</v>
      </c>
      <c r="F35" s="26">
        <f t="shared" si="8"/>
        <v>2.935131036710872</v>
      </c>
      <c r="G35" s="26">
        <f t="shared" si="8"/>
        <v>2.935131036710872</v>
      </c>
      <c r="H35" s="26">
        <f t="shared" si="8"/>
        <v>2.935131036710872</v>
      </c>
      <c r="I35" s="26">
        <f t="shared" si="8"/>
        <v>2.935131036710872</v>
      </c>
      <c r="J35" s="26">
        <f t="shared" si="8"/>
        <v>2.935131036710872</v>
      </c>
      <c r="K35" s="26">
        <f t="shared" si="8"/>
        <v>2.935131036710872</v>
      </c>
      <c r="L35" s="26">
        <f t="shared" si="8"/>
        <v>2.935131036710872</v>
      </c>
      <c r="M35" s="26">
        <f t="shared" si="8"/>
        <v>2.935131036710872</v>
      </c>
      <c r="N35" s="26">
        <f t="shared" si="4"/>
        <v>1.467565518355436</v>
      </c>
    </row>
    <row r="36" spans="1:14" ht="14.25">
      <c r="A36" s="45" t="str">
        <f t="shared" si="1"/>
        <v>Street Lights</v>
      </c>
      <c r="B36" s="57">
        <f t="shared" si="2"/>
        <v>523.4094520924803</v>
      </c>
      <c r="C36" s="57">
        <f aca="true" t="shared" si="9" ref="C36:M36">(C24*$E13)</f>
        <v>1354.7408335842904</v>
      </c>
      <c r="D36" s="57">
        <f t="shared" si="9"/>
        <v>1047.651625748841</v>
      </c>
      <c r="E36" s="57">
        <f t="shared" si="9"/>
        <v>1156.8538063899343</v>
      </c>
      <c r="F36" s="57">
        <f t="shared" si="9"/>
        <v>1047.651625748841</v>
      </c>
      <c r="G36" s="57">
        <f t="shared" si="9"/>
        <v>1047.651625748841</v>
      </c>
      <c r="H36" s="57">
        <f t="shared" si="9"/>
        <v>0</v>
      </c>
      <c r="I36" s="57">
        <f t="shared" si="9"/>
        <v>2095.303251497682</v>
      </c>
      <c r="J36" s="57">
        <f t="shared" si="9"/>
        <v>1047.651625748841</v>
      </c>
      <c r="K36" s="57">
        <f t="shared" si="9"/>
        <v>1253.21449526981</v>
      </c>
      <c r="L36" s="57">
        <f t="shared" si="9"/>
        <v>1263.2062287901929</v>
      </c>
      <c r="M36" s="57">
        <f t="shared" si="9"/>
        <v>1047.651625748841</v>
      </c>
      <c r="N36" s="57">
        <f t="shared" si="4"/>
        <v>534.0789284412435</v>
      </c>
    </row>
    <row r="37" spans="1:14" ht="14.25">
      <c r="A37" s="28" t="str">
        <f t="shared" si="1"/>
        <v>Unmetered Scattered Load</v>
      </c>
      <c r="B37" s="29">
        <f t="shared" si="2"/>
        <v>241.4270999081204</v>
      </c>
      <c r="C37" s="29">
        <f aca="true" t="shared" si="10" ref="C37:M37">(C25*$E14)</f>
        <v>336.36317033741807</v>
      </c>
      <c r="D37" s="29">
        <f t="shared" si="10"/>
        <v>366.0463907741759</v>
      </c>
      <c r="E37" s="29">
        <f t="shared" si="10"/>
        <v>358.86510210829005</v>
      </c>
      <c r="F37" s="29">
        <f t="shared" si="10"/>
        <v>354.9221782679501</v>
      </c>
      <c r="G37" s="29">
        <f t="shared" si="10"/>
        <v>309.20097488015205</v>
      </c>
      <c r="H37" s="29">
        <f t="shared" si="10"/>
        <v>322.46058641200756</v>
      </c>
      <c r="I37" s="29">
        <f t="shared" si="10"/>
        <v>455.66823954740147</v>
      </c>
      <c r="J37" s="29">
        <f t="shared" si="10"/>
        <v>325.25505606069146</v>
      </c>
      <c r="K37" s="29">
        <f t="shared" si="10"/>
        <v>351.91151080998617</v>
      </c>
      <c r="L37" s="29">
        <f t="shared" si="10"/>
        <v>387.477813546576</v>
      </c>
      <c r="M37" s="29">
        <f t="shared" si="10"/>
        <v>384.849708761234</v>
      </c>
      <c r="N37" s="29">
        <f t="shared" si="4"/>
        <v>197.68305846737164</v>
      </c>
    </row>
    <row r="38" spans="1:15" ht="14.25">
      <c r="A38" t="s">
        <v>13</v>
      </c>
      <c r="B38" s="26">
        <f aca="true" t="shared" si="11" ref="B38:N38">SUM(B31:B36)</f>
        <v>56617.46720471894</v>
      </c>
      <c r="C38" s="26">
        <f t="shared" si="11"/>
        <v>78315.80909246537</v>
      </c>
      <c r="D38" s="26">
        <f t="shared" si="11"/>
        <v>79563.71018369627</v>
      </c>
      <c r="E38" s="26">
        <f t="shared" si="11"/>
        <v>69729.3580987351</v>
      </c>
      <c r="F38" s="26">
        <f t="shared" si="11"/>
        <v>58704.28849211508</v>
      </c>
      <c r="G38" s="26">
        <f t="shared" si="11"/>
        <v>63173.74933002351</v>
      </c>
      <c r="H38" s="26">
        <f t="shared" si="11"/>
        <v>58072.88633914259</v>
      </c>
      <c r="I38" s="26">
        <f t="shared" si="11"/>
        <v>64646.757523257555</v>
      </c>
      <c r="J38" s="26">
        <f t="shared" si="11"/>
        <v>56981.485709225664</v>
      </c>
      <c r="K38" s="26">
        <f t="shared" si="11"/>
        <v>73374.4762318974</v>
      </c>
      <c r="L38" s="26">
        <f t="shared" si="11"/>
        <v>87674.73004155072</v>
      </c>
      <c r="M38" s="26">
        <f t="shared" si="11"/>
        <v>104341.5976342218</v>
      </c>
      <c r="N38" s="26">
        <f t="shared" si="11"/>
        <v>31780.669464577506</v>
      </c>
      <c r="O38" s="35"/>
    </row>
    <row r="39" spans="2:11" ht="12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2:11" ht="12.75"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2:11" ht="12.75"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</sheetData>
  <sheetProtection/>
  <mergeCells count="6">
    <mergeCell ref="B6:C6"/>
    <mergeCell ref="D6:E6"/>
    <mergeCell ref="L17:N17"/>
    <mergeCell ref="L29:N29"/>
    <mergeCell ref="B17:K17"/>
    <mergeCell ref="B29:K29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2.7109375" style="0" bestFit="1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2.14062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5" t="s">
        <v>37</v>
      </c>
    </row>
    <row r="3" spans="1:2" ht="14.25">
      <c r="A3" s="2" t="s">
        <v>38</v>
      </c>
      <c r="B3" s="34" t="s">
        <v>34</v>
      </c>
    </row>
    <row r="4" spans="1:2" ht="14.25">
      <c r="A4" s="2" t="s">
        <v>63</v>
      </c>
      <c r="B4" s="34" t="s">
        <v>36</v>
      </c>
    </row>
    <row r="6" spans="1:5" ht="14.25">
      <c r="A6" s="2"/>
      <c r="B6" s="69" t="s">
        <v>40</v>
      </c>
      <c r="C6" s="69"/>
      <c r="D6" s="69" t="s">
        <v>43</v>
      </c>
      <c r="E6" s="69"/>
    </row>
    <row r="7" spans="1:5" ht="14.25">
      <c r="A7" s="2" t="s">
        <v>39</v>
      </c>
      <c r="B7" s="3" t="s">
        <v>41</v>
      </c>
      <c r="C7" s="3" t="s">
        <v>42</v>
      </c>
      <c r="D7" s="3" t="s">
        <v>41</v>
      </c>
      <c r="E7" s="3" t="s">
        <v>42</v>
      </c>
    </row>
    <row r="8" spans="1:5" ht="14.25">
      <c r="A8" t="str">
        <f>'App 33 - Mar04 to Feb05 Revenue'!A8</f>
        <v>Residential</v>
      </c>
      <c r="B8" s="8">
        <v>10.4690285849744</v>
      </c>
      <c r="C8" s="24">
        <v>0.01642167853690876</v>
      </c>
      <c r="D8" s="8">
        <v>0</v>
      </c>
      <c r="E8" s="24">
        <v>0.003228672386119861</v>
      </c>
    </row>
    <row r="9" spans="1:5" ht="14.25">
      <c r="A9" t="str">
        <f>'App 33 - Mar04 to Feb05 Revenue'!A9</f>
        <v>General Service &lt; 50 kW</v>
      </c>
      <c r="B9" s="51">
        <v>19.261975881298206</v>
      </c>
      <c r="C9" s="24">
        <v>0.011245745042148024</v>
      </c>
      <c r="D9" s="8">
        <v>0</v>
      </c>
      <c r="E9" s="24">
        <v>0.00215489730311825</v>
      </c>
    </row>
    <row r="10" spans="1:5" ht="14.25">
      <c r="A10" t="str">
        <f>'App 33 - Mar04 to Feb05 Revenue'!A10</f>
        <v>General Service &gt; 50 kW</v>
      </c>
      <c r="B10" s="8">
        <v>236.28938027731365</v>
      </c>
      <c r="C10" s="24">
        <v>2.9813533467080404</v>
      </c>
      <c r="D10" s="8">
        <v>0</v>
      </c>
      <c r="E10" s="24">
        <v>0.4740557410012379</v>
      </c>
    </row>
    <row r="11" spans="1:5" ht="14.25">
      <c r="A11" t="str">
        <f>'App 33 - Mar04 to Feb05 Revenue'!A11</f>
        <v>General Service &gt; 50 kW - TOU</v>
      </c>
      <c r="B11" s="8">
        <v>43.208713142962445</v>
      </c>
      <c r="C11" s="24">
        <v>0.887118310129596</v>
      </c>
      <c r="D11" s="8">
        <v>0</v>
      </c>
      <c r="E11" s="24">
        <v>0.027048448355215707</v>
      </c>
    </row>
    <row r="12" spans="1:5" ht="14.25">
      <c r="A12" t="str">
        <f>'App 33 - Mar04 to Feb05 Revenue'!A12</f>
        <v>Sentinel Lights</v>
      </c>
      <c r="B12" s="8">
        <v>1.3520887900291034</v>
      </c>
      <c r="C12" s="24">
        <v>8.675301461944976</v>
      </c>
      <c r="D12" s="8">
        <v>0</v>
      </c>
      <c r="E12" s="61">
        <v>1.9906793054960967</v>
      </c>
    </row>
    <row r="13" spans="1:5" ht="14.25">
      <c r="A13" t="str">
        <f>'App 33 - Mar04 to Feb05 Revenue'!A13</f>
        <v>Street Lights</v>
      </c>
      <c r="B13" s="8">
        <v>2.006277746620529</v>
      </c>
      <c r="C13" s="24">
        <v>2.818224411780377</v>
      </c>
      <c r="D13" s="8">
        <v>0</v>
      </c>
      <c r="E13" s="24">
        <v>0.9723388315767643</v>
      </c>
    </row>
    <row r="14" spans="1:5" ht="14.25">
      <c r="A14" t="str">
        <f>'App 33 - Mar04 to Feb05 Revenue'!A14</f>
        <v>Unmetered Scattered Load</v>
      </c>
      <c r="B14" s="8">
        <v>4.383671975286502</v>
      </c>
      <c r="C14" s="24">
        <v>0.05021268609081751</v>
      </c>
      <c r="D14" s="8">
        <v>0</v>
      </c>
      <c r="E14" s="24">
        <v>0.007393884318578127</v>
      </c>
    </row>
    <row r="15" ht="14.25">
      <c r="D15" s="8"/>
    </row>
    <row r="16" ht="21">
      <c r="A16" s="25" t="s">
        <v>64</v>
      </c>
    </row>
    <row r="17" spans="2:16" ht="18">
      <c r="B17" s="70">
        <v>2005</v>
      </c>
      <c r="C17" s="70"/>
      <c r="D17" s="70"/>
      <c r="E17" s="70"/>
      <c r="F17" s="70"/>
      <c r="G17" s="70"/>
      <c r="H17" s="70"/>
      <c r="I17" s="70"/>
      <c r="J17" s="70"/>
      <c r="K17" s="70"/>
      <c r="L17" s="71">
        <v>2006</v>
      </c>
      <c r="M17" s="71"/>
      <c r="N17" s="71"/>
      <c r="O17" s="71"/>
      <c r="P17" s="71"/>
    </row>
    <row r="18" spans="1:20" ht="14.25">
      <c r="A18" s="2" t="str">
        <f aca="true" t="shared" si="0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1" t="s">
        <v>54</v>
      </c>
      <c r="O18" s="1" t="s">
        <v>55</v>
      </c>
      <c r="P18" s="1" t="s">
        <v>17</v>
      </c>
      <c r="S18" s="26"/>
      <c r="T18" s="26"/>
    </row>
    <row r="19" spans="1:20" ht="14.25">
      <c r="A19" t="str">
        <f t="shared" si="0"/>
        <v>Residential</v>
      </c>
      <c r="B19" s="26">
        <f>'App 33 - Mar04 to Feb05 Revenue'!N19</f>
        <v>13654951.766800001</v>
      </c>
      <c r="C19" s="26">
        <v>26642343.3243999</v>
      </c>
      <c r="D19" s="26">
        <v>21217325.4282</v>
      </c>
      <c r="E19" s="26">
        <v>14445965.9503</v>
      </c>
      <c r="F19" s="26">
        <v>13745807.9722</v>
      </c>
      <c r="G19" s="26">
        <v>15107330.5356</v>
      </c>
      <c r="H19" s="26">
        <v>15723571.1563</v>
      </c>
      <c r="I19" s="26">
        <v>10319693.139700001</v>
      </c>
      <c r="J19" s="26">
        <v>13307170.886400001</v>
      </c>
      <c r="K19" s="26">
        <v>16511901.028299998</v>
      </c>
      <c r="L19" s="26">
        <v>22627699.7518</v>
      </c>
      <c r="M19" s="26">
        <v>21598794.1532</v>
      </c>
      <c r="N19" s="26">
        <v>25579763.6469</v>
      </c>
      <c r="O19" s="26">
        <v>18630236.8317</v>
      </c>
      <c r="P19" s="26">
        <v>18741398.335899998</v>
      </c>
      <c r="S19" s="26"/>
      <c r="T19" s="33"/>
    </row>
    <row r="20" spans="1:20" ht="14.25">
      <c r="A20" t="str">
        <f t="shared" si="0"/>
        <v>General Service &lt; 50 kW</v>
      </c>
      <c r="B20" s="26">
        <f>'App 33 - Mar04 to Feb05 Revenue'!N20</f>
        <v>6242636.9421999995</v>
      </c>
      <c r="C20" s="26">
        <v>6401259.1033</v>
      </c>
      <c r="D20" s="26">
        <v>7419813.984970001</v>
      </c>
      <c r="E20" s="26">
        <v>6216578.4721</v>
      </c>
      <c r="F20" s="26">
        <v>4868469.5863</v>
      </c>
      <c r="G20" s="26">
        <v>6514256.342200001</v>
      </c>
      <c r="H20" s="26">
        <v>6666457.431600001</v>
      </c>
      <c r="I20" s="26">
        <v>4991498.941699999</v>
      </c>
      <c r="J20" s="26">
        <v>5116262.775300001</v>
      </c>
      <c r="K20" s="26">
        <v>5542364.135299999</v>
      </c>
      <c r="L20" s="26">
        <v>7117949.0958</v>
      </c>
      <c r="M20" s="26">
        <v>6830473.629299999</v>
      </c>
      <c r="N20" s="26">
        <v>7719447.710700001</v>
      </c>
      <c r="O20" s="26">
        <v>6257623.5539</v>
      </c>
      <c r="P20" s="26">
        <v>6207063.196699999</v>
      </c>
      <c r="S20" s="26"/>
      <c r="T20" s="33"/>
    </row>
    <row r="21" spans="1:20" ht="14.25">
      <c r="A21" t="str">
        <f t="shared" si="0"/>
        <v>General Service &gt; 50 kW</v>
      </c>
      <c r="B21" s="26">
        <f>'App 33 - Mar04 to Feb05 Revenue'!N21</f>
        <v>24040.586000000003</v>
      </c>
      <c r="C21" s="26">
        <v>20349.254</v>
      </c>
      <c r="D21" s="26">
        <v>46968.905024</v>
      </c>
      <c r="E21" s="26">
        <v>25102.919439999998</v>
      </c>
      <c r="F21" s="26">
        <v>18966.1996</v>
      </c>
      <c r="G21" s="26">
        <v>25575.50976</v>
      </c>
      <c r="H21" s="26">
        <v>22275.3508</v>
      </c>
      <c r="I21" s="26">
        <v>16851.82512</v>
      </c>
      <c r="J21" s="26">
        <v>27045.646799999995</v>
      </c>
      <c r="K21" s="26">
        <v>23749.412</v>
      </c>
      <c r="L21" s="26">
        <v>27658.562255999997</v>
      </c>
      <c r="M21" s="26">
        <v>20670.293888</v>
      </c>
      <c r="N21" s="26">
        <v>25672.510479999997</v>
      </c>
      <c r="O21" s="26">
        <v>26005.919616</v>
      </c>
      <c r="P21" s="26">
        <v>21638.425824</v>
      </c>
      <c r="S21" s="26"/>
      <c r="T21" s="33"/>
    </row>
    <row r="22" spans="1:20" ht="14.25">
      <c r="A22" t="str">
        <f t="shared" si="0"/>
        <v>General Service &gt; 50 kW - TOU</v>
      </c>
      <c r="B22" s="26">
        <f>'App 33 - Mar04 to Feb05 Revenue'!N22</f>
        <v>430.1</v>
      </c>
      <c r="C22" s="26">
        <v>408.2</v>
      </c>
      <c r="D22" s="26">
        <v>401.3</v>
      </c>
      <c r="E22" s="26">
        <v>397.4</v>
      </c>
      <c r="F22" s="26">
        <v>418.2</v>
      </c>
      <c r="G22" s="26">
        <v>411.6</v>
      </c>
      <c r="H22" s="26">
        <v>423.2</v>
      </c>
      <c r="I22" s="26">
        <v>428.5</v>
      </c>
      <c r="J22" s="26">
        <v>423.9</v>
      </c>
      <c r="K22" s="26">
        <v>417.4</v>
      </c>
      <c r="L22" s="26">
        <v>432.4</v>
      </c>
      <c r="M22" s="26">
        <v>417</v>
      </c>
      <c r="N22" s="26">
        <v>430.5</v>
      </c>
      <c r="O22" s="26">
        <v>412</v>
      </c>
      <c r="P22" s="26">
        <v>408.6</v>
      </c>
      <c r="S22" s="26"/>
      <c r="T22" s="33"/>
    </row>
    <row r="23" spans="1:20" ht="14.25">
      <c r="A23" t="str">
        <f t="shared" si="0"/>
        <v>Sentinel Lights</v>
      </c>
      <c r="B23" s="26">
        <f>'App 33 - Mar04 to Feb05 Revenue'!N23</f>
        <v>2.74</v>
      </c>
      <c r="C23" s="26">
        <v>2.74</v>
      </c>
      <c r="D23" s="26">
        <v>2.74</v>
      </c>
      <c r="E23" s="26">
        <v>2.74</v>
      </c>
      <c r="F23" s="26">
        <v>2.74</v>
      </c>
      <c r="G23" s="26">
        <v>2.74</v>
      </c>
      <c r="H23" s="26">
        <v>2.74</v>
      </c>
      <c r="I23" s="26">
        <v>2.74</v>
      </c>
      <c r="J23" s="26">
        <v>2.74</v>
      </c>
      <c r="K23" s="26">
        <v>2.74</v>
      </c>
      <c r="L23" s="26">
        <v>2.74</v>
      </c>
      <c r="M23" s="26">
        <v>2.74</v>
      </c>
      <c r="N23" s="26">
        <v>2.74</v>
      </c>
      <c r="O23" s="26">
        <v>2.74</v>
      </c>
      <c r="P23" s="26">
        <v>2.74</v>
      </c>
      <c r="S23" s="26"/>
      <c r="T23" s="33"/>
    </row>
    <row r="24" spans="1:20" ht="14.25">
      <c r="A24" t="str">
        <f t="shared" si="0"/>
        <v>Street Lights</v>
      </c>
      <c r="B24" s="26">
        <f>'App 33 - Mar04 to Feb05 Revenue'!N24</f>
        <v>1154.458</v>
      </c>
      <c r="C24" s="26">
        <v>0</v>
      </c>
      <c r="D24" s="26">
        <v>4527.2367172</v>
      </c>
      <c r="E24" s="26">
        <v>1134.8993074</v>
      </c>
      <c r="F24" s="26">
        <v>1261.5392274</v>
      </c>
      <c r="G24" s="26">
        <v>1134.9893074</v>
      </c>
      <c r="H24" s="26">
        <v>1228.749293</v>
      </c>
      <c r="I24" s="26">
        <v>1135.4993074</v>
      </c>
      <c r="J24" s="26">
        <v>1135.4993074</v>
      </c>
      <c r="K24" s="26">
        <v>1135.4993074</v>
      </c>
      <c r="L24" s="26">
        <v>1256.5243074</v>
      </c>
      <c r="M24" s="26">
        <v>1137.8033074</v>
      </c>
      <c r="N24" s="26">
        <v>1136.0033074</v>
      </c>
      <c r="O24" s="26">
        <v>1136.0033074</v>
      </c>
      <c r="P24" s="26">
        <v>1136.0033074</v>
      </c>
      <c r="S24" s="26"/>
      <c r="T24" s="33"/>
    </row>
    <row r="25" spans="1:16" ht="14.25">
      <c r="A25" t="str">
        <f t="shared" si="0"/>
        <v>Unmetered Scattered Load</v>
      </c>
      <c r="B25" s="26">
        <f>'App 33 - Mar04 to Feb05 Revenue'!N25</f>
        <v>50863.6145557</v>
      </c>
      <c r="C25" s="26">
        <v>12734.4751299</v>
      </c>
      <c r="D25" s="26">
        <v>105278.76230480001</v>
      </c>
      <c r="E25" s="26">
        <v>28078.4777819</v>
      </c>
      <c r="F25" s="26">
        <v>44480.8670693</v>
      </c>
      <c r="G25" s="26">
        <v>57652.457444499996</v>
      </c>
      <c r="H25" s="26">
        <v>53853.402749199995</v>
      </c>
      <c r="I25" s="26">
        <v>50222.843704</v>
      </c>
      <c r="J25" s="26">
        <v>39233.3764275</v>
      </c>
      <c r="K25" s="26">
        <v>46207.0075198</v>
      </c>
      <c r="L25" s="26">
        <v>48282.254245799995</v>
      </c>
      <c r="M25" s="26">
        <v>47516.1212386</v>
      </c>
      <c r="N25" s="26">
        <v>49114.3929864</v>
      </c>
      <c r="O25" s="26">
        <v>42938.1919232</v>
      </c>
      <c r="P25" s="26">
        <v>50974.7381331</v>
      </c>
    </row>
    <row r="27" ht="21">
      <c r="A27" s="25" t="s">
        <v>56</v>
      </c>
    </row>
    <row r="29" spans="2:16" ht="18">
      <c r="B29" s="70">
        <v>2005</v>
      </c>
      <c r="C29" s="70"/>
      <c r="D29" s="70"/>
      <c r="E29" s="70"/>
      <c r="F29" s="70"/>
      <c r="G29" s="70"/>
      <c r="H29" s="70"/>
      <c r="I29" s="70"/>
      <c r="J29" s="70"/>
      <c r="K29" s="70"/>
      <c r="L29" s="71">
        <v>2006</v>
      </c>
      <c r="M29" s="71"/>
      <c r="N29" s="71"/>
      <c r="O29" s="71"/>
      <c r="P29" s="71"/>
    </row>
    <row r="30" spans="1:16" ht="14.25">
      <c r="A30" s="2" t="str">
        <f aca="true" t="shared" si="1" ref="A30:A37">A18</f>
        <v>Rate Class</v>
      </c>
      <c r="B30" s="1" t="s">
        <v>9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47</v>
      </c>
      <c r="H30" s="1" t="s">
        <v>48</v>
      </c>
      <c r="I30" s="1" t="s">
        <v>49</v>
      </c>
      <c r="J30" s="1" t="s">
        <v>50</v>
      </c>
      <c r="K30" s="1" t="s">
        <v>51</v>
      </c>
      <c r="L30" s="1" t="s">
        <v>52</v>
      </c>
      <c r="M30" s="1" t="s">
        <v>53</v>
      </c>
      <c r="N30" s="1" t="s">
        <v>54</v>
      </c>
      <c r="O30" s="1" t="s">
        <v>55</v>
      </c>
      <c r="P30" s="1" t="s">
        <v>17</v>
      </c>
    </row>
    <row r="31" spans="1:16" ht="14.25">
      <c r="A31" s="45" t="str">
        <f t="shared" si="1"/>
        <v>Residential</v>
      </c>
      <c r="B31" s="26">
        <f aca="true" t="shared" si="2" ref="B31:B37">B19*$E8*0.5</f>
        <v>22043.682851632886</v>
      </c>
      <c r="C31" s="26">
        <f aca="true" t="shared" si="3" ref="C31:O31">C19*$E8</f>
        <v>86019.39819301477</v>
      </c>
      <c r="D31" s="26">
        <f t="shared" si="3"/>
        <v>68503.7927173481</v>
      </c>
      <c r="E31" s="26">
        <f t="shared" si="3"/>
        <v>46641.29135456137</v>
      </c>
      <c r="F31" s="26">
        <f t="shared" si="3"/>
        <v>44380.71062474838</v>
      </c>
      <c r="G31" s="26">
        <f t="shared" si="3"/>
        <v>48776.62092827709</v>
      </c>
      <c r="H31" s="26">
        <f t="shared" si="3"/>
        <v>50766.26000353655</v>
      </c>
      <c r="I31" s="26">
        <f t="shared" si="3"/>
        <v>33318.908273379966</v>
      </c>
      <c r="J31" s="26">
        <f t="shared" si="3"/>
        <v>42964.49517829784</v>
      </c>
      <c r="K31" s="26">
        <f t="shared" si="3"/>
        <v>53311.518892416345</v>
      </c>
      <c r="L31" s="26">
        <f t="shared" si="3"/>
        <v>73057.4293500479</v>
      </c>
      <c r="M31" s="26">
        <f t="shared" si="3"/>
        <v>69735.43025592394</v>
      </c>
      <c r="N31" s="26">
        <f t="shared" si="3"/>
        <v>82588.6765302187</v>
      </c>
      <c r="O31" s="26">
        <f t="shared" si="3"/>
        <v>60150.93120538296</v>
      </c>
      <c r="P31" s="26">
        <f aca="true" t="shared" si="4" ref="P31:P37">P19*$E8*0.5</f>
        <v>30254.91764219652</v>
      </c>
    </row>
    <row r="32" spans="1:16" ht="14.25">
      <c r="A32" s="45" t="str">
        <f t="shared" si="1"/>
        <v>General Service &lt; 50 kW</v>
      </c>
      <c r="B32" s="26">
        <f t="shared" si="2"/>
        <v>6726.120755546569</v>
      </c>
      <c r="C32" s="26">
        <f aca="true" t="shared" si="5" ref="C32:O32">C20*$E9</f>
        <v>13794.055978262317</v>
      </c>
      <c r="D32" s="26">
        <f t="shared" si="5"/>
        <v>15988.937145850929</v>
      </c>
      <c r="E32" s="26">
        <f t="shared" si="5"/>
        <v>13396.08818415126</v>
      </c>
      <c r="F32" s="26">
        <f t="shared" si="5"/>
        <v>10491.051981831091</v>
      </c>
      <c r="G32" s="26">
        <f t="shared" si="5"/>
        <v>14037.553423627736</v>
      </c>
      <c r="H32" s="26">
        <f t="shared" si="5"/>
        <v>14365.531140707457</v>
      </c>
      <c r="I32" s="26">
        <f t="shared" si="5"/>
        <v>10756.167607986927</v>
      </c>
      <c r="J32" s="26">
        <f t="shared" si="5"/>
        <v>11025.020856538264</v>
      </c>
      <c r="K32" s="26">
        <f t="shared" si="5"/>
        <v>11943.225528057279</v>
      </c>
      <c r="L32" s="26">
        <f t="shared" si="5"/>
        <v>15338.449310272406</v>
      </c>
      <c r="M32" s="26">
        <f t="shared" si="5"/>
        <v>14718.969202798893</v>
      </c>
      <c r="N32" s="26">
        <f t="shared" si="5"/>
        <v>16634.61705334978</v>
      </c>
      <c r="O32" s="26">
        <f t="shared" si="5"/>
        <v>13484.536120228347</v>
      </c>
      <c r="P32" s="26">
        <f t="shared" si="4"/>
        <v>6687.791871426686</v>
      </c>
    </row>
    <row r="33" spans="1:16" ht="14.25">
      <c r="A33" s="45" t="str">
        <f t="shared" si="1"/>
        <v>General Service &gt; 50 kW</v>
      </c>
      <c r="B33" s="26">
        <f t="shared" si="2"/>
        <v>5698.288905166994</v>
      </c>
      <c r="C33" s="26">
        <f aca="true" t="shared" si="6" ref="C33:O33">C21*$E10</f>
        <v>9646.680683792405</v>
      </c>
      <c r="D33" s="26">
        <f t="shared" si="6"/>
        <v>22265.879075169083</v>
      </c>
      <c r="E33" s="26">
        <f t="shared" si="6"/>
        <v>11900.183076423578</v>
      </c>
      <c r="F33" s="26">
        <f t="shared" si="6"/>
        <v>8991.035805355381</v>
      </c>
      <c r="G33" s="26">
        <f t="shared" si="6"/>
        <v>12124.217230761193</v>
      </c>
      <c r="H33" s="26">
        <f t="shared" si="6"/>
        <v>10559.757929556517</v>
      </c>
      <c r="I33" s="26">
        <f t="shared" si="6"/>
        <v>7988.704444484875</v>
      </c>
      <c r="J33" s="26">
        <f t="shared" si="6"/>
        <v>12821.144134631755</v>
      </c>
      <c r="K33" s="26">
        <f t="shared" si="6"/>
        <v>11258.545104003691</v>
      </c>
      <c r="L33" s="26">
        <f t="shared" si="6"/>
        <v>13111.700225296949</v>
      </c>
      <c r="M33" s="26">
        <f t="shared" si="6"/>
        <v>9798.8714857892</v>
      </c>
      <c r="N33" s="26">
        <f t="shared" si="6"/>
        <v>12170.200978958444</v>
      </c>
      <c r="O33" s="26">
        <f t="shared" si="6"/>
        <v>12328.255493981507</v>
      </c>
      <c r="P33" s="26">
        <f t="shared" si="4"/>
        <v>5128.909994048321</v>
      </c>
    </row>
    <row r="34" spans="1:16" ht="14.25">
      <c r="A34" s="45" t="str">
        <f t="shared" si="1"/>
        <v>General Service &gt; 50 kW - TOU</v>
      </c>
      <c r="B34" s="26">
        <f t="shared" si="2"/>
        <v>5.816768818789138</v>
      </c>
      <c r="C34" s="26">
        <f aca="true" t="shared" si="7" ref="C34:O34">C22*$E11</f>
        <v>11.041176618599051</v>
      </c>
      <c r="D34" s="26">
        <f t="shared" si="7"/>
        <v>10.854542324948063</v>
      </c>
      <c r="E34" s="26">
        <f t="shared" si="7"/>
        <v>10.74905337636272</v>
      </c>
      <c r="F34" s="26">
        <f t="shared" si="7"/>
        <v>11.311661102151207</v>
      </c>
      <c r="G34" s="26">
        <f t="shared" si="7"/>
        <v>11.133141343006786</v>
      </c>
      <c r="H34" s="26">
        <f t="shared" si="7"/>
        <v>11.446903343927287</v>
      </c>
      <c r="I34" s="26">
        <f t="shared" si="7"/>
        <v>11.59026012020993</v>
      </c>
      <c r="J34" s="26">
        <f t="shared" si="7"/>
        <v>11.465837257775938</v>
      </c>
      <c r="K34" s="26">
        <f t="shared" si="7"/>
        <v>11.290022343467035</v>
      </c>
      <c r="L34" s="26">
        <f t="shared" si="7"/>
        <v>11.695749068795271</v>
      </c>
      <c r="M34" s="26">
        <f t="shared" si="7"/>
        <v>11.27920296412495</v>
      </c>
      <c r="N34" s="26">
        <f t="shared" si="7"/>
        <v>11.644357016920361</v>
      </c>
      <c r="O34" s="26">
        <f t="shared" si="7"/>
        <v>11.14396072234887</v>
      </c>
      <c r="P34" s="26">
        <f t="shared" si="4"/>
        <v>5.52599799897057</v>
      </c>
    </row>
    <row r="35" spans="1:16" ht="14.25">
      <c r="A35" s="45" t="str">
        <f t="shared" si="1"/>
        <v>Sentinel Lights</v>
      </c>
      <c r="B35" s="26">
        <f t="shared" si="2"/>
        <v>2.7272306485296527</v>
      </c>
      <c r="C35" s="26">
        <f aca="true" t="shared" si="8" ref="C35:O35">C23*$E12</f>
        <v>5.454461297059305</v>
      </c>
      <c r="D35" s="26">
        <f t="shared" si="8"/>
        <v>5.454461297059305</v>
      </c>
      <c r="E35" s="26">
        <f t="shared" si="8"/>
        <v>5.454461297059305</v>
      </c>
      <c r="F35" s="26">
        <f t="shared" si="8"/>
        <v>5.454461297059305</v>
      </c>
      <c r="G35" s="26">
        <f t="shared" si="8"/>
        <v>5.454461297059305</v>
      </c>
      <c r="H35" s="26">
        <f t="shared" si="8"/>
        <v>5.454461297059305</v>
      </c>
      <c r="I35" s="26">
        <f t="shared" si="8"/>
        <v>5.454461297059305</v>
      </c>
      <c r="J35" s="26">
        <f t="shared" si="8"/>
        <v>5.454461297059305</v>
      </c>
      <c r="K35" s="26">
        <f t="shared" si="8"/>
        <v>5.454461297059305</v>
      </c>
      <c r="L35" s="26">
        <f t="shared" si="8"/>
        <v>5.454461297059305</v>
      </c>
      <c r="M35" s="26">
        <f t="shared" si="8"/>
        <v>5.454461297059305</v>
      </c>
      <c r="N35" s="26">
        <f t="shared" si="8"/>
        <v>5.454461297059305</v>
      </c>
      <c r="O35" s="26">
        <f t="shared" si="8"/>
        <v>5.454461297059305</v>
      </c>
      <c r="P35" s="26">
        <f t="shared" si="4"/>
        <v>2.7272306485296527</v>
      </c>
    </row>
    <row r="36" spans="1:16" ht="14.25">
      <c r="A36" s="45" t="str">
        <f t="shared" si="1"/>
        <v>Street Lights</v>
      </c>
      <c r="B36" s="57">
        <f t="shared" si="2"/>
        <v>561.2621714122241</v>
      </c>
      <c r="C36" s="57">
        <f aca="true" t="shared" si="9" ref="C36:O36">C24*$E13</f>
        <v>0</v>
      </c>
      <c r="D36" s="57">
        <f t="shared" si="9"/>
        <v>4402.008059873674</v>
      </c>
      <c r="E36" s="57">
        <f t="shared" si="9"/>
        <v>1103.506666514595</v>
      </c>
      <c r="F36" s="57">
        <f t="shared" si="9"/>
        <v>1226.64357835837</v>
      </c>
      <c r="G36" s="57">
        <f t="shared" si="9"/>
        <v>1103.5941770094369</v>
      </c>
      <c r="H36" s="57">
        <f t="shared" si="9"/>
        <v>1194.7606518563953</v>
      </c>
      <c r="I36" s="57">
        <f t="shared" si="9"/>
        <v>1104.090069813541</v>
      </c>
      <c r="J36" s="57">
        <f t="shared" si="9"/>
        <v>1104.090069813541</v>
      </c>
      <c r="K36" s="57">
        <f t="shared" si="9"/>
        <v>1104.090069813541</v>
      </c>
      <c r="L36" s="57">
        <f t="shared" si="9"/>
        <v>1221.767376905119</v>
      </c>
      <c r="M36" s="57">
        <f t="shared" si="9"/>
        <v>1106.330338481494</v>
      </c>
      <c r="N36" s="57">
        <f t="shared" si="9"/>
        <v>1104.5801285846558</v>
      </c>
      <c r="O36" s="57">
        <f t="shared" si="9"/>
        <v>1104.5801285846558</v>
      </c>
      <c r="P36" s="57">
        <f t="shared" si="4"/>
        <v>552.2900642923279</v>
      </c>
    </row>
    <row r="37" spans="1:16" ht="14.25">
      <c r="A37" s="45" t="str">
        <f t="shared" si="1"/>
        <v>Unmetered Scattered Load</v>
      </c>
      <c r="B37" s="29">
        <f t="shared" si="2"/>
        <v>188.0398410247962</v>
      </c>
      <c r="C37" s="29">
        <f aca="true" t="shared" si="10" ref="C37:O37">C25*$E14</f>
        <v>94.15723596829076</v>
      </c>
      <c r="D37" s="29">
        <f t="shared" si="10"/>
        <v>778.4189896847748</v>
      </c>
      <c r="E37" s="29">
        <f t="shared" si="10"/>
        <v>207.60901656113478</v>
      </c>
      <c r="F37" s="29">
        <f t="shared" si="10"/>
        <v>328.8863855004555</v>
      </c>
      <c r="G37" s="29">
        <f t="shared" si="10"/>
        <v>426.2756010263813</v>
      </c>
      <c r="H37" s="29">
        <f t="shared" si="10"/>
        <v>398.1858300893821</v>
      </c>
      <c r="I37" s="29">
        <f t="shared" si="10"/>
        <v>371.3418964974058</v>
      </c>
      <c r="J37" s="29">
        <f t="shared" si="10"/>
        <v>290.087046732165</v>
      </c>
      <c r="K37" s="29">
        <f t="shared" si="10"/>
        <v>341.6492683090708</v>
      </c>
      <c r="L37" s="29">
        <f t="shared" si="10"/>
        <v>356.99340253362277</v>
      </c>
      <c r="M37" s="29">
        <f t="shared" si="10"/>
        <v>351.32870370574165</v>
      </c>
      <c r="N37" s="29">
        <f t="shared" si="10"/>
        <v>363.14614011862653</v>
      </c>
      <c r="O37" s="29">
        <f t="shared" si="10"/>
        <v>317.48002392904647</v>
      </c>
      <c r="P37" s="29">
        <f t="shared" si="4"/>
        <v>188.4506584629773</v>
      </c>
    </row>
    <row r="38" spans="1:16" ht="14.25">
      <c r="A38" t="s">
        <v>13</v>
      </c>
      <c r="B38" s="26">
        <f>SUM(B31:B36)</f>
        <v>35037.89868322599</v>
      </c>
      <c r="C38" s="26">
        <f>SUM(C31:C36)</f>
        <v>109476.63049298516</v>
      </c>
      <c r="D38" s="26">
        <f aca="true" t="shared" si="11" ref="D38:P38">SUM(D31:D36)</f>
        <v>111176.92600186379</v>
      </c>
      <c r="E38" s="26">
        <f t="shared" si="11"/>
        <v>73057.27279632424</v>
      </c>
      <c r="F38" s="26">
        <f t="shared" si="11"/>
        <v>65106.20811269244</v>
      </c>
      <c r="G38" s="26">
        <f t="shared" si="11"/>
        <v>76058.57336231552</v>
      </c>
      <c r="H38" s="26">
        <f t="shared" si="11"/>
        <v>76903.2110902979</v>
      </c>
      <c r="I38" s="26">
        <f t="shared" si="11"/>
        <v>53184.91511708258</v>
      </c>
      <c r="J38" s="26">
        <f t="shared" si="11"/>
        <v>67931.67053783622</v>
      </c>
      <c r="K38" s="26">
        <f t="shared" si="11"/>
        <v>77634.12407793138</v>
      </c>
      <c r="L38" s="26">
        <f t="shared" si="11"/>
        <v>102746.49647288823</v>
      </c>
      <c r="M38" s="26">
        <f t="shared" si="11"/>
        <v>95376.33494725473</v>
      </c>
      <c r="N38" s="26">
        <f t="shared" si="11"/>
        <v>112515.17350942556</v>
      </c>
      <c r="O38" s="26">
        <f t="shared" si="11"/>
        <v>87084.90137019688</v>
      </c>
      <c r="P38" s="26">
        <f t="shared" si="11"/>
        <v>42632.16280061136</v>
      </c>
    </row>
    <row r="39" ht="14.25">
      <c r="P39" s="26"/>
    </row>
    <row r="41" ht="14.25">
      <c r="C41" s="26"/>
    </row>
  </sheetData>
  <sheetProtection/>
  <mergeCells count="6">
    <mergeCell ref="B6:C6"/>
    <mergeCell ref="D6:E6"/>
    <mergeCell ref="B17:K17"/>
    <mergeCell ref="B29:K29"/>
    <mergeCell ref="L17:P17"/>
    <mergeCell ref="L29:P29"/>
  </mergeCells>
  <printOptions/>
  <pageMargins left="0.7" right="0.7" top="0.75" bottom="0.75" header="0.3" footer="0.3"/>
  <pageSetup fitToHeight="1" fitToWidth="1" horizontalDpi="1200" verticalDpi="12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A17" sqref="A17:G24"/>
    </sheetView>
  </sheetViews>
  <sheetFormatPr defaultColWidth="9.140625" defaultRowHeight="15"/>
  <cols>
    <col min="1" max="1" width="32.140625" style="0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9.28125" style="0" bestFit="1" customWidth="1"/>
  </cols>
  <sheetData>
    <row r="1" ht="15">
      <c r="A1" s="41" t="s">
        <v>88</v>
      </c>
    </row>
    <row r="3" spans="1:5" ht="57">
      <c r="A3" s="52" t="s">
        <v>39</v>
      </c>
      <c r="B3" s="52" t="s">
        <v>110</v>
      </c>
      <c r="C3" s="52" t="s">
        <v>96</v>
      </c>
      <c r="D3" s="52" t="s">
        <v>97</v>
      </c>
      <c r="E3" s="38"/>
    </row>
    <row r="4" spans="1:4" ht="14.25">
      <c r="A4" t="str">
        <f>'App 34 - Mar05 to Apr06 Revenue'!A8</f>
        <v>Residential</v>
      </c>
      <c r="B4" s="58">
        <v>5654249</v>
      </c>
      <c r="C4" s="15">
        <f aca="true" t="shared" si="0" ref="C4:C9">B4/$B$10</f>
        <v>0.619200005606941</v>
      </c>
      <c r="D4" s="46">
        <f aca="true" t="shared" si="1" ref="D4:D9">C4*$D$10</f>
        <v>169554.256943041</v>
      </c>
    </row>
    <row r="5" spans="1:4" ht="14.25">
      <c r="A5" t="str">
        <f>'App 34 - Mar05 to Apr06 Revenue'!A9</f>
        <v>General Service &lt; 50 kW</v>
      </c>
      <c r="B5" s="58">
        <v>1301244</v>
      </c>
      <c r="C5" s="15">
        <f t="shared" si="0"/>
        <v>0.1424999663255011</v>
      </c>
      <c r="D5" s="46">
        <f t="shared" si="1"/>
        <v>39020.47106902976</v>
      </c>
    </row>
    <row r="6" spans="1:4" ht="14.25">
      <c r="A6" t="s">
        <v>112</v>
      </c>
      <c r="B6" s="58">
        <v>1801147</v>
      </c>
      <c r="C6" s="15">
        <f t="shared" si="0"/>
        <v>0.19724462656294847</v>
      </c>
      <c r="D6" s="46">
        <f t="shared" si="1"/>
        <v>54011.08816222763</v>
      </c>
    </row>
    <row r="7" spans="1:4" ht="14.25">
      <c r="A7" t="str">
        <f>'App 34 - Mar05 to Apr06 Revenue'!A12</f>
        <v>Sentinel Lights</v>
      </c>
      <c r="B7" s="58">
        <v>609</v>
      </c>
      <c r="C7" s="15">
        <f t="shared" si="0"/>
        <v>6.669193440448538E-05</v>
      </c>
      <c r="D7" s="46">
        <f t="shared" si="1"/>
        <v>18.262114469722142</v>
      </c>
    </row>
    <row r="8" spans="1:4" ht="14.25">
      <c r="A8" t="str">
        <f>'App 34 - Mar05 to Apr06 Revenue'!A13</f>
        <v>Street Lights</v>
      </c>
      <c r="B8" s="58">
        <v>342433</v>
      </c>
      <c r="C8" s="15">
        <f t="shared" si="0"/>
        <v>0.037500031484287585</v>
      </c>
      <c r="D8" s="46">
        <f t="shared" si="1"/>
        <v>10268.556066026867</v>
      </c>
    </row>
    <row r="9" spans="1:4" ht="14.25">
      <c r="A9" s="40" t="str">
        <f>'App 34 - Mar05 to Apr06 Revenue'!A14</f>
        <v>Unmetered Scattered Load</v>
      </c>
      <c r="B9" s="59">
        <v>31857</v>
      </c>
      <c r="C9" s="17">
        <f t="shared" si="0"/>
        <v>0.0034886780859173902</v>
      </c>
      <c r="D9" s="47">
        <f t="shared" si="1"/>
        <v>955.297505192017</v>
      </c>
    </row>
    <row r="10" spans="1:4" ht="14.25">
      <c r="A10" s="2" t="s">
        <v>13</v>
      </c>
      <c r="B10" s="42">
        <f>SUM(B4:B9)</f>
        <v>9131539</v>
      </c>
      <c r="C10" s="43">
        <f>SUM(C4:C9)</f>
        <v>1</v>
      </c>
      <c r="D10" s="48">
        <f>'App 1 - Continuity Schedule'!L199</f>
        <v>273827.931859987</v>
      </c>
    </row>
    <row r="15" ht="15">
      <c r="A15" s="41" t="s">
        <v>89</v>
      </c>
    </row>
    <row r="17" spans="1:6" ht="42.75">
      <c r="A17" s="52" t="s">
        <v>39</v>
      </c>
      <c r="B17" s="52" t="s">
        <v>90</v>
      </c>
      <c r="C17" s="52" t="s">
        <v>91</v>
      </c>
      <c r="D17" s="52" t="s">
        <v>92</v>
      </c>
      <c r="E17" s="52" t="s">
        <v>111</v>
      </c>
      <c r="F17" s="52" t="s">
        <v>93</v>
      </c>
    </row>
    <row r="18" spans="1:7" ht="14.25">
      <c r="A18" t="str">
        <f aca="true" t="shared" si="2" ref="A18:A24">A4</f>
        <v>Residential</v>
      </c>
      <c r="B18" s="46">
        <f aca="true" t="shared" si="3" ref="B18:B24">D4</f>
        <v>169554.256943041</v>
      </c>
      <c r="C18" s="34">
        <v>2</v>
      </c>
      <c r="D18" s="46">
        <f>B18/C18</f>
        <v>84777.1284715205</v>
      </c>
      <c r="E18" s="39">
        <v>197649413</v>
      </c>
      <c r="F18" s="55">
        <f aca="true" t="shared" si="4" ref="F18:F23">ROUND(D18/E18,5)</f>
        <v>0.00043</v>
      </c>
      <c r="G18" t="s">
        <v>94</v>
      </c>
    </row>
    <row r="19" spans="1:7" ht="14.25">
      <c r="A19" t="str">
        <f t="shared" si="2"/>
        <v>General Service &lt; 50 kW</v>
      </c>
      <c r="B19" s="46">
        <f t="shared" si="3"/>
        <v>39020.47106902976</v>
      </c>
      <c r="C19">
        <f>C18</f>
        <v>2</v>
      </c>
      <c r="D19" s="46">
        <f aca="true" t="shared" si="5" ref="D19:D24">B19/C19</f>
        <v>19510.23553451488</v>
      </c>
      <c r="E19" s="39">
        <v>70476543</v>
      </c>
      <c r="F19" s="55">
        <f t="shared" si="4"/>
        <v>0.00028</v>
      </c>
      <c r="G19" t="s">
        <v>94</v>
      </c>
    </row>
    <row r="20" spans="1:7" ht="14.25">
      <c r="A20" t="str">
        <f t="shared" si="2"/>
        <v>General Service 50 to 4,999 kW</v>
      </c>
      <c r="B20" s="46">
        <f t="shared" si="3"/>
        <v>54011.08816222763</v>
      </c>
      <c r="C20">
        <f>C19</f>
        <v>2</v>
      </c>
      <c r="D20" s="46">
        <f t="shared" si="5"/>
        <v>27005.544081113814</v>
      </c>
      <c r="E20" s="39">
        <v>448543</v>
      </c>
      <c r="F20" s="55">
        <f t="shared" si="4"/>
        <v>0.06021</v>
      </c>
      <c r="G20" t="s">
        <v>95</v>
      </c>
    </row>
    <row r="21" spans="1:6" ht="14.25">
      <c r="A21" t="str">
        <f t="shared" si="2"/>
        <v>Sentinel Lights</v>
      </c>
      <c r="B21" s="46">
        <f t="shared" si="3"/>
        <v>18.262114469722142</v>
      </c>
      <c r="C21">
        <f>C20</f>
        <v>2</v>
      </c>
      <c r="D21" s="46">
        <f t="shared" si="5"/>
        <v>9.131057234861071</v>
      </c>
      <c r="E21" s="39">
        <v>17</v>
      </c>
      <c r="F21" s="55">
        <f t="shared" si="4"/>
        <v>0.53712</v>
      </c>
    </row>
    <row r="22" spans="1:7" ht="14.25">
      <c r="A22" t="str">
        <f t="shared" si="2"/>
        <v>Street Lights</v>
      </c>
      <c r="B22" s="46">
        <f t="shared" si="3"/>
        <v>10268.556066026867</v>
      </c>
      <c r="C22">
        <f>C20</f>
        <v>2</v>
      </c>
      <c r="D22" s="46">
        <f t="shared" si="5"/>
        <v>5134.278033013434</v>
      </c>
      <c r="E22" s="39">
        <v>11037</v>
      </c>
      <c r="F22" s="55">
        <f t="shared" si="4"/>
        <v>0.46519</v>
      </c>
      <c r="G22" t="s">
        <v>95</v>
      </c>
    </row>
    <row r="23" spans="1:7" ht="14.25" customHeight="1">
      <c r="A23" s="40" t="str">
        <f t="shared" si="2"/>
        <v>Unmetered Scattered Load</v>
      </c>
      <c r="B23" s="47">
        <f t="shared" si="3"/>
        <v>955.297505192017</v>
      </c>
      <c r="C23" s="40">
        <f>C22</f>
        <v>2</v>
      </c>
      <c r="D23" s="47">
        <f t="shared" si="5"/>
        <v>477.6487525960085</v>
      </c>
      <c r="E23" s="44">
        <v>501647</v>
      </c>
      <c r="F23" s="56">
        <f t="shared" si="4"/>
        <v>0.00095</v>
      </c>
      <c r="G23" t="s">
        <v>94</v>
      </c>
    </row>
    <row r="24" spans="1:4" ht="14.25">
      <c r="A24" t="str">
        <f t="shared" si="2"/>
        <v>Total</v>
      </c>
      <c r="B24" s="48">
        <f t="shared" si="3"/>
        <v>273827.931859987</v>
      </c>
      <c r="C24">
        <f>C23</f>
        <v>2</v>
      </c>
      <c r="D24" s="48">
        <f t="shared" si="5"/>
        <v>136913.9659299935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130" zoomScaleNormal="130" zoomScalePageLayoutView="0" workbookViewId="0" topLeftCell="E1">
      <selection activeCell="A1" sqref="A1:I8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4.25">
      <c r="A1" s="73" t="s">
        <v>67</v>
      </c>
      <c r="B1" s="73" t="s">
        <v>73</v>
      </c>
      <c r="C1" s="73"/>
      <c r="D1" s="73"/>
      <c r="E1" s="74" t="s">
        <v>22</v>
      </c>
      <c r="F1" s="74" t="s">
        <v>27</v>
      </c>
      <c r="G1" s="74" t="s">
        <v>28</v>
      </c>
      <c r="H1" s="74" t="s">
        <v>24</v>
      </c>
      <c r="I1" s="73" t="s">
        <v>23</v>
      </c>
    </row>
    <row r="2" spans="1:9" ht="19.5" customHeight="1">
      <c r="A2" s="73"/>
      <c r="B2" s="53" t="s">
        <v>74</v>
      </c>
      <c r="C2" s="53" t="s">
        <v>75</v>
      </c>
      <c r="D2" s="53" t="s">
        <v>76</v>
      </c>
      <c r="E2" s="74"/>
      <c r="F2" s="74"/>
      <c r="G2" s="74"/>
      <c r="H2" s="74"/>
      <c r="I2" s="73"/>
    </row>
    <row r="3" spans="1:9" ht="14.25">
      <c r="A3" s="1" t="s">
        <v>1</v>
      </c>
      <c r="B3" s="1" t="s">
        <v>77</v>
      </c>
      <c r="C3" s="1" t="s">
        <v>78</v>
      </c>
      <c r="D3" s="1" t="s">
        <v>79</v>
      </c>
      <c r="E3" s="51">
        <v>275973.01377443614</v>
      </c>
      <c r="F3" s="1" t="s">
        <v>25</v>
      </c>
      <c r="G3" s="1" t="s">
        <v>26</v>
      </c>
      <c r="H3" s="21">
        <f>E3/3</f>
        <v>91991.00459147872</v>
      </c>
      <c r="I3" s="37" t="s">
        <v>68</v>
      </c>
    </row>
    <row r="4" spans="1:9" ht="14.25">
      <c r="A4" s="1">
        <v>2002</v>
      </c>
      <c r="B4" s="1" t="s">
        <v>77</v>
      </c>
      <c r="C4" s="1" t="s">
        <v>80</v>
      </c>
      <c r="D4" s="1" t="s">
        <v>79</v>
      </c>
      <c r="E4" s="8">
        <f>'[2]TAXCALC'!$C$87</f>
        <v>928633.6944059911</v>
      </c>
      <c r="F4" s="1" t="s">
        <v>29</v>
      </c>
      <c r="G4" s="1" t="s">
        <v>30</v>
      </c>
      <c r="H4" s="8">
        <f>E4/12</f>
        <v>77386.14120049926</v>
      </c>
      <c r="I4" s="37" t="s">
        <v>69</v>
      </c>
    </row>
    <row r="5" spans="1:9" ht="14.25">
      <c r="A5" s="1">
        <v>2003</v>
      </c>
      <c r="B5" s="1" t="s">
        <v>77</v>
      </c>
      <c r="C5" s="1" t="s">
        <v>81</v>
      </c>
      <c r="D5" s="1" t="s">
        <v>79</v>
      </c>
      <c r="E5" s="21">
        <f>E3+E4</f>
        <v>1204606.7081804273</v>
      </c>
      <c r="F5" s="1" t="s">
        <v>31</v>
      </c>
      <c r="G5" s="1" t="s">
        <v>32</v>
      </c>
      <c r="H5" s="21">
        <f>E5/12</f>
        <v>100383.89234836894</v>
      </c>
      <c r="I5" s="37" t="s">
        <v>70</v>
      </c>
    </row>
    <row r="6" spans="1:9" ht="14.25">
      <c r="A6" s="1">
        <v>2004</v>
      </c>
      <c r="B6" s="1" t="s">
        <v>77</v>
      </c>
      <c r="C6" s="1" t="s">
        <v>81</v>
      </c>
      <c r="D6" s="1" t="s">
        <v>79</v>
      </c>
      <c r="E6" s="21">
        <f>E5</f>
        <v>1204606.7081804273</v>
      </c>
      <c r="F6" s="1" t="s">
        <v>33</v>
      </c>
      <c r="G6" s="1" t="s">
        <v>102</v>
      </c>
      <c r="H6" s="21">
        <f>E6/12</f>
        <v>100383.89234836894</v>
      </c>
      <c r="I6" s="37" t="s">
        <v>70</v>
      </c>
    </row>
    <row r="7" spans="1:9" ht="14.25">
      <c r="A7" s="1">
        <v>2004</v>
      </c>
      <c r="B7" s="1" t="s">
        <v>82</v>
      </c>
      <c r="C7" s="1" t="s">
        <v>83</v>
      </c>
      <c r="D7" s="1" t="s">
        <v>84</v>
      </c>
      <c r="E7" s="21">
        <f>E4</f>
        <v>928633.6944059911</v>
      </c>
      <c r="F7" s="1" t="s">
        <v>101</v>
      </c>
      <c r="G7" s="1" t="s">
        <v>113</v>
      </c>
      <c r="H7" s="21">
        <f>E7/12</f>
        <v>77386.14120049926</v>
      </c>
      <c r="I7" s="22" t="s">
        <v>71</v>
      </c>
    </row>
    <row r="8" spans="1:9" ht="14.25">
      <c r="A8" s="1">
        <v>2005</v>
      </c>
      <c r="B8" s="1" t="s">
        <v>85</v>
      </c>
      <c r="C8" s="1" t="s">
        <v>86</v>
      </c>
      <c r="D8" s="1" t="s">
        <v>87</v>
      </c>
      <c r="E8" s="8">
        <f>'[3]TAXCALC'!$C$95</f>
        <v>1055436.4594581716</v>
      </c>
      <c r="F8" s="1" t="s">
        <v>114</v>
      </c>
      <c r="G8" s="1" t="s">
        <v>36</v>
      </c>
      <c r="H8" s="21">
        <f>E8/12</f>
        <v>87953.03828818096</v>
      </c>
      <c r="I8" s="22" t="s">
        <v>72</v>
      </c>
    </row>
    <row r="9" ht="14.25">
      <c r="I9" s="22"/>
    </row>
    <row r="10" ht="14.25">
      <c r="I10" s="22"/>
    </row>
    <row r="11" ht="14.25">
      <c r="I11" s="22"/>
    </row>
    <row r="12" ht="14.25">
      <c r="I12" s="22"/>
    </row>
    <row r="13" ht="14.25">
      <c r="I13" s="22"/>
    </row>
    <row r="14" ht="14.25">
      <c r="I14" s="22"/>
    </row>
    <row r="15" ht="14.25">
      <c r="I15" s="22"/>
    </row>
    <row r="16" ht="14.25">
      <c r="I16" s="22"/>
    </row>
    <row r="17" ht="14.2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Jim</cp:lastModifiedBy>
  <cp:lastPrinted>2012-03-23T11:59:30Z</cp:lastPrinted>
  <dcterms:created xsi:type="dcterms:W3CDTF">2011-08-02T14:49:25Z</dcterms:created>
  <dcterms:modified xsi:type="dcterms:W3CDTF">2012-03-23T12:00:08Z</dcterms:modified>
  <cp:category/>
  <cp:version/>
  <cp:contentType/>
  <cp:contentStatus/>
</cp:coreProperties>
</file>