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1136" activeTab="0"/>
  </bookViews>
  <sheets>
    <sheet name="2-18 FA Continuity MIFRS 2012" sheetId="1" r:id="rId1"/>
    <sheet name="2-16 FA Continuity CGAAP 2011" sheetId="2" r:id="rId2"/>
    <sheet name="2-16 FA Continuity MIFRS 2011" sheetId="3" r:id="rId3"/>
    <sheet name="2-20 FA Continuity MIFRS 2012" sheetId="4" r:id="rId4"/>
    <sheet name="2-20 FA Continuity CGAAP 201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DaysInPreviousYear" localSheetId="1">'[1]Distribution Revenue by Source'!$B$22</definedName>
    <definedName name="DaysInPreviousYear" localSheetId="0">'[1]Distribution Revenue by Source'!$B$22</definedName>
    <definedName name="DaysInPreviousYear" localSheetId="4">'[2]Distribution Revenue by Source'!$B$22</definedName>
    <definedName name="DaysInPreviousYear" localSheetId="3">'[1]Distribution Revenue by Source'!$B$22</definedName>
    <definedName name="DaysInPreviousYear">'[3]Distribution Revenue by Source'!$B$22</definedName>
    <definedName name="DaysInYear" localSheetId="1">'[1]Distribution Revenue by Source'!$B$21</definedName>
    <definedName name="DaysInYear" localSheetId="0">'[1]Distribution Revenue by Source'!$B$21</definedName>
    <definedName name="DaysInYear" localSheetId="4">'[2]Distribution Revenue by Source'!$B$21</definedName>
    <definedName name="DaysInYear" localSheetId="3">'[1]Distribution Revenue by Source'!$B$21</definedName>
    <definedName name="DaysInYear">'[3]Distribution Revenue by Source'!$B$21</definedName>
    <definedName name="MofF" localSheetId="4">#REF!</definedName>
    <definedName name="MofF">#REF!</definedName>
    <definedName name="_xlnm.Print_Area" localSheetId="1">'2-16 FA Continuity CGAAP 2011'!$A$1:$M$57</definedName>
    <definedName name="_xlnm.Print_Area" localSheetId="0">'2-18 FA Continuity MIFRS 2012'!$A$1:$M$57</definedName>
    <definedName name="_xlnm.Print_Area" localSheetId="4">'2-20 FA Continuity CGAAP 2012'!$A$1:$M$57</definedName>
    <definedName name="_xlnm.Print_Area" localSheetId="3">'2-20 FA Continuity MIFRS 2012'!$A$1:$M$57</definedName>
    <definedName name="Ratebase" localSheetId="1">'[1]Distribution Revenue by Source'!$C$25</definedName>
    <definedName name="Ratebase" localSheetId="0">'[1]Distribution Revenue by Source'!$C$25</definedName>
    <definedName name="Ratebase" localSheetId="4">'[2]Distribution Revenue by Source'!$C$25</definedName>
    <definedName name="Ratebase" localSheetId="3">'[1]Distribution Revenue by Source'!$C$25</definedName>
    <definedName name="Ratebase">'[3]Distribution Revenue by Source'!$C$25</definedName>
    <definedName name="Surtax" localSheetId="4">#REF!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Jenn Carruthers</author>
  </authors>
  <commentList>
    <comment ref="E51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includes 10K exxpansion and 220 substation</t>
        </r>
      </text>
    </comment>
  </commentList>
</comments>
</file>

<file path=xl/comments3.xml><?xml version="1.0" encoding="utf-8"?>
<comments xmlns="http://schemas.openxmlformats.org/spreadsheetml/2006/main">
  <authors>
    <author>Jenn Carruthers</author>
  </authors>
  <commentList>
    <comment ref="K24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see cell F 24 for description</t>
        </r>
      </text>
    </comment>
  </commentList>
</comments>
</file>

<file path=xl/sharedStrings.xml><?xml version="1.0" encoding="utf-8"?>
<sst xmlns="http://schemas.openxmlformats.org/spreadsheetml/2006/main" count="395" uniqueCount="72">
  <si>
    <t>Lakefront Utilities Inc.</t>
  </si>
  <si>
    <t xml:space="preserve">, License Number ED-1999-0180, File Number </t>
  </si>
  <si>
    <t>Fixed Asset Continuity Schedule (Distribution &amp; Operations)</t>
  </si>
  <si>
    <t>As at December 31, 2012</t>
  </si>
  <si>
    <t>Cost</t>
  </si>
  <si>
    <t>Accumulated Depreciation</t>
  </si>
  <si>
    <t>CCA Class</t>
  </si>
  <si>
    <t>OEB</t>
  </si>
  <si>
    <t>Description</t>
  </si>
  <si>
    <t>Opening Balance</t>
  </si>
  <si>
    <t>Additions</t>
  </si>
  <si>
    <t>Disposals</t>
  </si>
  <si>
    <t>Closing Balance</t>
  </si>
  <si>
    <t>Net Book Value</t>
  </si>
  <si>
    <t>Balance</t>
  </si>
  <si>
    <t>N/A</t>
  </si>
  <si>
    <t>Intangible Assets</t>
  </si>
  <si>
    <t>Land</t>
  </si>
  <si>
    <t>CEC</t>
  </si>
  <si>
    <t>Land Rights</t>
  </si>
  <si>
    <t>Buildings and Fixtures</t>
  </si>
  <si>
    <t>Leasehold Improvements</t>
  </si>
  <si>
    <t>Transformer Station Equipment - Normally Primary above 50 kV</t>
  </si>
  <si>
    <t>Distribution Station Equipment - Normally Primary below 50 kV</t>
  </si>
  <si>
    <t>Storage Battery Equipment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</si>
  <si>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</si>
  <si>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</si>
  <si>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</si>
  <si>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</si>
  <si>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</si>
  <si>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Services</t>
  </si>
  <si>
    <t>Meters</t>
  </si>
  <si>
    <t>Smart Meters</t>
  </si>
  <si>
    <t>Other Installations on Customer's Premises</t>
  </si>
  <si>
    <t>Office Furniture and Equipment</t>
  </si>
  <si>
    <t>Computer Equipment - Hardware</t>
  </si>
  <si>
    <t>Computer Software</t>
  </si>
  <si>
    <t>Computer software - Smart Meters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</si>
  <si>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</si>
  <si>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</si>
  <si>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</si>
  <si>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</si>
  <si>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</si>
  <si>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</si>
  <si>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</si>
  <si>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 xml:space="preserve">Load Management Controls - Customer Premises </t>
  </si>
  <si>
    <t>Load Management Controls - Utility Premises</t>
  </si>
  <si>
    <t>System Supervisory Equipment</t>
  </si>
  <si>
    <t>Sentinel Lighting Rentals</t>
  </si>
  <si>
    <t>Other Tangible Property</t>
  </si>
  <si>
    <t>Contributions and Grants</t>
  </si>
  <si>
    <t>Property under Capital Lease</t>
  </si>
  <si>
    <t>Total before Work in Process</t>
  </si>
  <si>
    <t>WIP</t>
  </si>
  <si>
    <t>Work in Process</t>
  </si>
  <si>
    <t>Total after Work in Process</t>
  </si>
  <si>
    <t>Less:  Fully Allocated Depreciation</t>
  </si>
  <si>
    <t>Transportation</t>
  </si>
  <si>
    <t>Communication</t>
  </si>
  <si>
    <t>Net Depreciation</t>
  </si>
  <si>
    <t>CGAAP</t>
  </si>
  <si>
    <t>Net impact</t>
  </si>
  <si>
    <t xml:space="preserve">Table 2-20 titled “Fixed Asset Continuity MIFRS” </t>
  </si>
  <si>
    <t>As at December 31, 2011</t>
  </si>
  <si>
    <t>Intagible Assets</t>
  </si>
  <si>
    <t>Computer software - Smart Meter</t>
  </si>
  <si>
    <t xml:space="preserve">Table 2-16 titled “Fixed Asset Continuity MIFRS” </t>
  </si>
  <si>
    <t xml:space="preserve">Table 2-16 titled “Fixed Asset Continuity CGAAP” </t>
  </si>
  <si>
    <t>2010 CLOSE BALANCE CGAAP</t>
  </si>
  <si>
    <t>Computer softward - Smart Meters</t>
  </si>
  <si>
    <t xml:space="preserve">Table 2-18 titled “Fixed Asset Continuity MIFRS” </t>
  </si>
  <si>
    <t xml:space="preserve">Table 2-20 titled “Fixed Asset Continuity CGAAP”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</si>
</sst>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-* #,##0.00_-;\-* #,##0.00_-;_-* &quot;-&quot;??_-;_-@_-"/>
    <numFmt numFmtId="167" formatCode="_-* #,##0_-;\-* #,##0_-;_-* &quot;-&quot;??_-;_-@_-"/>
  </numFmts>
  <fonts count="40">
    <font>
      <sz val="10"/>
      <name val="Arial"/>
      <family val="2"/>
    </font>
    <font>
      <sz val="11"/>
      <color indexed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7" fontId="0" fillId="34" borderId="10" xfId="42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7" fontId="0" fillId="34" borderId="10" xfId="42" applyNumberFormat="1" applyFont="1" applyFill="1" applyBorder="1" applyAlignment="1">
      <alignment horizontal="right"/>
    </xf>
    <xf numFmtId="165" fontId="0" fillId="34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7" fontId="0" fillId="35" borderId="10" xfId="42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0" fillId="36" borderId="1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36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6" fontId="0" fillId="0" borderId="0" xfId="44" applyAlignment="1">
      <alignment/>
    </xf>
    <xf numFmtId="165" fontId="0" fillId="0" borderId="11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7" fontId="0" fillId="4" borderId="10" xfId="42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right"/>
    </xf>
    <xf numFmtId="167" fontId="0" fillId="4" borderId="10" xfId="42" applyNumberFormat="1" applyFont="1" applyFill="1" applyBorder="1" applyAlignment="1">
      <alignment horizontal="right"/>
    </xf>
    <xf numFmtId="38" fontId="0" fillId="4" borderId="10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6" fontId="0" fillId="0" borderId="0" xfId="44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7" fontId="0" fillId="36" borderId="10" xfId="42" applyNumberFormat="1" applyFont="1" applyFill="1" applyBorder="1" applyAlignment="1">
      <alignment horizontal="center"/>
    </xf>
    <xf numFmtId="165" fontId="0" fillId="36" borderId="10" xfId="0" applyNumberFormat="1" applyFont="1" applyFill="1" applyBorder="1" applyAlignment="1">
      <alignment horizontal="center"/>
    </xf>
    <xf numFmtId="167" fontId="0" fillId="36" borderId="10" xfId="42" applyNumberFormat="1" applyFont="1" applyFill="1" applyBorder="1" applyAlignment="1">
      <alignment horizontal="right"/>
    </xf>
    <xf numFmtId="38" fontId="0" fillId="36" borderId="10" xfId="42" applyNumberFormat="1" applyFont="1" applyFill="1" applyBorder="1" applyAlignment="1">
      <alignment horizontal="right"/>
    </xf>
    <xf numFmtId="167" fontId="0" fillId="37" borderId="10" xfId="42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3" fillId="37" borderId="0" xfId="0" applyNumberFormat="1" applyFont="1" applyFill="1" applyBorder="1" applyAlignment="1">
      <alignment horizontal="center"/>
    </xf>
    <xf numFmtId="165" fontId="3" fillId="38" borderId="13" xfId="0" applyNumberFormat="1" applyFont="1" applyFill="1" applyBorder="1" applyAlignment="1">
      <alignment horizontal="center" wrapText="1"/>
    </xf>
    <xf numFmtId="165" fontId="3" fillId="38" borderId="14" xfId="0" applyNumberFormat="1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/>
    </xf>
    <xf numFmtId="0" fontId="3" fillId="38" borderId="13" xfId="0" applyFont="1" applyFill="1" applyBorder="1" applyAlignment="1">
      <alignment horizontal="center" wrapText="1"/>
    </xf>
    <xf numFmtId="0" fontId="3" fillId="38" borderId="14" xfId="0" applyFont="1" applyFill="1" applyBorder="1" applyAlignment="1">
      <alignment horizontal="center" wrapText="1"/>
    </xf>
    <xf numFmtId="165" fontId="0" fillId="0" borderId="15" xfId="0" applyNumberFormat="1" applyFont="1" applyBorder="1" applyAlignment="1">
      <alignment horizontal="center" wrapText="1"/>
    </xf>
    <xf numFmtId="0" fontId="2" fillId="39" borderId="0" xfId="0" applyFont="1" applyFill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_Sheet6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Documents%20and%20Settings\mmaw\Local%20Settings\Temporary%20Internet%20Files\OLKBC\Exhibit%203%20Distribution%20Revenue%20Throughputs%20-%20Blan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hby.UTILITY\AppData\Local\Microsoft\Windows\Temporary%20Internet%20Files\Content.Outlook\0BP0GLUM\Budgets\LUI%20-%20Capital%20Budget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m.utility.local\Finances\dproctor\2012%20Templates\Smart%20Meter%20Rider%20Model%20-%20LUI%20July%2027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proctor\Revenue%20Requirement%20Model\Revenue%20Requirement%20Model%20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proctor\Revenue%20Requirement%20Model\Budgets\LUI%20Amortization%20Schedule%20Forecast%202011%20&amp;%20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proctor\Revenue%20Requirement%20Model\Budgets\LUI%20-%20Capital%20Budget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w\Local%20Settings\Temporary%20Internet%20Files\OLKBC\Exhibit%203%20Distribution%20Revenue%20Throughputs%20-%20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m.utility.local\Finances\Documents%20and%20Settings\mmaw\Local%20Settings\Temporary%20Internet%20Files\OLKBC\Exhibit%203%20Distribution%20Revenue%20Throughputs%20-%20Blan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Finance\2012%20Rate%20Application%20V2\2012%20Amended%20LUI%20CoS%20November%2026%202011\Upload%20File\Models\Amended%20Revenue%20Requirement%20Model%202012%20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Finance\2012%20Rate%20Application%20V2\2012%20Amended%20LUI%20CoS%20November%2026%202011\Upload%20File\Models\Budgets\LUI%20-%20Capital%20Budget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Users\jcarruthers.UTILITY\Desktop\dproctor\IFRS%20Componentization\FINAL%20Componentization%20LU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Finance\2012%20Rate%20Application%20V2\2012%20Amended%20LUI%20CoS%20November%2026%202011\Upload%20File\Models\Budgets\LUI%20Amortization%20Schedule%20Forecast%202011%20&amp;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on.utility.local\Department\Users\jcarruthers.UTILITY\Desktop\dproctor\2012%20Templates\Smart%20Meter%20Rider%20Model%20-%20LUI%20July%2027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hby.UTILITY\AppData\Local\Microsoft\Windows\Temporary%20Internet%20Files\Content.Outlook\0BP0GLUM\Revenue%20Requirement%20Model%202012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pital budget"/>
    </sheetNames>
    <sheetDataSet>
      <sheetData sheetId="0">
        <row r="1">
          <cell r="A1" t="str">
            <v>Lakefront Utilities Inc. - Electric Budget 2011 - Capital</v>
          </cell>
        </row>
        <row r="3">
          <cell r="J3" t="str">
            <v>2011 Budget</v>
          </cell>
        </row>
        <row r="4">
          <cell r="A4" t="str">
            <v>G/L  </v>
          </cell>
          <cell r="B4" t="str">
            <v>Project</v>
          </cell>
          <cell r="C4" t="str">
            <v>Actual</v>
          </cell>
          <cell r="D4" t="str">
            <v>revised</v>
          </cell>
          <cell r="E4" t="str">
            <v>actual to </v>
          </cell>
          <cell r="G4" t="str">
            <v>balance  of</v>
          </cell>
          <cell r="H4" t="str">
            <v>2010 Projected</v>
          </cell>
          <cell r="J4" t="str">
            <v>Project </v>
          </cell>
        </row>
        <row r="5">
          <cell r="B5" t="str">
            <v>Description</v>
          </cell>
          <cell r="C5">
            <v>2009</v>
          </cell>
          <cell r="D5" t="str">
            <v>2010 Budget</v>
          </cell>
          <cell r="E5" t="str">
            <v>Nov.22/10</v>
          </cell>
          <cell r="G5" t="str">
            <v>additions for 2010</v>
          </cell>
          <cell r="J5" t="str">
            <v>Description</v>
          </cell>
        </row>
        <row r="6">
          <cell r="A6">
            <v>1805</v>
          </cell>
          <cell r="B6" t="str">
            <v>Land</v>
          </cell>
          <cell r="D6">
            <v>50000</v>
          </cell>
          <cell r="H6">
            <v>0</v>
          </cell>
          <cell r="L6">
            <v>0</v>
          </cell>
        </row>
        <row r="7">
          <cell r="A7">
            <v>1808</v>
          </cell>
          <cell r="B7" t="str">
            <v>Buildings &amp; Fixtures</v>
          </cell>
          <cell r="C7">
            <v>74242</v>
          </cell>
          <cell r="D7">
            <v>60000</v>
          </cell>
          <cell r="E7">
            <v>38449</v>
          </cell>
          <cell r="G7">
            <v>1551</v>
          </cell>
          <cell r="H7">
            <v>40000</v>
          </cell>
          <cell r="J7" t="str">
            <v>renovate boardroom</v>
          </cell>
          <cell r="L7">
            <v>75000</v>
          </cell>
        </row>
        <row r="8">
          <cell r="A8">
            <v>1820</v>
          </cell>
          <cell r="B8" t="str">
            <v>Distribution Stations</v>
          </cell>
          <cell r="C8">
            <v>23373</v>
          </cell>
          <cell r="E8">
            <v>22514</v>
          </cell>
          <cell r="H8">
            <v>22514</v>
          </cell>
          <cell r="J8" t="str">
            <v>new substation by garage capacity issues, 27.6KV</v>
          </cell>
          <cell r="L8">
            <v>800000</v>
          </cell>
        </row>
        <row r="9">
          <cell r="A9">
            <v>1830</v>
          </cell>
          <cell r="B9" t="str">
            <v>Poles, Towers &amp; Fixtures</v>
          </cell>
          <cell r="C9">
            <v>104867</v>
          </cell>
          <cell r="E9">
            <v>283439</v>
          </cell>
          <cell r="L9">
            <v>300000</v>
          </cell>
        </row>
        <row r="10">
          <cell r="A10">
            <v>1835</v>
          </cell>
          <cell r="B10" t="str">
            <v>O/H Cond &amp; Devices</v>
          </cell>
          <cell r="C10">
            <v>232804</v>
          </cell>
          <cell r="E10">
            <v>219767</v>
          </cell>
          <cell r="L10">
            <v>230000</v>
          </cell>
        </row>
        <row r="11">
          <cell r="A11">
            <v>1840</v>
          </cell>
          <cell r="B11" t="str">
            <v>U/G Cond &amp; Devices</v>
          </cell>
          <cell r="C11">
            <v>109850</v>
          </cell>
          <cell r="D11">
            <v>1000000</v>
          </cell>
          <cell r="E11">
            <v>198931</v>
          </cell>
          <cell r="L11">
            <v>200000</v>
          </cell>
        </row>
        <row r="12">
          <cell r="A12">
            <v>1850</v>
          </cell>
          <cell r="B12" t="str">
            <v>Transformers</v>
          </cell>
          <cell r="C12">
            <v>388797</v>
          </cell>
          <cell r="E12">
            <v>233681</v>
          </cell>
          <cell r="L12">
            <v>240000</v>
          </cell>
        </row>
        <row r="13">
          <cell r="A13">
            <v>1852</v>
          </cell>
          <cell r="B13" t="str">
            <v>Underground Services</v>
          </cell>
          <cell r="C13">
            <v>16114</v>
          </cell>
          <cell r="E13">
            <v>15696</v>
          </cell>
        </row>
        <row r="14">
          <cell r="A14">
            <v>1855</v>
          </cell>
          <cell r="B14" t="str">
            <v>Overhead Services</v>
          </cell>
          <cell r="C14">
            <v>17837</v>
          </cell>
          <cell r="E14">
            <v>6156</v>
          </cell>
          <cell r="L14">
            <v>30000</v>
          </cell>
        </row>
        <row r="15">
          <cell r="A15" t="str">
            <v>total</v>
          </cell>
          <cell r="B15" t="str">
            <v>total overhead 27.6 conversion</v>
          </cell>
          <cell r="C15">
            <v>870269</v>
          </cell>
          <cell r="D15" t="str">
            <v>total</v>
          </cell>
          <cell r="E15">
            <v>957670</v>
          </cell>
          <cell r="F15">
            <v>1</v>
          </cell>
          <cell r="G15">
            <v>53469</v>
          </cell>
          <cell r="H15">
            <v>800000</v>
          </cell>
        </row>
        <row r="16">
          <cell r="A16">
            <v>1860</v>
          </cell>
          <cell r="B16" t="str">
            <v>Metering</v>
          </cell>
          <cell r="C16">
            <v>15362</v>
          </cell>
          <cell r="D16">
            <v>75000</v>
          </cell>
          <cell r="E16">
            <v>4147</v>
          </cell>
          <cell r="F16">
            <v>2</v>
          </cell>
          <cell r="G16">
            <v>75000</v>
          </cell>
          <cell r="H16">
            <v>79149</v>
          </cell>
          <cell r="L16">
            <v>20000</v>
          </cell>
        </row>
        <row r="17">
          <cell r="A17">
            <v>1915</v>
          </cell>
          <cell r="B17" t="str">
            <v>Office Furniture &amp; Equipment</v>
          </cell>
          <cell r="C17">
            <v>41318</v>
          </cell>
          <cell r="D17">
            <v>10000</v>
          </cell>
          <cell r="E17">
            <v>25138</v>
          </cell>
          <cell r="H17">
            <v>25138</v>
          </cell>
          <cell r="L17">
            <v>25000</v>
          </cell>
        </row>
        <row r="18">
          <cell r="A18">
            <v>1920</v>
          </cell>
          <cell r="B18" t="str">
            <v>Computer Hardware</v>
          </cell>
          <cell r="C18">
            <v>10525</v>
          </cell>
          <cell r="D18">
            <v>65000</v>
          </cell>
          <cell r="E18">
            <v>30435</v>
          </cell>
          <cell r="H18">
            <v>30435</v>
          </cell>
          <cell r="J18" t="str">
            <v>GIS and handhelds</v>
          </cell>
          <cell r="L18">
            <v>50000</v>
          </cell>
        </row>
        <row r="19">
          <cell r="A19">
            <v>1925</v>
          </cell>
          <cell r="B19" t="str">
            <v>Software</v>
          </cell>
          <cell r="J19" t="str">
            <v>2012 finance system</v>
          </cell>
          <cell r="L19">
            <v>50000</v>
          </cell>
        </row>
        <row r="20">
          <cell r="A20">
            <v>1930</v>
          </cell>
          <cell r="B20" t="str">
            <v>Transportation Equipment</v>
          </cell>
          <cell r="C20">
            <v>54788</v>
          </cell>
          <cell r="D20">
            <v>375000</v>
          </cell>
          <cell r="E20">
            <v>302911</v>
          </cell>
          <cell r="F20">
            <v>3</v>
          </cell>
          <cell r="G20">
            <v>54089</v>
          </cell>
          <cell r="H20">
            <v>367000</v>
          </cell>
          <cell r="L20">
            <v>0</v>
          </cell>
        </row>
        <row r="21">
          <cell r="A21">
            <v>1940</v>
          </cell>
          <cell r="B21" t="str">
            <v>Tools &amp; Equipment           </v>
          </cell>
          <cell r="C21">
            <v>73749</v>
          </cell>
          <cell r="D21">
            <v>25000</v>
          </cell>
          <cell r="E21">
            <v>48600</v>
          </cell>
          <cell r="F21">
            <v>4</v>
          </cell>
          <cell r="G21">
            <v>21400</v>
          </cell>
          <cell r="H21">
            <v>70000</v>
          </cell>
          <cell r="J21" t="str">
            <v>reel trailer 30,000 , plus $15000 to replace  3 900 handhelds, at $5000 eacg in 2012</v>
          </cell>
          <cell r="L21">
            <v>50000</v>
          </cell>
        </row>
        <row r="22">
          <cell r="A22">
            <v>1940</v>
          </cell>
          <cell r="B22" t="str">
            <v>Scada System</v>
          </cell>
          <cell r="J22" t="str">
            <v>scada system</v>
          </cell>
        </row>
        <row r="23">
          <cell r="A23">
            <v>1940</v>
          </cell>
          <cell r="B23" t="str">
            <v>Generator office</v>
          </cell>
          <cell r="D23">
            <v>50000</v>
          </cell>
          <cell r="H23">
            <v>0</v>
          </cell>
          <cell r="J23" t="str">
            <v>generator CNI room etc.</v>
          </cell>
          <cell r="L23">
            <v>25000</v>
          </cell>
        </row>
        <row r="24">
          <cell r="B24" t="str">
            <v>Total Capital Additions</v>
          </cell>
          <cell r="C24">
            <v>1163626</v>
          </cell>
          <cell r="D24">
            <v>1710000</v>
          </cell>
          <cell r="E24">
            <v>1429864</v>
          </cell>
          <cell r="G24">
            <v>205509</v>
          </cell>
          <cell r="H24">
            <v>1434236</v>
          </cell>
          <cell r="J24" t="str">
            <v>                  Total</v>
          </cell>
          <cell r="L24">
            <v>2095000</v>
          </cell>
        </row>
        <row r="25">
          <cell r="B25" t="str">
            <v>Less Capital Contributions</v>
          </cell>
          <cell r="C25">
            <v>100595</v>
          </cell>
          <cell r="E25">
            <v>211139</v>
          </cell>
          <cell r="H25">
            <v>211139</v>
          </cell>
          <cell r="L25">
            <v>-100000</v>
          </cell>
        </row>
        <row r="26">
          <cell r="C26">
            <v>1063031</v>
          </cell>
          <cell r="E26">
            <v>1218725</v>
          </cell>
          <cell r="H26">
            <v>1223097</v>
          </cell>
          <cell r="L26">
            <v>1995000</v>
          </cell>
        </row>
        <row r="28">
          <cell r="A28">
            <v>1</v>
          </cell>
          <cell r="B28" t="str">
            <v>D'Arcy, Burnham, Westwood etc.</v>
          </cell>
        </row>
        <row r="29">
          <cell r="A29">
            <v>2</v>
          </cell>
          <cell r="B29" t="str">
            <v>135 sensus module meters</v>
          </cell>
        </row>
        <row r="30">
          <cell r="A30">
            <v>3</v>
          </cell>
          <cell r="B30" t="str">
            <v>new bucket truck</v>
          </cell>
        </row>
        <row r="31">
          <cell r="A31">
            <v>4</v>
          </cell>
          <cell r="B31" t="str">
            <v>RPM recorder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covery of Stranded Meters"/>
      <sheetName val="Recovery of Smart Meter Costs"/>
      <sheetName val="Revenue Requirement"/>
      <sheetName val="PILs"/>
      <sheetName val="Avg Nt Fix Ass &amp;UCC"/>
      <sheetName val="Table 1"/>
      <sheetName val="Table 2"/>
    </sheetNames>
    <sheetDataSet>
      <sheetData sheetId="0">
        <row r="3">
          <cell r="B3">
            <v>688736.2251</v>
          </cell>
        </row>
        <row r="4">
          <cell r="B4">
            <v>409085.1303</v>
          </cell>
        </row>
      </sheetData>
      <sheetData sheetId="4">
        <row r="9">
          <cell r="I9">
            <v>255355</v>
          </cell>
        </row>
        <row r="10">
          <cell r="H10">
            <v>1566824</v>
          </cell>
        </row>
        <row r="15">
          <cell r="H15">
            <v>130791.06666666668</v>
          </cell>
        </row>
        <row r="26">
          <cell r="I26">
            <v>8546</v>
          </cell>
        </row>
        <row r="27">
          <cell r="H27">
            <v>115160</v>
          </cell>
        </row>
        <row r="32">
          <cell r="H32">
            <v>28588.6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CCA Continuity 2011"/>
      <sheetName val="FA Continuity 2011"/>
      <sheetName val="FA Continuity 2012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Return on Capital"/>
      <sheetName val="Debt &amp; Capital Structure"/>
      <sheetName val="Trial Balance"/>
      <sheetName val="2012 Rev Deficiency"/>
      <sheetName val="Revenue Requirement"/>
    </sheetNames>
    <sheetDataSet>
      <sheetData sheetId="15">
        <row r="10">
          <cell r="G10">
            <v>0</v>
          </cell>
          <cell r="L10">
            <v>0</v>
          </cell>
        </row>
        <row r="11">
          <cell r="G11">
            <v>219283.87</v>
          </cell>
          <cell r="L11">
            <v>0</v>
          </cell>
        </row>
        <row r="12">
          <cell r="G12">
            <v>0</v>
          </cell>
          <cell r="L12">
            <v>0</v>
          </cell>
        </row>
        <row r="13">
          <cell r="E13">
            <v>75000</v>
          </cell>
          <cell r="G13">
            <v>994215.57</v>
          </cell>
          <cell r="L13">
            <v>139981.94</v>
          </cell>
        </row>
        <row r="14">
          <cell r="G14">
            <v>0</v>
          </cell>
          <cell r="L14">
            <v>0</v>
          </cell>
        </row>
        <row r="15">
          <cell r="G15">
            <v>0</v>
          </cell>
          <cell r="L15">
            <v>0</v>
          </cell>
        </row>
        <row r="16">
          <cell r="G16">
            <v>2762235.0800000005</v>
          </cell>
          <cell r="L16">
            <v>1720437.23</v>
          </cell>
        </row>
        <row r="17">
          <cell r="G17">
            <v>0</v>
          </cell>
          <cell r="L17">
            <v>0</v>
          </cell>
        </row>
        <row r="18">
          <cell r="E18">
            <v>450000</v>
          </cell>
          <cell r="G18">
            <v>1557311.0200000003</v>
          </cell>
          <cell r="L18">
            <v>217740.51</v>
          </cell>
        </row>
        <row r="19">
          <cell r="E19">
            <v>400000</v>
          </cell>
          <cell r="G19">
            <v>4213753.779999999</v>
          </cell>
          <cell r="L19">
            <v>1036322.75</v>
          </cell>
        </row>
        <row r="20">
          <cell r="E20">
            <v>350000</v>
          </cell>
          <cell r="G20">
            <v>1228943.19</v>
          </cell>
          <cell r="L20">
            <v>216942.86</v>
          </cell>
        </row>
        <row r="21">
          <cell r="G21">
            <v>3066153.88</v>
          </cell>
          <cell r="L21">
            <v>1941432.4200000002</v>
          </cell>
        </row>
        <row r="22">
          <cell r="E22">
            <v>240000</v>
          </cell>
          <cell r="G22">
            <v>5351048.92</v>
          </cell>
          <cell r="L22">
            <v>2408630.51</v>
          </cell>
        </row>
        <row r="23">
          <cell r="E23">
            <v>90000</v>
          </cell>
          <cell r="G23">
            <v>599529.14</v>
          </cell>
          <cell r="L23">
            <v>164187.34</v>
          </cell>
        </row>
        <row r="24">
          <cell r="E24">
            <v>20000</v>
          </cell>
          <cell r="G24">
            <v>225726.14489999996</v>
          </cell>
          <cell r="L24">
            <v>157637.57969999994</v>
          </cell>
        </row>
        <row r="25">
          <cell r="G25">
            <v>1822179</v>
          </cell>
          <cell r="L25">
            <v>243757.83333333334</v>
          </cell>
        </row>
        <row r="26">
          <cell r="G26">
            <v>0</v>
          </cell>
          <cell r="L26">
            <v>0</v>
          </cell>
        </row>
        <row r="27">
          <cell r="G27">
            <v>0</v>
          </cell>
          <cell r="L27">
            <v>0</v>
          </cell>
        </row>
        <row r="28">
          <cell r="G28">
            <v>0</v>
          </cell>
          <cell r="L28">
            <v>0</v>
          </cell>
        </row>
        <row r="29">
          <cell r="G29">
            <v>0</v>
          </cell>
          <cell r="L29">
            <v>0</v>
          </cell>
        </row>
        <row r="30">
          <cell r="G30">
            <v>0</v>
          </cell>
          <cell r="L30">
            <v>0</v>
          </cell>
        </row>
        <row r="31">
          <cell r="E31">
            <v>25000</v>
          </cell>
          <cell r="G31">
            <v>82025.63</v>
          </cell>
          <cell r="L31">
            <v>14286.310000000001</v>
          </cell>
        </row>
        <row r="32">
          <cell r="E32">
            <v>50000</v>
          </cell>
          <cell r="G32">
            <v>81199.28999999998</v>
          </cell>
          <cell r="L32">
            <v>23944.889999999992</v>
          </cell>
        </row>
        <row r="33">
          <cell r="E33">
            <v>50000</v>
          </cell>
          <cell r="G33">
            <v>163875.62</v>
          </cell>
          <cell r="L33">
            <v>73711.56</v>
          </cell>
        </row>
        <row r="34">
          <cell r="G34">
            <v>123706</v>
          </cell>
          <cell r="L34">
            <v>52475.2</v>
          </cell>
        </row>
        <row r="35">
          <cell r="G35">
            <v>759704.8999999999</v>
          </cell>
          <cell r="L35">
            <v>244836.7</v>
          </cell>
        </row>
        <row r="36">
          <cell r="G36">
            <v>0</v>
          </cell>
          <cell r="L36">
            <v>0</v>
          </cell>
        </row>
        <row r="37">
          <cell r="E37">
            <v>75000</v>
          </cell>
          <cell r="G37">
            <v>233729.88</v>
          </cell>
          <cell r="L37">
            <v>67779.8</v>
          </cell>
        </row>
        <row r="38">
          <cell r="G38">
            <v>18711.5</v>
          </cell>
          <cell r="L38">
            <v>2806.73</v>
          </cell>
        </row>
        <row r="39">
          <cell r="G39">
            <v>0</v>
          </cell>
          <cell r="L39">
            <v>0</v>
          </cell>
        </row>
        <row r="40">
          <cell r="G40">
            <v>0</v>
          </cell>
          <cell r="L40">
            <v>0</v>
          </cell>
        </row>
        <row r="41">
          <cell r="G41">
            <v>0</v>
          </cell>
          <cell r="L41">
            <v>0</v>
          </cell>
        </row>
        <row r="42">
          <cell r="G42">
            <v>0</v>
          </cell>
          <cell r="L42">
            <v>0</v>
          </cell>
        </row>
        <row r="43">
          <cell r="G43">
            <v>0</v>
          </cell>
          <cell r="L43">
            <v>0</v>
          </cell>
        </row>
        <row r="44">
          <cell r="G44">
            <v>0</v>
          </cell>
          <cell r="L44">
            <v>0</v>
          </cell>
        </row>
        <row r="45">
          <cell r="G45">
            <v>0</v>
          </cell>
          <cell r="L45">
            <v>0</v>
          </cell>
        </row>
        <row r="46">
          <cell r="G46">
            <v>0</v>
          </cell>
          <cell r="L46">
            <v>0</v>
          </cell>
        </row>
        <row r="47">
          <cell r="E47">
            <v>-100000</v>
          </cell>
          <cell r="G47">
            <v>-2257659.0300000003</v>
          </cell>
          <cell r="L47">
            <v>-439741.75</v>
          </cell>
        </row>
        <row r="48">
          <cell r="G48">
            <v>0</v>
          </cell>
          <cell r="L4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nd 1805"/>
      <sheetName val="Land Rights 1806"/>
      <sheetName val="Buildings 1808"/>
      <sheetName val="Victoria St SS 1820"/>
      <sheetName val="Substation Equip 1820"/>
      <sheetName val="Brook RD N 1820"/>
      <sheetName val="Colborne SS 1820"/>
      <sheetName val="Cobourg Whsl. Meter 1820"/>
      <sheetName val="Colborne Whsl. Meter 1820"/>
      <sheetName val="Poles 1830"/>
      <sheetName val="OH Conductors 1835 (1)"/>
      <sheetName val="OH Distribution 1835 (2)"/>
      <sheetName val="Feeders 1835 (3)"/>
      <sheetName val="Subtransmission Colborne 1835"/>
      <sheetName val="UG Conduit 1840"/>
      <sheetName val="UG Conductors 1845"/>
      <sheetName val="Distribution Transformers 1850"/>
      <sheetName val="UG Services 1852"/>
      <sheetName val="Overhead Services 1855"/>
      <sheetName val="METERS 1860"/>
      <sheetName val="Office Renovations 1908"/>
      <sheetName val="Elec Office Furniture 1915"/>
      <sheetName val="Computer Equip. 1920 1925"/>
      <sheetName val="Computer Sofware 1925"/>
      <sheetName val="Trucks 1930"/>
      <sheetName val="Tools 1940-1941,1960"/>
      <sheetName val="Measure Equip-1945"/>
      <sheetName val="Load Management Control 1980"/>
      <sheetName val="Contribution 1995"/>
      <sheetName val="CAPITAL ADDITIONS"/>
      <sheetName val="Smart Meters09 1554 "/>
    </sheetNames>
    <sheetDataSet>
      <sheetData sheetId="3">
        <row r="32">
          <cell r="G32">
            <v>36038.740000000005</v>
          </cell>
        </row>
      </sheetData>
      <sheetData sheetId="4">
        <row r="21">
          <cell r="H21">
            <v>2669.1799999999994</v>
          </cell>
        </row>
      </sheetData>
      <sheetData sheetId="5">
        <row r="23">
          <cell r="F23">
            <v>32411.309999999998</v>
          </cell>
        </row>
      </sheetData>
      <sheetData sheetId="6">
        <row r="25">
          <cell r="E25">
            <v>8502.12</v>
          </cell>
        </row>
      </sheetData>
      <sheetData sheetId="7">
        <row r="17">
          <cell r="E17">
            <v>6347.21</v>
          </cell>
        </row>
      </sheetData>
      <sheetData sheetId="8">
        <row r="17">
          <cell r="E17">
            <v>534.07</v>
          </cell>
        </row>
      </sheetData>
      <sheetData sheetId="10">
        <row r="23">
          <cell r="Q23">
            <v>246095.88880000002</v>
          </cell>
        </row>
      </sheetData>
      <sheetData sheetId="12">
        <row r="21">
          <cell r="J21">
            <v>7432.55</v>
          </cell>
        </row>
      </sheetData>
      <sheetData sheetId="13">
        <row r="23">
          <cell r="F23">
            <v>2426.24</v>
          </cell>
        </row>
      </sheetData>
      <sheetData sheetId="14">
        <row r="22">
          <cell r="M22">
            <v>35928.4504</v>
          </cell>
        </row>
      </sheetData>
      <sheetData sheetId="15">
        <row r="21">
          <cell r="L21">
            <v>121477.6084</v>
          </cell>
        </row>
      </sheetData>
      <sheetData sheetId="16">
        <row r="24">
          <cell r="Q24">
            <v>198011.53279999996</v>
          </cell>
        </row>
      </sheetData>
      <sheetData sheetId="17">
        <row r="18">
          <cell r="M18">
            <v>10327.635199999999</v>
          </cell>
        </row>
      </sheetData>
      <sheetData sheetId="18">
        <row r="22">
          <cell r="M22">
            <v>9567.743599999998</v>
          </cell>
        </row>
      </sheetData>
      <sheetData sheetId="19">
        <row r="21">
          <cell r="T21">
            <v>34985.02559999999</v>
          </cell>
        </row>
      </sheetData>
      <sheetData sheetId="21">
        <row r="23">
          <cell r="J23">
            <v>5702.550000000001</v>
          </cell>
        </row>
      </sheetData>
      <sheetData sheetId="22">
        <row r="24">
          <cell r="P24">
            <v>4551.28</v>
          </cell>
        </row>
      </sheetData>
      <sheetData sheetId="23">
        <row r="17">
          <cell r="G17">
            <v>17377.760000000002</v>
          </cell>
        </row>
      </sheetData>
      <sheetData sheetId="24">
        <row r="20">
          <cell r="I20">
            <v>94963.23999999999</v>
          </cell>
        </row>
      </sheetData>
      <sheetData sheetId="25">
        <row r="22">
          <cell r="P22">
            <v>14539.61</v>
          </cell>
        </row>
      </sheetData>
      <sheetData sheetId="26">
        <row r="12">
          <cell r="P12">
            <v>1871.15</v>
          </cell>
        </row>
      </sheetData>
      <sheetData sheetId="28">
        <row r="22">
          <cell r="P22">
            <v>-73692.78000000001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pital budget"/>
    </sheetNames>
    <sheetDataSet>
      <sheetData sheetId="0">
        <row r="9">
          <cell r="M9">
            <v>240000</v>
          </cell>
        </row>
        <row r="10">
          <cell r="M10">
            <v>209000</v>
          </cell>
        </row>
        <row r="11">
          <cell r="M11">
            <v>160000</v>
          </cell>
        </row>
        <row r="12">
          <cell r="M12">
            <v>192000</v>
          </cell>
        </row>
        <row r="14">
          <cell r="M14">
            <v>24000</v>
          </cell>
        </row>
        <row r="17">
          <cell r="M17">
            <v>25000</v>
          </cell>
        </row>
        <row r="18">
          <cell r="M18">
            <v>150000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CCA Continuity 2011"/>
      <sheetName val="FA Continuity 2011"/>
      <sheetName val="FA Continuity 2012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Return on Capital"/>
      <sheetName val="Debt &amp; Capital Structure"/>
      <sheetName val="Trial Balance"/>
      <sheetName val="2012 Rev Deficiency"/>
      <sheetName val="Revenue Requirement"/>
      <sheetName val="Sheet1"/>
    </sheetNames>
    <sheetDataSet>
      <sheetData sheetId="3">
        <row r="10">
          <cell r="G10">
            <v>54866</v>
          </cell>
          <cell r="L10">
            <v>0</v>
          </cell>
        </row>
        <row r="11">
          <cell r="G11">
            <v>219283.87</v>
          </cell>
          <cell r="L11">
            <v>0</v>
          </cell>
        </row>
        <row r="12">
          <cell r="G12">
            <v>0</v>
          </cell>
          <cell r="L12">
            <v>0</v>
          </cell>
        </row>
        <row r="13">
          <cell r="G13">
            <v>919215.57</v>
          </cell>
          <cell r="L13">
            <v>118783</v>
          </cell>
        </row>
        <row r="14">
          <cell r="G14">
            <v>0</v>
          </cell>
          <cell r="L14">
            <v>0</v>
          </cell>
        </row>
        <row r="15">
          <cell r="G15">
            <v>0</v>
          </cell>
          <cell r="L15">
            <v>0</v>
          </cell>
        </row>
        <row r="16">
          <cell r="G16">
            <v>2762235.0800000005</v>
          </cell>
          <cell r="L16">
            <v>1598842.07</v>
          </cell>
        </row>
        <row r="17">
          <cell r="G17">
            <v>0</v>
          </cell>
          <cell r="L17">
            <v>0</v>
          </cell>
        </row>
        <row r="18">
          <cell r="G18">
            <v>1107311.0200000003</v>
          </cell>
          <cell r="L18">
            <v>164447.98</v>
          </cell>
        </row>
        <row r="19">
          <cell r="G19">
            <v>3813753.78</v>
          </cell>
          <cell r="L19">
            <v>761801.79</v>
          </cell>
        </row>
        <row r="20">
          <cell r="G20">
            <v>878943.19</v>
          </cell>
          <cell r="L20">
            <v>174014.41</v>
          </cell>
        </row>
        <row r="21">
          <cell r="G21">
            <v>3066153.88</v>
          </cell>
          <cell r="L21">
            <v>1819954.81</v>
          </cell>
        </row>
        <row r="22">
          <cell r="G22">
            <v>5111048.92</v>
          </cell>
          <cell r="L22">
            <v>2204716.34</v>
          </cell>
        </row>
        <row r="23">
          <cell r="G23">
            <v>509529.14</v>
          </cell>
          <cell r="L23">
            <v>142491.96</v>
          </cell>
        </row>
        <row r="24">
          <cell r="G24">
            <v>894462.37</v>
          </cell>
          <cell r="L24">
            <v>531279.58</v>
          </cell>
        </row>
        <row r="25">
          <cell r="G25">
            <v>0</v>
          </cell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G27">
            <v>0</v>
          </cell>
          <cell r="L27">
            <v>0</v>
          </cell>
        </row>
        <row r="28">
          <cell r="G28">
            <v>0</v>
          </cell>
          <cell r="L28">
            <v>0</v>
          </cell>
        </row>
        <row r="29">
          <cell r="G29">
            <v>0</v>
          </cell>
          <cell r="L29">
            <v>0</v>
          </cell>
        </row>
        <row r="30">
          <cell r="G30">
            <v>57025.63000000001</v>
          </cell>
          <cell r="L30">
            <v>7333.760000000002</v>
          </cell>
        </row>
        <row r="31">
          <cell r="G31">
            <v>31199.28999999998</v>
          </cell>
          <cell r="L31">
            <v>12705.099999999991</v>
          </cell>
        </row>
        <row r="32">
          <cell r="G32">
            <v>113875.62</v>
          </cell>
          <cell r="L32">
            <v>46333.8</v>
          </cell>
        </row>
        <row r="33">
          <cell r="G33">
            <v>759704.8999999999</v>
          </cell>
          <cell r="L33">
            <v>149873.46000000002</v>
          </cell>
        </row>
        <row r="34">
          <cell r="G34">
            <v>0</v>
          </cell>
          <cell r="L34">
            <v>0</v>
          </cell>
        </row>
        <row r="35">
          <cell r="G35">
            <v>158729.88</v>
          </cell>
          <cell r="L35">
            <v>48849</v>
          </cell>
        </row>
        <row r="36">
          <cell r="G36">
            <v>18711.5</v>
          </cell>
          <cell r="L36">
            <v>935.58</v>
          </cell>
        </row>
        <row r="37">
          <cell r="G37">
            <v>0</v>
          </cell>
          <cell r="L37">
            <v>0</v>
          </cell>
        </row>
        <row r="38">
          <cell r="G38">
            <v>0</v>
          </cell>
          <cell r="L38">
            <v>0</v>
          </cell>
        </row>
        <row r="39">
          <cell r="G39">
            <v>0</v>
          </cell>
          <cell r="L39">
            <v>0</v>
          </cell>
        </row>
        <row r="40">
          <cell r="G40">
            <v>0</v>
          </cell>
          <cell r="L40">
            <v>0</v>
          </cell>
        </row>
        <row r="41">
          <cell r="G41">
            <v>0</v>
          </cell>
          <cell r="L41">
            <v>0</v>
          </cell>
        </row>
        <row r="42">
          <cell r="G42">
            <v>0</v>
          </cell>
          <cell r="L42">
            <v>0</v>
          </cell>
        </row>
        <row r="43">
          <cell r="G43">
            <v>0</v>
          </cell>
          <cell r="L43">
            <v>0</v>
          </cell>
        </row>
        <row r="44">
          <cell r="G44">
            <v>0</v>
          </cell>
          <cell r="L44">
            <v>0</v>
          </cell>
        </row>
        <row r="45">
          <cell r="G45">
            <v>-2157659.0300000003</v>
          </cell>
          <cell r="L45">
            <v>-370048.97</v>
          </cell>
        </row>
        <row r="46">
          <cell r="G46">
            <v>0</v>
          </cell>
          <cell r="L46">
            <v>0</v>
          </cell>
        </row>
        <row r="49">
          <cell r="G49">
            <v>0</v>
          </cell>
        </row>
      </sheetData>
      <sheetData sheetId="15">
        <row r="10">
          <cell r="G10">
            <v>0</v>
          </cell>
          <cell r="L10">
            <v>0</v>
          </cell>
        </row>
        <row r="11">
          <cell r="G11">
            <v>219283.87</v>
          </cell>
          <cell r="L11">
            <v>0</v>
          </cell>
        </row>
        <row r="12">
          <cell r="G12">
            <v>0</v>
          </cell>
          <cell r="L12">
            <v>0</v>
          </cell>
        </row>
        <row r="13">
          <cell r="G13">
            <v>994215.57</v>
          </cell>
          <cell r="L13">
            <v>139981.94</v>
          </cell>
        </row>
        <row r="14">
          <cell r="G14">
            <v>0</v>
          </cell>
          <cell r="L14">
            <v>0</v>
          </cell>
        </row>
        <row r="15">
          <cell r="G15">
            <v>0</v>
          </cell>
          <cell r="L15">
            <v>0</v>
          </cell>
        </row>
        <row r="16">
          <cell r="G16">
            <v>2762235.0800000005</v>
          </cell>
          <cell r="L16">
            <v>1720437.23</v>
          </cell>
        </row>
        <row r="17">
          <cell r="G17">
            <v>0</v>
          </cell>
          <cell r="L17">
            <v>0</v>
          </cell>
        </row>
        <row r="18">
          <cell r="G18">
            <v>1557311.0200000003</v>
          </cell>
          <cell r="L18">
            <v>217740.51</v>
          </cell>
        </row>
        <row r="19">
          <cell r="G19">
            <v>4213753.779999999</v>
          </cell>
          <cell r="L19">
            <v>1036322.75</v>
          </cell>
        </row>
        <row r="20">
          <cell r="G20">
            <v>1228943.19</v>
          </cell>
          <cell r="L20">
            <v>216942.86</v>
          </cell>
        </row>
        <row r="21">
          <cell r="G21">
            <v>3066153.88</v>
          </cell>
          <cell r="L21">
            <v>1941432.4200000002</v>
          </cell>
        </row>
        <row r="22">
          <cell r="G22">
            <v>5351048.92</v>
          </cell>
          <cell r="L22">
            <v>2408630.51</v>
          </cell>
        </row>
        <row r="23">
          <cell r="G23">
            <v>599529.14</v>
          </cell>
          <cell r="L23">
            <v>164187.34</v>
          </cell>
        </row>
        <row r="24">
          <cell r="G24">
            <v>225726.14489999996</v>
          </cell>
          <cell r="L24">
            <v>157637.57969999994</v>
          </cell>
        </row>
        <row r="25">
          <cell r="G25">
            <v>1822179</v>
          </cell>
          <cell r="L25">
            <v>243757.83333333334</v>
          </cell>
        </row>
        <row r="26">
          <cell r="G26">
            <v>0</v>
          </cell>
          <cell r="L26">
            <v>0</v>
          </cell>
        </row>
        <row r="27">
          <cell r="G27">
            <v>0</v>
          </cell>
          <cell r="L27">
            <v>0</v>
          </cell>
        </row>
        <row r="28">
          <cell r="G28">
            <v>0</v>
          </cell>
          <cell r="L28">
            <v>0</v>
          </cell>
        </row>
        <row r="29">
          <cell r="G29">
            <v>0</v>
          </cell>
          <cell r="L29">
            <v>0</v>
          </cell>
        </row>
        <row r="30">
          <cell r="G30">
            <v>0</v>
          </cell>
          <cell r="L30">
            <v>0</v>
          </cell>
        </row>
        <row r="31">
          <cell r="G31">
            <v>82025.63</v>
          </cell>
          <cell r="L31">
            <v>14286.310000000001</v>
          </cell>
        </row>
        <row r="32">
          <cell r="G32">
            <v>81199.28999999998</v>
          </cell>
          <cell r="L32">
            <v>23944.889999999992</v>
          </cell>
        </row>
        <row r="33">
          <cell r="G33">
            <v>163875.62</v>
          </cell>
          <cell r="L33">
            <v>73711.56</v>
          </cell>
        </row>
        <row r="34">
          <cell r="G34">
            <v>123706</v>
          </cell>
          <cell r="L34">
            <v>52475.2</v>
          </cell>
        </row>
        <row r="35">
          <cell r="G35">
            <v>759704.8999999999</v>
          </cell>
          <cell r="L35">
            <v>244836.7</v>
          </cell>
        </row>
        <row r="36">
          <cell r="G36">
            <v>0</v>
          </cell>
          <cell r="L36">
            <v>0</v>
          </cell>
        </row>
        <row r="37">
          <cell r="G37">
            <v>233729.88</v>
          </cell>
          <cell r="L37">
            <v>67779.8</v>
          </cell>
        </row>
        <row r="38">
          <cell r="G38">
            <v>18711.5</v>
          </cell>
          <cell r="L38">
            <v>2806.73</v>
          </cell>
        </row>
        <row r="39">
          <cell r="G39">
            <v>0</v>
          </cell>
          <cell r="L39">
            <v>0</v>
          </cell>
        </row>
        <row r="40">
          <cell r="G40">
            <v>0</v>
          </cell>
          <cell r="L40">
            <v>0</v>
          </cell>
        </row>
        <row r="41">
          <cell r="G41">
            <v>0</v>
          </cell>
          <cell r="L41">
            <v>0</v>
          </cell>
        </row>
        <row r="42">
          <cell r="G42">
            <v>0</v>
          </cell>
          <cell r="L42">
            <v>0</v>
          </cell>
        </row>
        <row r="43">
          <cell r="G43">
            <v>0</v>
          </cell>
          <cell r="L43">
            <v>0</v>
          </cell>
        </row>
        <row r="44">
          <cell r="G44">
            <v>0</v>
          </cell>
          <cell r="L44">
            <v>0</v>
          </cell>
        </row>
        <row r="45">
          <cell r="G45">
            <v>0</v>
          </cell>
          <cell r="L45">
            <v>0</v>
          </cell>
        </row>
        <row r="46">
          <cell r="G46">
            <v>0</v>
          </cell>
          <cell r="L46">
            <v>0</v>
          </cell>
        </row>
        <row r="47">
          <cell r="G47">
            <v>-2257659.0300000003</v>
          </cell>
          <cell r="L47">
            <v>-439741.75</v>
          </cell>
        </row>
        <row r="48">
          <cell r="G48">
            <v>0</v>
          </cell>
          <cell r="L4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ital budget"/>
    </sheetNames>
    <sheetDataSet>
      <sheetData sheetId="0">
        <row r="7">
          <cell r="L7">
            <v>75000</v>
          </cell>
          <cell r="M7">
            <v>75000</v>
          </cell>
        </row>
        <row r="9">
          <cell r="L9">
            <v>450000</v>
          </cell>
          <cell r="M9">
            <v>240000</v>
          </cell>
        </row>
        <row r="10">
          <cell r="L10">
            <v>400000</v>
          </cell>
          <cell r="M10">
            <v>209000</v>
          </cell>
        </row>
        <row r="11">
          <cell r="L11">
            <v>350000</v>
          </cell>
          <cell r="M11">
            <v>160000</v>
          </cell>
        </row>
        <row r="12">
          <cell r="L12">
            <v>240000</v>
          </cell>
          <cell r="M12">
            <v>192000</v>
          </cell>
        </row>
        <row r="14">
          <cell r="L14">
            <v>90000</v>
          </cell>
          <cell r="M14">
            <v>24000</v>
          </cell>
        </row>
        <row r="16">
          <cell r="L16">
            <v>20000</v>
          </cell>
          <cell r="M16">
            <v>50000</v>
          </cell>
        </row>
        <row r="17">
          <cell r="L17">
            <v>25000</v>
          </cell>
          <cell r="M17">
            <v>25000</v>
          </cell>
        </row>
        <row r="18">
          <cell r="L18">
            <v>50000</v>
          </cell>
          <cell r="M18">
            <v>150000</v>
          </cell>
        </row>
        <row r="19">
          <cell r="L19">
            <v>50000</v>
          </cell>
          <cell r="M19">
            <v>325000</v>
          </cell>
        </row>
        <row r="20">
          <cell r="M20">
            <v>55000</v>
          </cell>
        </row>
        <row r="21">
          <cell r="L21">
            <v>50000</v>
          </cell>
          <cell r="M21">
            <v>43000</v>
          </cell>
        </row>
        <row r="22">
          <cell r="M22">
            <v>351000</v>
          </cell>
        </row>
        <row r="23">
          <cell r="L23">
            <v>25000</v>
          </cell>
        </row>
        <row r="26">
          <cell r="L26">
            <v>220000</v>
          </cell>
          <cell r="M26">
            <v>100000</v>
          </cell>
        </row>
        <row r="31">
          <cell r="L31">
            <v>10000</v>
          </cell>
        </row>
        <row r="32">
          <cell r="M32">
            <v>300000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08 Buildings"/>
      <sheetName val="1820 Substations"/>
      <sheetName val="1830 Poles"/>
      <sheetName val="1835"/>
      <sheetName val="1835 OH "/>
      <sheetName val="1840 UG"/>
      <sheetName val="1845 Components"/>
      <sheetName val="1845"/>
      <sheetName val="1840"/>
      <sheetName val="1850 Components"/>
      <sheetName val="1855 Components"/>
      <sheetName val="1860 Dumb Meters"/>
      <sheetName val="1860 Smart Meters"/>
      <sheetName val="1915 Components"/>
      <sheetName val="1920 Hardware"/>
      <sheetName val="1925 Software "/>
      <sheetName val="1925 Software SM"/>
      <sheetName val="1930 Transportation"/>
      <sheetName val="1940 Tools Equp"/>
      <sheetName val="1945 Measurement Equp"/>
      <sheetName val="summary of amort"/>
      <sheetName val="Contribution 1995"/>
    </sheetNames>
    <sheetDataSet>
      <sheetData sheetId="0">
        <row r="14">
          <cell r="I14">
            <v>30852.51509090909</v>
          </cell>
        </row>
      </sheetData>
      <sheetData sheetId="1">
        <row r="25">
          <cell r="S25">
            <v>50093.560096330504</v>
          </cell>
        </row>
      </sheetData>
      <sheetData sheetId="2">
        <row r="18">
          <cell r="R18">
            <v>54060.38795170379</v>
          </cell>
        </row>
      </sheetData>
      <sheetData sheetId="4">
        <row r="10">
          <cell r="L10">
            <v>54867.5369067712</v>
          </cell>
        </row>
        <row r="75">
          <cell r="L75">
            <v>38134.16155298666</v>
          </cell>
        </row>
      </sheetData>
      <sheetData sheetId="5">
        <row r="20">
          <cell r="M20">
            <v>36562.89597563206</v>
          </cell>
        </row>
        <row r="81">
          <cell r="M81">
            <v>1414.970308645051</v>
          </cell>
        </row>
      </sheetData>
      <sheetData sheetId="6">
        <row r="11">
          <cell r="L11">
            <v>66640.02436112419</v>
          </cell>
        </row>
        <row r="59">
          <cell r="L59">
            <v>8955.326730265455</v>
          </cell>
        </row>
      </sheetData>
      <sheetData sheetId="9">
        <row r="20">
          <cell r="N20">
            <v>158330.15304186114</v>
          </cell>
        </row>
      </sheetData>
      <sheetData sheetId="10">
        <row r="12">
          <cell r="J12">
            <v>10163.327951515153</v>
          </cell>
        </row>
      </sheetData>
      <sheetData sheetId="11">
        <row r="7">
          <cell r="K7">
            <v>9018.274121666667</v>
          </cell>
        </row>
      </sheetData>
      <sheetData sheetId="12">
        <row r="8">
          <cell r="N8">
            <v>112744.35714285714</v>
          </cell>
        </row>
      </sheetData>
      <sheetData sheetId="13">
        <row r="13">
          <cell r="I13">
            <v>9452.578196078432</v>
          </cell>
        </row>
      </sheetData>
      <sheetData sheetId="14">
        <row r="13">
          <cell r="K13">
            <v>29551.281333333332</v>
          </cell>
        </row>
      </sheetData>
      <sheetData sheetId="15">
        <row r="13">
          <cell r="K13">
            <v>57762.47333333333</v>
          </cell>
        </row>
      </sheetData>
      <sheetData sheetId="16">
        <row r="13">
          <cell r="F13">
            <v>15829.111111111111</v>
          </cell>
        </row>
      </sheetData>
      <sheetData sheetId="17">
        <row r="14">
          <cell r="K14">
            <v>94963.25818181818</v>
          </cell>
        </row>
        <row r="48">
          <cell r="K48">
            <v>5500</v>
          </cell>
        </row>
      </sheetData>
      <sheetData sheetId="18">
        <row r="13">
          <cell r="O13">
            <v>49133.956119047616</v>
          </cell>
        </row>
      </sheetData>
      <sheetData sheetId="19">
        <row r="12">
          <cell r="J12">
            <v>1871.1764705882354</v>
          </cell>
        </row>
      </sheetData>
      <sheetData sheetId="21">
        <row r="22">
          <cell r="Q22">
            <v>-79692.78000000001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nd 1805"/>
      <sheetName val="Land Rights 1806"/>
      <sheetName val="Buildings 1808"/>
      <sheetName val="Victoria St SS 1820"/>
      <sheetName val="Substation Equip 1820"/>
      <sheetName val="Brook RD N 1820"/>
      <sheetName val="Colborne SS 1820"/>
      <sheetName val="Cobourg Whsl. Meter 1820"/>
      <sheetName val="Colborne Whsl. Meter 1820"/>
      <sheetName val="Poles 1830"/>
      <sheetName val="OH Conductors 1835 (1)"/>
      <sheetName val="OH Distribution 1835 (2)"/>
      <sheetName val="Feeders 1835 (3)"/>
      <sheetName val="Subtransmission Colborne 1835"/>
      <sheetName val="UG Conduit 1840"/>
      <sheetName val="UG Conductors 1845"/>
      <sheetName val="Distribution Transformers 1850"/>
      <sheetName val="UG Services 1852"/>
      <sheetName val="Overhead Services 1855"/>
      <sheetName val="METERS 1860"/>
      <sheetName val="Office Renovations 1908"/>
      <sheetName val="Elec Office Furniture 1915"/>
      <sheetName val="Computer Equip. 1920 1925"/>
      <sheetName val="Computer Sofware 1925"/>
      <sheetName val="Trucks 1930"/>
      <sheetName val="Tools 1940-1941,1960"/>
      <sheetName val="Measure Equip-1945"/>
      <sheetName val="Load Management Control 1980"/>
      <sheetName val="Contribution 1995"/>
      <sheetName val="CAPITAL ADDITIONS"/>
      <sheetName val="Smart Meters09 1554 "/>
    </sheetNames>
    <sheetDataSet>
      <sheetData sheetId="2">
        <row r="21">
          <cell r="N21">
            <v>20448.940000000006</v>
          </cell>
        </row>
      </sheetData>
      <sheetData sheetId="3">
        <row r="31">
          <cell r="G31">
            <v>36038.740000000005</v>
          </cell>
        </row>
      </sheetData>
      <sheetData sheetId="4">
        <row r="20">
          <cell r="H20">
            <v>37761.71</v>
          </cell>
        </row>
      </sheetData>
      <sheetData sheetId="5">
        <row r="22">
          <cell r="F22">
            <v>32411.309999999998</v>
          </cell>
        </row>
      </sheetData>
      <sheetData sheetId="6">
        <row r="24">
          <cell r="E24">
            <v>8502.12</v>
          </cell>
        </row>
      </sheetData>
      <sheetData sheetId="7">
        <row r="16">
          <cell r="E16">
            <v>6347.21</v>
          </cell>
        </row>
      </sheetData>
      <sheetData sheetId="8">
        <row r="16">
          <cell r="E16">
            <v>534.07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covery of Stranded Meters"/>
      <sheetName val="Recovery of Smart Meter Costs"/>
      <sheetName val="Revenue Requirement"/>
      <sheetName val="PILs"/>
      <sheetName val="Avg Nt Fix Ass &amp;UCC"/>
      <sheetName val="Table 1"/>
      <sheetName val="Table 2"/>
    </sheetNames>
    <sheetDataSet>
      <sheetData sheetId="0">
        <row r="3">
          <cell r="B3">
            <v>688736.2251</v>
          </cell>
        </row>
        <row r="4">
          <cell r="B4">
            <v>409085.1303</v>
          </cell>
        </row>
      </sheetData>
      <sheetData sheetId="4">
        <row r="9">
          <cell r="I9">
            <v>255355</v>
          </cell>
        </row>
        <row r="10">
          <cell r="H10">
            <v>1566824</v>
          </cell>
        </row>
        <row r="13">
          <cell r="I13">
            <v>8511.833333333334</v>
          </cell>
        </row>
        <row r="14">
          <cell r="I14">
            <v>104454.93333333333</v>
          </cell>
        </row>
        <row r="15">
          <cell r="H15">
            <v>130791.06666666668</v>
          </cell>
        </row>
        <row r="26">
          <cell r="I26">
            <v>8546</v>
          </cell>
        </row>
        <row r="27">
          <cell r="H27">
            <v>115160</v>
          </cell>
        </row>
        <row r="32">
          <cell r="H32">
            <v>28588.6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CCA Continuity 2011"/>
      <sheetName val="FA Continuity 2011"/>
      <sheetName val="FA Continuity 2012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Return on Capital"/>
      <sheetName val="Debt &amp; Capital Structure"/>
      <sheetName val="Trial Balance"/>
      <sheetName val="2012 Rev Deficiency"/>
      <sheetName val="Revenue Requirement"/>
    </sheetNames>
    <sheetDataSet>
      <sheetData sheetId="3">
        <row r="10">
          <cell r="G10">
            <v>54866</v>
          </cell>
          <cell r="L10">
            <v>0</v>
          </cell>
        </row>
        <row r="11">
          <cell r="G11">
            <v>219283.87</v>
          </cell>
          <cell r="L11">
            <v>0</v>
          </cell>
        </row>
        <row r="12">
          <cell r="G12">
            <v>0</v>
          </cell>
          <cell r="L12">
            <v>0</v>
          </cell>
        </row>
        <row r="13">
          <cell r="G13">
            <v>919215.57</v>
          </cell>
          <cell r="L13">
            <v>118783</v>
          </cell>
        </row>
        <row r="14">
          <cell r="G14">
            <v>0</v>
          </cell>
          <cell r="L14">
            <v>0</v>
          </cell>
        </row>
        <row r="15">
          <cell r="G15">
            <v>0</v>
          </cell>
          <cell r="L15">
            <v>0</v>
          </cell>
        </row>
        <row r="16">
          <cell r="G16">
            <v>2762235.0800000005</v>
          </cell>
          <cell r="L16">
            <v>1598842.07</v>
          </cell>
        </row>
        <row r="17">
          <cell r="G17">
            <v>0</v>
          </cell>
          <cell r="L17">
            <v>0</v>
          </cell>
        </row>
        <row r="18">
          <cell r="G18">
            <v>1107311.0200000003</v>
          </cell>
          <cell r="L18">
            <v>164447.98</v>
          </cell>
        </row>
        <row r="19">
          <cell r="G19">
            <v>3813753.78</v>
          </cell>
          <cell r="L19">
            <v>761801.79</v>
          </cell>
        </row>
        <row r="20">
          <cell r="G20">
            <v>878943.19</v>
          </cell>
          <cell r="L20">
            <v>174014.41</v>
          </cell>
        </row>
        <row r="21">
          <cell r="G21">
            <v>3066153.88</v>
          </cell>
          <cell r="L21">
            <v>1819954.81</v>
          </cell>
        </row>
        <row r="22">
          <cell r="G22">
            <v>5111048.92</v>
          </cell>
          <cell r="L22">
            <v>2204716.34</v>
          </cell>
        </row>
        <row r="23">
          <cell r="G23">
            <v>509529.14</v>
          </cell>
          <cell r="L23">
            <v>142491.96</v>
          </cell>
        </row>
        <row r="24">
          <cell r="G24">
            <v>894462.37</v>
          </cell>
          <cell r="L24">
            <v>531279.58</v>
          </cell>
        </row>
        <row r="25">
          <cell r="G25">
            <v>0</v>
          </cell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G27">
            <v>0</v>
          </cell>
          <cell r="L27">
            <v>0</v>
          </cell>
        </row>
        <row r="28">
          <cell r="G28">
            <v>0</v>
          </cell>
          <cell r="L28">
            <v>0</v>
          </cell>
        </row>
        <row r="29">
          <cell r="G29">
            <v>0</v>
          </cell>
          <cell r="L29">
            <v>0</v>
          </cell>
        </row>
        <row r="30">
          <cell r="G30">
            <v>57025.63000000001</v>
          </cell>
          <cell r="L30">
            <v>7333.760000000002</v>
          </cell>
        </row>
        <row r="31">
          <cell r="G31">
            <v>31199.28999999998</v>
          </cell>
          <cell r="L31">
            <v>12705.099999999991</v>
          </cell>
        </row>
        <row r="32">
          <cell r="G32">
            <v>113875.62</v>
          </cell>
          <cell r="L32">
            <v>46333.8</v>
          </cell>
        </row>
        <row r="33">
          <cell r="G33">
            <v>759704.8999999999</v>
          </cell>
          <cell r="L33">
            <v>149873.46000000002</v>
          </cell>
        </row>
        <row r="34">
          <cell r="G34">
            <v>0</v>
          </cell>
          <cell r="L34">
            <v>0</v>
          </cell>
        </row>
        <row r="35">
          <cell r="G35">
            <v>158729.88</v>
          </cell>
          <cell r="L35">
            <v>48849</v>
          </cell>
        </row>
        <row r="36">
          <cell r="G36">
            <v>18711.5</v>
          </cell>
          <cell r="L36">
            <v>935.58</v>
          </cell>
        </row>
        <row r="37">
          <cell r="G37">
            <v>0</v>
          </cell>
          <cell r="L37">
            <v>0</v>
          </cell>
        </row>
        <row r="38">
          <cell r="G38">
            <v>0</v>
          </cell>
          <cell r="L38">
            <v>0</v>
          </cell>
        </row>
        <row r="39">
          <cell r="G39">
            <v>0</v>
          </cell>
          <cell r="L39">
            <v>0</v>
          </cell>
        </row>
        <row r="40">
          <cell r="G40">
            <v>0</v>
          </cell>
          <cell r="L40">
            <v>0</v>
          </cell>
        </row>
        <row r="41">
          <cell r="G41">
            <v>0</v>
          </cell>
          <cell r="L41">
            <v>0</v>
          </cell>
        </row>
        <row r="42">
          <cell r="G42">
            <v>0</v>
          </cell>
          <cell r="L42">
            <v>0</v>
          </cell>
        </row>
        <row r="43">
          <cell r="G43">
            <v>0</v>
          </cell>
          <cell r="L43">
            <v>0</v>
          </cell>
        </row>
        <row r="44">
          <cell r="G44">
            <v>0</v>
          </cell>
          <cell r="L44">
            <v>0</v>
          </cell>
        </row>
        <row r="45">
          <cell r="G45">
            <v>-2157659.0300000003</v>
          </cell>
          <cell r="L45">
            <v>-370048.97</v>
          </cell>
        </row>
        <row r="46">
          <cell r="G46">
            <v>0</v>
          </cell>
          <cell r="L46">
            <v>0</v>
          </cell>
        </row>
        <row r="49">
          <cell r="G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7"/>
  <sheetViews>
    <sheetView tabSelected="1" zoomScale="80" zoomScaleNormal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34" sqref="P34"/>
    </sheetView>
  </sheetViews>
  <sheetFormatPr defaultColWidth="9.140625" defaultRowHeight="12.75"/>
  <cols>
    <col min="1" max="1" width="7.140625" style="5" customWidth="1"/>
    <col min="2" max="2" width="7.421875" style="6" customWidth="1"/>
    <col min="3" max="3" width="40.421875" style="4" customWidth="1"/>
    <col min="4" max="4" width="15.7109375" style="4" customWidth="1"/>
    <col min="5" max="5" width="14.8515625" style="4" customWidth="1"/>
    <col min="6" max="6" width="12.8515625" style="4" customWidth="1"/>
    <col min="7" max="7" width="15.7109375" style="4" customWidth="1"/>
    <col min="8" max="8" width="0.85546875" style="4" hidden="1" customWidth="1"/>
    <col min="9" max="9" width="16.8515625" style="4" customWidth="1"/>
    <col min="10" max="11" width="12.7109375" style="4" customWidth="1"/>
    <col min="12" max="13" width="14.00390625" style="4" customWidth="1"/>
    <col min="14" max="14" width="15.28125" style="0" customWidth="1"/>
    <col min="15" max="15" width="15.57421875" style="38" customWidth="1"/>
    <col min="16" max="17" width="9.140625" style="45" customWidth="1"/>
    <col min="18" max="20" width="9.140625" style="46" customWidth="1"/>
  </cols>
  <sheetData>
    <row r="1" spans="1:13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5"/>
      <c r="B3" s="65"/>
      <c r="C3" s="65"/>
      <c r="D3" s="1"/>
      <c r="E3" s="1"/>
      <c r="F3" s="57" t="s">
        <v>70</v>
      </c>
      <c r="G3" s="57"/>
      <c r="H3" s="57"/>
      <c r="I3" s="57"/>
      <c r="J3" s="57"/>
      <c r="K3" s="3"/>
      <c r="L3" s="3"/>
      <c r="M3" s="3"/>
    </row>
    <row r="4" spans="1:13" ht="12.75">
      <c r="A4" s="65" t="s">
        <v>2</v>
      </c>
      <c r="B4" s="65"/>
      <c r="C4" s="65"/>
      <c r="D4" s="1"/>
      <c r="E4" s="1"/>
      <c r="F4" s="57"/>
      <c r="G4" s="57"/>
      <c r="H4" s="57"/>
      <c r="I4" s="57"/>
      <c r="J4" s="57"/>
      <c r="K4" s="3"/>
      <c r="L4" s="3"/>
      <c r="M4" s="3"/>
    </row>
    <row r="5" spans="1:13" ht="12.75">
      <c r="A5" s="65" t="s">
        <v>3</v>
      </c>
      <c r="B5" s="65"/>
      <c r="C5" s="65"/>
      <c r="D5" s="1"/>
      <c r="E5" s="1"/>
      <c r="F5" s="1"/>
      <c r="H5" s="2"/>
      <c r="I5" s="3"/>
      <c r="J5" s="3"/>
      <c r="K5" s="3"/>
      <c r="L5" s="3"/>
      <c r="M5" s="3"/>
    </row>
    <row r="6" spans="4:13" ht="12.75">
      <c r="D6" s="66" t="s">
        <v>4</v>
      </c>
      <c r="E6" s="66"/>
      <c r="F6" s="66"/>
      <c r="G6" s="66"/>
      <c r="H6" s="2"/>
      <c r="I6" s="66" t="s">
        <v>5</v>
      </c>
      <c r="J6" s="66"/>
      <c r="K6" s="66"/>
      <c r="L6" s="66"/>
      <c r="M6" s="3"/>
    </row>
    <row r="7" spans="3:13" ht="12.75">
      <c r="C7" s="7"/>
      <c r="D7" s="60"/>
      <c r="E7" s="60"/>
      <c r="F7" s="60"/>
      <c r="G7" s="60"/>
      <c r="H7" s="2"/>
      <c r="I7" s="60"/>
      <c r="J7" s="60"/>
      <c r="K7" s="60"/>
      <c r="L7" s="60"/>
      <c r="M7" s="3"/>
    </row>
    <row r="8" spans="1:20" s="8" customFormat="1" ht="12.75">
      <c r="A8" s="61" t="s">
        <v>6</v>
      </c>
      <c r="B8" s="61" t="s">
        <v>7</v>
      </c>
      <c r="C8" s="61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63"/>
      <c r="I8" s="58" t="s">
        <v>9</v>
      </c>
      <c r="J8" s="58" t="s">
        <v>10</v>
      </c>
      <c r="K8" s="58" t="s">
        <v>11</v>
      </c>
      <c r="L8" s="58" t="s">
        <v>12</v>
      </c>
      <c r="M8" s="58" t="s">
        <v>13</v>
      </c>
      <c r="O8" s="39"/>
      <c r="P8" s="47"/>
      <c r="Q8" s="47"/>
      <c r="R8" s="48"/>
      <c r="S8" s="48"/>
      <c r="T8" s="48"/>
    </row>
    <row r="9" spans="1:20" s="8" customFormat="1" ht="12.75">
      <c r="A9" s="62"/>
      <c r="B9" s="62"/>
      <c r="C9" s="62"/>
      <c r="D9" s="59" t="s">
        <v>14</v>
      </c>
      <c r="E9" s="59" t="s">
        <v>10</v>
      </c>
      <c r="F9" s="59"/>
      <c r="G9" s="59"/>
      <c r="H9" s="63"/>
      <c r="I9" s="59" t="s">
        <v>14</v>
      </c>
      <c r="J9" s="59" t="s">
        <v>10</v>
      </c>
      <c r="K9" s="59"/>
      <c r="L9" s="59"/>
      <c r="M9" s="59"/>
      <c r="O9" s="39"/>
      <c r="P9" s="47"/>
      <c r="Q9" s="47"/>
      <c r="R9" s="48"/>
      <c r="S9" s="48"/>
      <c r="T9" s="48"/>
    </row>
    <row r="10" spans="1:20" s="8" customFormat="1" ht="12.75">
      <c r="A10" s="9" t="s">
        <v>15</v>
      </c>
      <c r="B10" s="10">
        <v>1610</v>
      </c>
      <c r="C10" s="11" t="s">
        <v>16</v>
      </c>
      <c r="D10" s="12">
        <f>+'[4]FA Continuity 2011'!G10</f>
        <v>0</v>
      </c>
      <c r="E10" s="13"/>
      <c r="F10" s="14"/>
      <c r="G10" s="15">
        <f>D10+E10-F10</f>
        <v>0</v>
      </c>
      <c r="H10" s="63"/>
      <c r="I10" s="15">
        <f>+'[4]FA Continuity 2011'!L10</f>
        <v>0</v>
      </c>
      <c r="J10" s="16"/>
      <c r="K10" s="17"/>
      <c r="L10" s="15">
        <f>I10+J10-K10</f>
        <v>0</v>
      </c>
      <c r="M10" s="15">
        <f>G10-L10</f>
        <v>0</v>
      </c>
      <c r="O10" s="39"/>
      <c r="P10" s="47"/>
      <c r="Q10" s="47"/>
      <c r="R10" s="48"/>
      <c r="S10" s="48"/>
      <c r="T10" s="48"/>
    </row>
    <row r="11" spans="1:15" ht="12.75">
      <c r="A11" s="9" t="s">
        <v>15</v>
      </c>
      <c r="B11" s="10">
        <v>1805</v>
      </c>
      <c r="C11" s="11" t="s">
        <v>17</v>
      </c>
      <c r="D11" s="12">
        <f>+'[4]FA Continuity 2011'!G11</f>
        <v>219283.87</v>
      </c>
      <c r="E11" s="13"/>
      <c r="F11" s="14"/>
      <c r="G11" s="15">
        <f aca="true" t="shared" si="0" ref="G11:G48">D11+E11-F11</f>
        <v>219283.87</v>
      </c>
      <c r="H11" s="63"/>
      <c r="I11" s="15">
        <f>+'[4]FA Continuity 2011'!L11</f>
        <v>0</v>
      </c>
      <c r="J11" s="16"/>
      <c r="K11" s="17"/>
      <c r="L11" s="15">
        <f aca="true" t="shared" si="1" ref="L11:L48">I11+J11-K11</f>
        <v>0</v>
      </c>
      <c r="M11" s="15">
        <f aca="true" t="shared" si="2" ref="M11:M48">G11-L11</f>
        <v>219283.87</v>
      </c>
      <c r="N11" s="18"/>
      <c r="O11" s="41"/>
    </row>
    <row r="12" spans="1:15" ht="12.75">
      <c r="A12" s="9" t="s">
        <v>18</v>
      </c>
      <c r="B12" s="10">
        <v>1806</v>
      </c>
      <c r="C12" s="11" t="s">
        <v>19</v>
      </c>
      <c r="D12" s="12">
        <f>+'[4]FA Continuity 2011'!G12</f>
        <v>0</v>
      </c>
      <c r="E12" s="13"/>
      <c r="F12" s="14"/>
      <c r="G12" s="15">
        <f t="shared" si="0"/>
        <v>0</v>
      </c>
      <c r="H12" s="63"/>
      <c r="I12" s="15">
        <f>+'[4]FA Continuity 2011'!L12</f>
        <v>0</v>
      </c>
      <c r="J12" s="16"/>
      <c r="K12" s="17"/>
      <c r="L12" s="15">
        <f t="shared" si="1"/>
        <v>0</v>
      </c>
      <c r="M12" s="15">
        <f t="shared" si="2"/>
        <v>0</v>
      </c>
      <c r="N12" s="18"/>
      <c r="O12" s="41"/>
    </row>
    <row r="13" spans="1:15" ht="12.75">
      <c r="A13" s="9">
        <v>47</v>
      </c>
      <c r="B13" s="10">
        <v>1808</v>
      </c>
      <c r="C13" s="11" t="s">
        <v>20</v>
      </c>
      <c r="D13" s="12">
        <f>+'[4]FA Continuity 2011'!G13</f>
        <v>994215.57</v>
      </c>
      <c r="E13" s="13">
        <f>+'[5]capital budget'!$M$7+'[5]capital budget'!$M$32</f>
        <v>375000</v>
      </c>
      <c r="F13" s="14"/>
      <c r="G13" s="15">
        <f t="shared" si="0"/>
        <v>1369215.5699999998</v>
      </c>
      <c r="H13" s="63"/>
      <c r="I13" s="15">
        <f>+'[4]FA Continuity 2011'!L13</f>
        <v>139981.94</v>
      </c>
      <c r="J13" s="17">
        <f>+'[6]1808 Buildings'!$I$14</f>
        <v>30852.51509090909</v>
      </c>
      <c r="K13" s="17"/>
      <c r="L13" s="15">
        <f t="shared" si="1"/>
        <v>170834.4550909091</v>
      </c>
      <c r="M13" s="15">
        <f t="shared" si="2"/>
        <v>1198381.1149090908</v>
      </c>
      <c r="N13" s="18"/>
      <c r="O13" s="41"/>
    </row>
    <row r="14" spans="1:15" ht="12.75">
      <c r="A14" s="9">
        <v>13</v>
      </c>
      <c r="B14" s="10">
        <v>1810</v>
      </c>
      <c r="C14" s="11" t="s">
        <v>21</v>
      </c>
      <c r="D14" s="12">
        <f>+'[4]FA Continuity 2011'!G14</f>
        <v>0</v>
      </c>
      <c r="E14" s="13"/>
      <c r="F14" s="14"/>
      <c r="G14" s="15">
        <f t="shared" si="0"/>
        <v>0</v>
      </c>
      <c r="H14" s="63"/>
      <c r="I14" s="15">
        <f>+'[4]FA Continuity 2011'!L14</f>
        <v>0</v>
      </c>
      <c r="J14" s="16">
        <f>+P14</f>
        <v>0</v>
      </c>
      <c r="K14" s="17"/>
      <c r="L14" s="15">
        <f t="shared" si="1"/>
        <v>0</v>
      </c>
      <c r="M14" s="15">
        <f t="shared" si="2"/>
        <v>0</v>
      </c>
      <c r="O14" s="41"/>
    </row>
    <row r="15" spans="1:15" ht="12.75">
      <c r="A15" s="9">
        <v>47</v>
      </c>
      <c r="B15" s="10">
        <v>1815</v>
      </c>
      <c r="C15" s="11" t="s">
        <v>22</v>
      </c>
      <c r="D15" s="12">
        <f>+'[4]FA Continuity 2011'!G15</f>
        <v>0</v>
      </c>
      <c r="E15" s="13"/>
      <c r="F15" s="14"/>
      <c r="G15" s="15">
        <f t="shared" si="0"/>
        <v>0</v>
      </c>
      <c r="H15" s="63"/>
      <c r="I15" s="15">
        <f>+'[4]FA Continuity 2011'!L15</f>
        <v>0</v>
      </c>
      <c r="J15" s="16">
        <f>+P15</f>
        <v>0</v>
      </c>
      <c r="K15" s="17"/>
      <c r="L15" s="15">
        <f t="shared" si="1"/>
        <v>0</v>
      </c>
      <c r="M15" s="15">
        <f t="shared" si="2"/>
        <v>0</v>
      </c>
      <c r="N15" s="18"/>
      <c r="O15" s="41"/>
    </row>
    <row r="16" spans="1:15" ht="12.75">
      <c r="A16" s="9">
        <v>47</v>
      </c>
      <c r="B16" s="10">
        <v>1820</v>
      </c>
      <c r="C16" s="11" t="s">
        <v>23</v>
      </c>
      <c r="D16" s="12">
        <f>+'[4]FA Continuity 2011'!G16</f>
        <v>2762235.0800000005</v>
      </c>
      <c r="E16" s="13"/>
      <c r="F16" s="14"/>
      <c r="G16" s="15">
        <f t="shared" si="0"/>
        <v>2762235.0800000005</v>
      </c>
      <c r="H16" s="63"/>
      <c r="I16" s="15">
        <f>+'[4]FA Continuity 2011'!L16</f>
        <v>1720437.23</v>
      </c>
      <c r="J16" s="17">
        <f>+'[6]1820 Substations'!$S$25</f>
        <v>50093.560096330504</v>
      </c>
      <c r="K16" s="17"/>
      <c r="L16" s="15">
        <f t="shared" si="1"/>
        <v>1770530.7900963305</v>
      </c>
      <c r="M16" s="15">
        <f t="shared" si="2"/>
        <v>991704.2899036701</v>
      </c>
      <c r="O16" s="41"/>
    </row>
    <row r="17" spans="1:15" ht="12.75">
      <c r="A17" s="9">
        <v>47</v>
      </c>
      <c r="B17" s="10">
        <v>1825</v>
      </c>
      <c r="C17" s="11" t="s">
        <v>24</v>
      </c>
      <c r="D17" s="12">
        <f>+'[4]FA Continuity 2011'!G17</f>
        <v>0</v>
      </c>
      <c r="E17" s="13"/>
      <c r="F17" s="14"/>
      <c r="G17" s="15">
        <f t="shared" si="0"/>
        <v>0</v>
      </c>
      <c r="H17" s="63"/>
      <c r="I17" s="15">
        <f>+'[4]FA Continuity 2011'!L17</f>
        <v>0</v>
      </c>
      <c r="J17" s="16">
        <f>+P17</f>
        <v>0</v>
      </c>
      <c r="K17" s="17"/>
      <c r="L17" s="15">
        <f t="shared" si="1"/>
        <v>0</v>
      </c>
      <c r="M17" s="15">
        <f t="shared" si="2"/>
        <v>0</v>
      </c>
      <c r="N17" s="18"/>
      <c r="O17" s="41"/>
    </row>
    <row r="18" spans="1:15" ht="12.75">
      <c r="A18" s="9">
        <v>47</v>
      </c>
      <c r="B18" s="10">
        <v>1830</v>
      </c>
      <c r="C18" s="11" t="s">
        <v>25</v>
      </c>
      <c r="D18" s="12">
        <f>+'[4]FA Continuity 2011'!G18</f>
        <v>1557311.0200000003</v>
      </c>
      <c r="E18" s="16">
        <f>+'[5]capital budget'!$M$9</f>
        <v>240000</v>
      </c>
      <c r="F18" s="17"/>
      <c r="G18" s="15">
        <f t="shared" si="0"/>
        <v>1797311.0200000003</v>
      </c>
      <c r="H18" s="63"/>
      <c r="I18" s="15">
        <f>+'[4]FA Continuity 2011'!L18</f>
        <v>217740.51</v>
      </c>
      <c r="J18" s="17">
        <f>+'[6]1830 Poles'!$R$18</f>
        <v>54060.38795170379</v>
      </c>
      <c r="K18" s="17"/>
      <c r="L18" s="15">
        <f t="shared" si="1"/>
        <v>271800.8979517038</v>
      </c>
      <c r="M18" s="15">
        <f t="shared" si="2"/>
        <v>1525510.1220482965</v>
      </c>
      <c r="N18" s="18"/>
      <c r="O18" s="41"/>
    </row>
    <row r="19" spans="1:15" ht="12.75">
      <c r="A19" s="9">
        <v>47</v>
      </c>
      <c r="B19" s="10">
        <v>1835</v>
      </c>
      <c r="C19" s="11" t="s">
        <v>26</v>
      </c>
      <c r="D19" s="12">
        <f>+'[4]FA Continuity 2011'!G19</f>
        <v>4213753.779999999</v>
      </c>
      <c r="E19" s="16">
        <f>+'[5]capital budget'!$M$10</f>
        <v>209000</v>
      </c>
      <c r="F19" s="17"/>
      <c r="G19" s="15">
        <f t="shared" si="0"/>
        <v>4422753.779999999</v>
      </c>
      <c r="H19" s="63"/>
      <c r="I19" s="15">
        <f>+'[4]FA Continuity 2011'!L19</f>
        <v>1036322.75</v>
      </c>
      <c r="J19" s="17">
        <f>+'[6]1835 OH '!$L$75+'[6]1835 OH '!$L$10</f>
        <v>93001.69845975787</v>
      </c>
      <c r="K19" s="17"/>
      <c r="L19" s="15">
        <f t="shared" si="1"/>
        <v>1129324.448459758</v>
      </c>
      <c r="M19" s="15">
        <f t="shared" si="2"/>
        <v>3293429.3315402414</v>
      </c>
      <c r="N19" s="18"/>
      <c r="O19" s="41"/>
    </row>
    <row r="20" spans="1:15" ht="12.75">
      <c r="A20" s="9">
        <v>47</v>
      </c>
      <c r="B20" s="10">
        <v>1840</v>
      </c>
      <c r="C20" s="11" t="s">
        <v>27</v>
      </c>
      <c r="D20" s="12">
        <f>+'[4]FA Continuity 2011'!G20</f>
        <v>1228943.19</v>
      </c>
      <c r="E20" s="16">
        <f>+'[5]capital budget'!$M$11</f>
        <v>160000</v>
      </c>
      <c r="F20" s="17"/>
      <c r="G20" s="15">
        <f t="shared" si="0"/>
        <v>1388943.19</v>
      </c>
      <c r="H20" s="63"/>
      <c r="I20" s="15">
        <f>+'[4]FA Continuity 2011'!L20</f>
        <v>216942.86</v>
      </c>
      <c r="J20" s="17">
        <f>+'[6]1840 UG'!$M$20+'[6]1840 UG'!$M$81</f>
        <v>37977.866284277115</v>
      </c>
      <c r="K20" s="17"/>
      <c r="L20" s="15">
        <f t="shared" si="1"/>
        <v>254920.7262842771</v>
      </c>
      <c r="M20" s="15">
        <f t="shared" si="2"/>
        <v>1134022.4637157228</v>
      </c>
      <c r="N20" s="18"/>
      <c r="O20" s="41"/>
    </row>
    <row r="21" spans="1:15" ht="12.75">
      <c r="A21" s="9">
        <v>47</v>
      </c>
      <c r="B21" s="10">
        <v>1845</v>
      </c>
      <c r="C21" s="11" t="s">
        <v>28</v>
      </c>
      <c r="D21" s="12">
        <f>+'[4]FA Continuity 2011'!G21</f>
        <v>3066153.88</v>
      </c>
      <c r="E21" s="16"/>
      <c r="F21" s="17"/>
      <c r="G21" s="15">
        <f t="shared" si="0"/>
        <v>3066153.88</v>
      </c>
      <c r="H21" s="63"/>
      <c r="I21" s="15">
        <f>+'[4]FA Continuity 2011'!L21</f>
        <v>1941432.4200000002</v>
      </c>
      <c r="J21" s="17">
        <f>+'[6]1845 Components'!$L$11+'[6]1845 Components'!$L$59</f>
        <v>75595.35109138965</v>
      </c>
      <c r="K21" s="17"/>
      <c r="L21" s="15">
        <f t="shared" si="1"/>
        <v>2017027.7710913897</v>
      </c>
      <c r="M21" s="15">
        <f t="shared" si="2"/>
        <v>1049126.1089086102</v>
      </c>
      <c r="N21" s="18"/>
      <c r="O21" s="41"/>
    </row>
    <row r="22" spans="1:15" ht="12.75">
      <c r="A22" s="9">
        <v>47</v>
      </c>
      <c r="B22" s="10">
        <v>1850</v>
      </c>
      <c r="C22" s="11" t="s">
        <v>29</v>
      </c>
      <c r="D22" s="12">
        <f>+'[4]FA Continuity 2011'!G22</f>
        <v>5351048.92</v>
      </c>
      <c r="E22" s="16">
        <f>+'[5]capital budget'!$M$12</f>
        <v>192000</v>
      </c>
      <c r="F22" s="17"/>
      <c r="G22" s="15">
        <f t="shared" si="0"/>
        <v>5543048.92</v>
      </c>
      <c r="H22" s="63"/>
      <c r="I22" s="15">
        <f>+'[4]FA Continuity 2011'!L22</f>
        <v>2408630.51</v>
      </c>
      <c r="J22" s="17">
        <f>+'[6]1850 Components'!$N$20</f>
        <v>158330.15304186114</v>
      </c>
      <c r="K22" s="17"/>
      <c r="L22" s="15">
        <f t="shared" si="1"/>
        <v>2566960.663041861</v>
      </c>
      <c r="M22" s="15">
        <f t="shared" si="2"/>
        <v>2976088.256958139</v>
      </c>
      <c r="N22" s="18"/>
      <c r="O22" s="41"/>
    </row>
    <row r="23" spans="1:15" ht="12.75">
      <c r="A23" s="9">
        <v>47</v>
      </c>
      <c r="B23" s="10">
        <v>1855</v>
      </c>
      <c r="C23" s="11" t="s">
        <v>30</v>
      </c>
      <c r="D23" s="12">
        <f>+'[4]FA Continuity 2011'!G23</f>
        <v>599529.14</v>
      </c>
      <c r="E23" s="16">
        <f>+'[5]capital budget'!$M$14</f>
        <v>24000</v>
      </c>
      <c r="F23" s="17"/>
      <c r="G23" s="15">
        <f t="shared" si="0"/>
        <v>623529.14</v>
      </c>
      <c r="H23" s="63"/>
      <c r="I23" s="15">
        <f>+'[4]FA Continuity 2011'!L23</f>
        <v>164187.34</v>
      </c>
      <c r="J23" s="17">
        <f>+'[6]1855 Components'!$J$12</f>
        <v>10163.327951515153</v>
      </c>
      <c r="K23" s="17"/>
      <c r="L23" s="15">
        <f t="shared" si="1"/>
        <v>174350.66795151515</v>
      </c>
      <c r="M23" s="15">
        <f t="shared" si="2"/>
        <v>449178.47204848484</v>
      </c>
      <c r="N23" s="18"/>
      <c r="O23" s="41"/>
    </row>
    <row r="24" spans="1:15" ht="12.75">
      <c r="A24" s="9">
        <v>47</v>
      </c>
      <c r="B24" s="10">
        <v>1860</v>
      </c>
      <c r="C24" s="11" t="s">
        <v>31</v>
      </c>
      <c r="D24" s="12">
        <f>+'[4]FA Continuity 2011'!G24</f>
        <v>225726.14489999996</v>
      </c>
      <c r="E24" s="16">
        <f>+'[5]capital budget'!$M$16</f>
        <v>50000</v>
      </c>
      <c r="F24" s="17"/>
      <c r="G24" s="15">
        <f t="shared" si="0"/>
        <v>275726.14489999996</v>
      </c>
      <c r="H24" s="63"/>
      <c r="I24" s="15">
        <f>+'[4]FA Continuity 2011'!L24</f>
        <v>157637.57969999994</v>
      </c>
      <c r="J24" s="17">
        <f>+'[6]1860 Dumb Meters'!$K$7</f>
        <v>9018.274121666667</v>
      </c>
      <c r="K24" s="17"/>
      <c r="L24" s="15">
        <f t="shared" si="1"/>
        <v>166655.85382166662</v>
      </c>
      <c r="M24" s="15">
        <f t="shared" si="2"/>
        <v>109070.29107833334</v>
      </c>
      <c r="N24" s="18"/>
      <c r="O24" s="41"/>
    </row>
    <row r="25" spans="1:15" ht="12.75">
      <c r="A25" s="9">
        <v>47</v>
      </c>
      <c r="B25" s="10">
        <v>1860</v>
      </c>
      <c r="C25" s="11" t="s">
        <v>32</v>
      </c>
      <c r="D25" s="12">
        <f>+'[4]FA Continuity 2011'!G25</f>
        <v>1822179</v>
      </c>
      <c r="E25" s="16"/>
      <c r="F25" s="17"/>
      <c r="G25" s="15">
        <f t="shared" si="0"/>
        <v>1822179</v>
      </c>
      <c r="H25" s="63"/>
      <c r="I25" s="15">
        <f>+'[4]FA Continuity 2011'!L25</f>
        <v>243757.83333333334</v>
      </c>
      <c r="J25" s="17">
        <f>+'[6]1860 Smart Meters'!$N$8</f>
        <v>112744.35714285714</v>
      </c>
      <c r="K25" s="17"/>
      <c r="L25" s="15">
        <f t="shared" si="1"/>
        <v>356502.1904761905</v>
      </c>
      <c r="M25" s="15">
        <f t="shared" si="2"/>
        <v>1465676.8095238095</v>
      </c>
      <c r="N25" s="18"/>
      <c r="O25" s="41"/>
    </row>
    <row r="26" spans="1:15" ht="12.75">
      <c r="A26" s="9" t="s">
        <v>15</v>
      </c>
      <c r="B26" s="10">
        <v>1865</v>
      </c>
      <c r="C26" s="11" t="s">
        <v>33</v>
      </c>
      <c r="D26" s="12">
        <f>+'[4]FA Continuity 2011'!G26</f>
        <v>0</v>
      </c>
      <c r="E26" s="16"/>
      <c r="F26" s="17"/>
      <c r="G26" s="15">
        <f t="shared" si="0"/>
        <v>0</v>
      </c>
      <c r="H26" s="63"/>
      <c r="I26" s="15">
        <f>+'[4]FA Continuity 2011'!L26</f>
        <v>0</v>
      </c>
      <c r="J26" s="16">
        <f>+P26</f>
        <v>0</v>
      </c>
      <c r="K26" s="17"/>
      <c r="L26" s="15">
        <f t="shared" si="1"/>
        <v>0</v>
      </c>
      <c r="M26" s="15">
        <f t="shared" si="2"/>
        <v>0</v>
      </c>
      <c r="N26" s="18"/>
      <c r="O26" s="41"/>
    </row>
    <row r="27" spans="1:15" ht="12.75">
      <c r="A27" s="9" t="s">
        <v>15</v>
      </c>
      <c r="B27" s="10">
        <v>1905</v>
      </c>
      <c r="C27" s="11" t="s">
        <v>17</v>
      </c>
      <c r="D27" s="12">
        <f>+'[4]FA Continuity 2011'!G27</f>
        <v>0</v>
      </c>
      <c r="E27" s="16"/>
      <c r="F27" s="17"/>
      <c r="G27" s="15">
        <f t="shared" si="0"/>
        <v>0</v>
      </c>
      <c r="H27" s="63"/>
      <c r="I27" s="15">
        <f>+'[4]FA Continuity 2011'!L27</f>
        <v>0</v>
      </c>
      <c r="J27" s="16">
        <f>+P27</f>
        <v>0</v>
      </c>
      <c r="K27" s="17"/>
      <c r="L27" s="15">
        <f t="shared" si="1"/>
        <v>0</v>
      </c>
      <c r="M27" s="15">
        <f t="shared" si="2"/>
        <v>0</v>
      </c>
      <c r="N27" s="18"/>
      <c r="O27" s="41"/>
    </row>
    <row r="28" spans="1:15" ht="12.75">
      <c r="A28" s="9" t="s">
        <v>18</v>
      </c>
      <c r="B28" s="10">
        <v>1906</v>
      </c>
      <c r="C28" s="11" t="s">
        <v>19</v>
      </c>
      <c r="D28" s="12">
        <f>+'[4]FA Continuity 2011'!G28</f>
        <v>0</v>
      </c>
      <c r="E28" s="16"/>
      <c r="F28" s="17"/>
      <c r="G28" s="15">
        <f t="shared" si="0"/>
        <v>0</v>
      </c>
      <c r="H28" s="63"/>
      <c r="I28" s="15">
        <f>+'[4]FA Continuity 2011'!L28</f>
        <v>0</v>
      </c>
      <c r="J28" s="16">
        <f>+P28</f>
        <v>0</v>
      </c>
      <c r="K28" s="17"/>
      <c r="L28" s="15">
        <f t="shared" si="1"/>
        <v>0</v>
      </c>
      <c r="M28" s="15">
        <f t="shared" si="2"/>
        <v>0</v>
      </c>
      <c r="N28" s="18"/>
      <c r="O28" s="41"/>
    </row>
    <row r="29" spans="1:15" ht="12.75">
      <c r="A29" s="9">
        <v>47</v>
      </c>
      <c r="B29" s="10">
        <v>1908</v>
      </c>
      <c r="C29" s="11" t="s">
        <v>20</v>
      </c>
      <c r="D29" s="12">
        <f>+'[4]FA Continuity 2011'!G29</f>
        <v>0</v>
      </c>
      <c r="E29" s="16"/>
      <c r="F29" s="17"/>
      <c r="G29" s="15">
        <f t="shared" si="0"/>
        <v>0</v>
      </c>
      <c r="H29" s="63"/>
      <c r="I29" s="15">
        <f>+'[4]FA Continuity 2011'!L29</f>
        <v>0</v>
      </c>
      <c r="J29" s="16">
        <f>+P29</f>
        <v>0</v>
      </c>
      <c r="K29" s="17"/>
      <c r="L29" s="15">
        <f t="shared" si="1"/>
        <v>0</v>
      </c>
      <c r="M29" s="15">
        <f t="shared" si="2"/>
        <v>0</v>
      </c>
      <c r="N29" s="18"/>
      <c r="O29" s="41"/>
    </row>
    <row r="30" spans="1:15" ht="12.75">
      <c r="A30" s="9">
        <v>13</v>
      </c>
      <c r="B30" s="10">
        <v>1910</v>
      </c>
      <c r="C30" s="11" t="s">
        <v>21</v>
      </c>
      <c r="D30" s="12">
        <f>+'[4]FA Continuity 2011'!G30</f>
        <v>0</v>
      </c>
      <c r="E30" s="16"/>
      <c r="F30" s="17"/>
      <c r="G30" s="15">
        <f t="shared" si="0"/>
        <v>0</v>
      </c>
      <c r="H30" s="63"/>
      <c r="I30" s="15">
        <f>+'[4]FA Continuity 2011'!L30</f>
        <v>0</v>
      </c>
      <c r="J30" s="16">
        <f>+P30</f>
        <v>0</v>
      </c>
      <c r="K30" s="17"/>
      <c r="L30" s="15">
        <f t="shared" si="1"/>
        <v>0</v>
      </c>
      <c r="M30" s="15">
        <f t="shared" si="2"/>
        <v>0</v>
      </c>
      <c r="N30" s="18"/>
      <c r="O30" s="41"/>
    </row>
    <row r="31" spans="1:15" ht="12.75">
      <c r="A31" s="9">
        <v>8</v>
      </c>
      <c r="B31" s="10">
        <v>1915</v>
      </c>
      <c r="C31" s="11" t="s">
        <v>34</v>
      </c>
      <c r="D31" s="12">
        <f>+'[4]FA Continuity 2011'!G31</f>
        <v>82025.63</v>
      </c>
      <c r="E31" s="16">
        <f>+'[5]capital budget'!$M$17</f>
        <v>25000</v>
      </c>
      <c r="F31" s="17"/>
      <c r="G31" s="15">
        <f t="shared" si="0"/>
        <v>107025.63</v>
      </c>
      <c r="H31" s="63"/>
      <c r="I31" s="15">
        <f>+'[4]FA Continuity 2011'!L31</f>
        <v>14286.310000000001</v>
      </c>
      <c r="J31" s="17">
        <f>+'[6]1915 Components'!$I$13</f>
        <v>9452.578196078432</v>
      </c>
      <c r="K31" s="17"/>
      <c r="L31" s="15">
        <f t="shared" si="1"/>
        <v>23738.888196078435</v>
      </c>
      <c r="M31" s="15">
        <f>G31-L31</f>
        <v>83286.74180392157</v>
      </c>
      <c r="N31" s="18"/>
      <c r="O31" s="41"/>
    </row>
    <row r="32" spans="1:15" ht="12.75">
      <c r="A32" s="9">
        <v>10</v>
      </c>
      <c r="B32" s="10">
        <v>1920</v>
      </c>
      <c r="C32" s="11" t="s">
        <v>35</v>
      </c>
      <c r="D32" s="12">
        <f>+'[4]FA Continuity 2011'!G32</f>
        <v>81199.28999999998</v>
      </c>
      <c r="E32" s="16">
        <f>+'[5]capital budget'!$M$18</f>
        <v>150000</v>
      </c>
      <c r="F32" s="17"/>
      <c r="G32" s="15">
        <f t="shared" si="0"/>
        <v>231199.28999999998</v>
      </c>
      <c r="H32" s="63"/>
      <c r="I32" s="15">
        <f>+'[4]FA Continuity 2011'!L32</f>
        <v>23944.889999999992</v>
      </c>
      <c r="J32" s="17">
        <f>+'[6]1920 Hardware'!$K$13</f>
        <v>29551.281333333332</v>
      </c>
      <c r="K32" s="17"/>
      <c r="L32" s="15">
        <f t="shared" si="1"/>
        <v>53496.171333333325</v>
      </c>
      <c r="M32" s="15">
        <f t="shared" si="2"/>
        <v>177703.11866666665</v>
      </c>
      <c r="N32" s="18"/>
      <c r="O32" s="41"/>
    </row>
    <row r="33" spans="1:15" ht="12.75">
      <c r="A33" s="9">
        <v>12</v>
      </c>
      <c r="B33" s="10">
        <v>1925</v>
      </c>
      <c r="C33" s="11" t="s">
        <v>36</v>
      </c>
      <c r="D33" s="12">
        <f>+'[4]FA Continuity 2011'!G33</f>
        <v>163875.62</v>
      </c>
      <c r="E33" s="16">
        <f>+'[5]capital budget'!$M$19</f>
        <v>325000</v>
      </c>
      <c r="F33" s="17"/>
      <c r="G33" s="15">
        <f t="shared" si="0"/>
        <v>488875.62</v>
      </c>
      <c r="H33" s="63"/>
      <c r="I33" s="15">
        <f>+'[4]FA Continuity 2011'!L33</f>
        <v>73711.56</v>
      </c>
      <c r="J33" s="17">
        <f>+'[6]1925 Software '!$K$13</f>
        <v>57762.47333333333</v>
      </c>
      <c r="K33" s="17"/>
      <c r="L33" s="15">
        <f t="shared" si="1"/>
        <v>131474.03333333333</v>
      </c>
      <c r="M33" s="15">
        <f t="shared" si="2"/>
        <v>357401.58666666667</v>
      </c>
      <c r="N33" s="18"/>
      <c r="O33" s="41"/>
    </row>
    <row r="34" spans="1:15" ht="12.75">
      <c r="A34" s="9">
        <v>12</v>
      </c>
      <c r="B34" s="10">
        <v>1925</v>
      </c>
      <c r="C34" s="11" t="s">
        <v>37</v>
      </c>
      <c r="D34" s="12">
        <f>+'[4]FA Continuity 2011'!G34</f>
        <v>123706</v>
      </c>
      <c r="E34" s="16"/>
      <c r="F34" s="17"/>
      <c r="G34" s="15">
        <f t="shared" si="0"/>
        <v>123706</v>
      </c>
      <c r="H34" s="63"/>
      <c r="I34" s="15">
        <f>+'[4]FA Continuity 2011'!L34</f>
        <v>52475.2</v>
      </c>
      <c r="J34" s="17">
        <f>+'[6]1925 Software SM'!$F$13</f>
        <v>15829.111111111111</v>
      </c>
      <c r="K34" s="17"/>
      <c r="L34" s="15">
        <f t="shared" si="1"/>
        <v>68304.3111111111</v>
      </c>
      <c r="M34" s="15">
        <f t="shared" si="2"/>
        <v>55401.68888888889</v>
      </c>
      <c r="N34" s="18"/>
      <c r="O34" s="41"/>
    </row>
    <row r="35" spans="1:15" ht="12.75">
      <c r="A35" s="9">
        <v>10</v>
      </c>
      <c r="B35" s="10">
        <v>1930</v>
      </c>
      <c r="C35" s="11" t="s">
        <v>38</v>
      </c>
      <c r="D35" s="12">
        <f>+'[4]FA Continuity 2011'!G35</f>
        <v>759704.8999999999</v>
      </c>
      <c r="E35" s="19">
        <f>+'[5]capital budget'!$M$20</f>
        <v>55000</v>
      </c>
      <c r="F35" s="17"/>
      <c r="G35" s="15">
        <f t="shared" si="0"/>
        <v>814704.8999999999</v>
      </c>
      <c r="H35" s="63"/>
      <c r="I35" s="15">
        <f>+'[4]FA Continuity 2011'!L35</f>
        <v>244836.7</v>
      </c>
      <c r="J35" s="17">
        <f>+'[6]1930 Transportation'!$K$14+'[6]1930 Transportation'!$K$48</f>
        <v>100463.25818181818</v>
      </c>
      <c r="K35" s="17"/>
      <c r="L35" s="15">
        <f t="shared" si="1"/>
        <v>345299.9581818182</v>
      </c>
      <c r="M35" s="15">
        <f t="shared" si="2"/>
        <v>469404.9418181817</v>
      </c>
      <c r="N35" s="18"/>
      <c r="O35" s="41"/>
    </row>
    <row r="36" spans="1:15" ht="12.75">
      <c r="A36" s="9">
        <v>8</v>
      </c>
      <c r="B36" s="10">
        <v>1935</v>
      </c>
      <c r="C36" s="11" t="s">
        <v>39</v>
      </c>
      <c r="D36" s="12">
        <f>+'[4]FA Continuity 2011'!G36</f>
        <v>0</v>
      </c>
      <c r="E36" s="16"/>
      <c r="F36" s="17"/>
      <c r="G36" s="15">
        <f t="shared" si="0"/>
        <v>0</v>
      </c>
      <c r="H36" s="63"/>
      <c r="I36" s="15">
        <f>+'[4]FA Continuity 2011'!L36</f>
        <v>0</v>
      </c>
      <c r="J36" s="16">
        <f>+P36</f>
        <v>0</v>
      </c>
      <c r="K36" s="17"/>
      <c r="L36" s="15">
        <f t="shared" si="1"/>
        <v>0</v>
      </c>
      <c r="M36" s="15">
        <f t="shared" si="2"/>
        <v>0</v>
      </c>
      <c r="N36" s="18"/>
      <c r="O36" s="41"/>
    </row>
    <row r="37" spans="1:15" ht="12.75">
      <c r="A37" s="9">
        <v>8</v>
      </c>
      <c r="B37" s="10">
        <v>1940</v>
      </c>
      <c r="C37" s="11" t="s">
        <v>40</v>
      </c>
      <c r="D37" s="12">
        <f>+'[4]FA Continuity 2011'!G37</f>
        <v>233729.88</v>
      </c>
      <c r="E37" s="16">
        <f>+'[5]capital budget'!$M$22+'[5]capital budget'!$M$21</f>
        <v>394000</v>
      </c>
      <c r="F37" s="17"/>
      <c r="G37" s="15">
        <f t="shared" si="0"/>
        <v>627729.88</v>
      </c>
      <c r="H37" s="63"/>
      <c r="I37" s="15">
        <f>+'[4]FA Continuity 2011'!L37</f>
        <v>67779.8</v>
      </c>
      <c r="J37" s="17">
        <f>+'[6]1940 Tools Equp'!$O$13</f>
        <v>49133.956119047616</v>
      </c>
      <c r="K37" s="17"/>
      <c r="L37" s="15">
        <f t="shared" si="1"/>
        <v>116913.75611904761</v>
      </c>
      <c r="M37" s="15">
        <f t="shared" si="2"/>
        <v>510816.12388095236</v>
      </c>
      <c r="N37" s="18"/>
      <c r="O37" s="41"/>
    </row>
    <row r="38" spans="1:15" ht="12.75">
      <c r="A38" s="9">
        <v>8</v>
      </c>
      <c r="B38" s="10">
        <v>1945</v>
      </c>
      <c r="C38" s="11" t="s">
        <v>41</v>
      </c>
      <c r="D38" s="12">
        <f>+'[4]FA Continuity 2011'!G38</f>
        <v>18711.5</v>
      </c>
      <c r="E38" s="16"/>
      <c r="F38" s="17"/>
      <c r="G38" s="15">
        <f t="shared" si="0"/>
        <v>18711.5</v>
      </c>
      <c r="H38" s="63"/>
      <c r="I38" s="15">
        <f>+'[4]FA Continuity 2011'!L38</f>
        <v>2806.73</v>
      </c>
      <c r="J38" s="17">
        <f>+'[6]1945 Measurement Equp'!$J$12</f>
        <v>1871.1764705882354</v>
      </c>
      <c r="K38" s="17"/>
      <c r="L38" s="15">
        <f t="shared" si="1"/>
        <v>4677.906470588236</v>
      </c>
      <c r="M38" s="15">
        <f t="shared" si="2"/>
        <v>14033.593529411764</v>
      </c>
      <c r="N38" s="18"/>
      <c r="O38" s="41"/>
    </row>
    <row r="39" spans="1:15" ht="12.75">
      <c r="A39" s="9">
        <v>8</v>
      </c>
      <c r="B39" s="10">
        <v>1950</v>
      </c>
      <c r="C39" s="11" t="s">
        <v>42</v>
      </c>
      <c r="D39" s="12">
        <f>+'[4]FA Continuity 2011'!G39</f>
        <v>0</v>
      </c>
      <c r="E39" s="16"/>
      <c r="F39" s="17"/>
      <c r="G39" s="15">
        <f t="shared" si="0"/>
        <v>0</v>
      </c>
      <c r="H39" s="63"/>
      <c r="I39" s="15">
        <f>+'[4]FA Continuity 2011'!L39</f>
        <v>0</v>
      </c>
      <c r="J39" s="16">
        <f aca="true" t="shared" si="3" ref="J39:J46">+P39</f>
        <v>0</v>
      </c>
      <c r="K39" s="17"/>
      <c r="L39" s="15">
        <f t="shared" si="1"/>
        <v>0</v>
      </c>
      <c r="M39" s="15">
        <f t="shared" si="2"/>
        <v>0</v>
      </c>
      <c r="N39" s="18"/>
      <c r="O39" s="41"/>
    </row>
    <row r="40" spans="1:15" ht="12.75">
      <c r="A40" s="9">
        <v>8</v>
      </c>
      <c r="B40" s="10">
        <v>1955</v>
      </c>
      <c r="C40" s="11" t="s">
        <v>43</v>
      </c>
      <c r="D40" s="12">
        <f>+'[4]FA Continuity 2011'!G40</f>
        <v>0</v>
      </c>
      <c r="E40" s="16"/>
      <c r="F40" s="17"/>
      <c r="G40" s="15">
        <f t="shared" si="0"/>
        <v>0</v>
      </c>
      <c r="H40" s="63"/>
      <c r="I40" s="15">
        <f>+'[4]FA Continuity 2011'!L40</f>
        <v>0</v>
      </c>
      <c r="J40" s="16">
        <f t="shared" si="3"/>
        <v>0</v>
      </c>
      <c r="K40" s="17"/>
      <c r="L40" s="15">
        <f t="shared" si="1"/>
        <v>0</v>
      </c>
      <c r="M40" s="15">
        <f t="shared" si="2"/>
        <v>0</v>
      </c>
      <c r="N40" s="18"/>
      <c r="O40" s="41"/>
    </row>
    <row r="41" spans="1:15" ht="12.75">
      <c r="A41" s="9">
        <v>8</v>
      </c>
      <c r="B41" s="10">
        <v>1960</v>
      </c>
      <c r="C41" s="11" t="s">
        <v>44</v>
      </c>
      <c r="D41" s="12">
        <f>+'[4]FA Continuity 2011'!G41</f>
        <v>0</v>
      </c>
      <c r="E41" s="16"/>
      <c r="F41" s="17"/>
      <c r="G41" s="15">
        <f t="shared" si="0"/>
        <v>0</v>
      </c>
      <c r="H41" s="63"/>
      <c r="I41" s="15">
        <f>+'[4]FA Continuity 2011'!L41</f>
        <v>0</v>
      </c>
      <c r="J41" s="16">
        <f t="shared" si="3"/>
        <v>0</v>
      </c>
      <c r="K41" s="17"/>
      <c r="L41" s="15">
        <f t="shared" si="1"/>
        <v>0</v>
      </c>
      <c r="M41" s="15">
        <f t="shared" si="2"/>
        <v>0</v>
      </c>
      <c r="N41" s="18"/>
      <c r="O41" s="41"/>
    </row>
    <row r="42" spans="1:15" ht="12.75">
      <c r="A42" s="9">
        <v>47</v>
      </c>
      <c r="B42" s="10">
        <v>1970</v>
      </c>
      <c r="C42" s="11" t="s">
        <v>45</v>
      </c>
      <c r="D42" s="12">
        <f>+'[4]FA Continuity 2011'!G42</f>
        <v>0</v>
      </c>
      <c r="E42" s="16"/>
      <c r="F42" s="17"/>
      <c r="G42" s="15">
        <f t="shared" si="0"/>
        <v>0</v>
      </c>
      <c r="H42" s="63"/>
      <c r="I42" s="15">
        <f>+'[4]FA Continuity 2011'!L42</f>
        <v>0</v>
      </c>
      <c r="J42" s="16">
        <f t="shared" si="3"/>
        <v>0</v>
      </c>
      <c r="K42" s="17"/>
      <c r="L42" s="15">
        <f t="shared" si="1"/>
        <v>0</v>
      </c>
      <c r="M42" s="15">
        <f t="shared" si="2"/>
        <v>0</v>
      </c>
      <c r="N42" s="18"/>
      <c r="O42" s="41"/>
    </row>
    <row r="43" spans="1:15" ht="12.75">
      <c r="A43" s="9">
        <v>47</v>
      </c>
      <c r="B43" s="10">
        <v>1975</v>
      </c>
      <c r="C43" s="11" t="s">
        <v>46</v>
      </c>
      <c r="D43" s="12">
        <f>+'[4]FA Continuity 2011'!G43</f>
        <v>0</v>
      </c>
      <c r="E43" s="16"/>
      <c r="F43" s="17"/>
      <c r="G43" s="15">
        <f t="shared" si="0"/>
        <v>0</v>
      </c>
      <c r="H43" s="63"/>
      <c r="I43" s="15">
        <f>+'[4]FA Continuity 2011'!L43</f>
        <v>0</v>
      </c>
      <c r="J43" s="16">
        <f t="shared" si="3"/>
        <v>0</v>
      </c>
      <c r="K43" s="17"/>
      <c r="L43" s="15">
        <f t="shared" si="1"/>
        <v>0</v>
      </c>
      <c r="M43" s="15">
        <f t="shared" si="2"/>
        <v>0</v>
      </c>
      <c r="N43" s="18"/>
      <c r="O43" s="41"/>
    </row>
    <row r="44" spans="1:15" ht="12.75">
      <c r="A44" s="9">
        <v>47</v>
      </c>
      <c r="B44" s="10">
        <v>1980</v>
      </c>
      <c r="C44" s="11" t="s">
        <v>47</v>
      </c>
      <c r="D44" s="12">
        <f>+'[4]FA Continuity 2011'!G44</f>
        <v>0</v>
      </c>
      <c r="E44" s="16"/>
      <c r="F44" s="17"/>
      <c r="G44" s="15">
        <f t="shared" si="0"/>
        <v>0</v>
      </c>
      <c r="H44" s="63"/>
      <c r="I44" s="15">
        <f>+'[4]FA Continuity 2011'!L44</f>
        <v>0</v>
      </c>
      <c r="J44" s="16">
        <f t="shared" si="3"/>
        <v>0</v>
      </c>
      <c r="K44" s="17"/>
      <c r="L44" s="15">
        <f t="shared" si="1"/>
        <v>0</v>
      </c>
      <c r="M44" s="15">
        <f t="shared" si="2"/>
        <v>0</v>
      </c>
      <c r="N44" s="18"/>
      <c r="O44" s="41"/>
    </row>
    <row r="45" spans="1:15" ht="12.75">
      <c r="A45" s="9">
        <v>47</v>
      </c>
      <c r="B45" s="10">
        <v>1985</v>
      </c>
      <c r="C45" s="11" t="s">
        <v>48</v>
      </c>
      <c r="D45" s="12">
        <f>+'[4]FA Continuity 2011'!G45</f>
        <v>0</v>
      </c>
      <c r="E45" s="16"/>
      <c r="F45" s="17"/>
      <c r="G45" s="15">
        <f t="shared" si="0"/>
        <v>0</v>
      </c>
      <c r="H45" s="63"/>
      <c r="I45" s="15">
        <f>+'[4]FA Continuity 2011'!L45</f>
        <v>0</v>
      </c>
      <c r="J45" s="16">
        <f t="shared" si="3"/>
        <v>0</v>
      </c>
      <c r="K45" s="17"/>
      <c r="L45" s="15">
        <f t="shared" si="1"/>
        <v>0</v>
      </c>
      <c r="M45" s="15">
        <f t="shared" si="2"/>
        <v>0</v>
      </c>
      <c r="N45" s="18"/>
      <c r="O45" s="41"/>
    </row>
    <row r="46" spans="1:15" ht="12.75">
      <c r="A46" s="9">
        <v>47</v>
      </c>
      <c r="B46" s="10">
        <v>1990</v>
      </c>
      <c r="C46" s="11" t="s">
        <v>49</v>
      </c>
      <c r="D46" s="12">
        <f>+'[4]FA Continuity 2011'!G46</f>
        <v>0</v>
      </c>
      <c r="E46" s="16"/>
      <c r="F46" s="17"/>
      <c r="G46" s="15">
        <f t="shared" si="0"/>
        <v>0</v>
      </c>
      <c r="H46" s="63"/>
      <c r="I46" s="15">
        <f>+'[4]FA Continuity 2011'!L46</f>
        <v>0</v>
      </c>
      <c r="J46" s="16">
        <f t="shared" si="3"/>
        <v>0</v>
      </c>
      <c r="K46" s="17"/>
      <c r="L46" s="15">
        <f t="shared" si="1"/>
        <v>0</v>
      </c>
      <c r="M46" s="15">
        <f t="shared" si="2"/>
        <v>0</v>
      </c>
      <c r="N46" s="18"/>
      <c r="O46" s="41"/>
    </row>
    <row r="47" spans="1:15" ht="12.75">
      <c r="A47" s="9">
        <v>47</v>
      </c>
      <c r="B47" s="10">
        <v>1995</v>
      </c>
      <c r="C47" s="11" t="s">
        <v>50</v>
      </c>
      <c r="D47" s="12">
        <f>+'[4]FA Continuity 2011'!G47</f>
        <v>-2257659.0300000003</v>
      </c>
      <c r="E47" s="16">
        <v>-100000</v>
      </c>
      <c r="F47" s="17"/>
      <c r="G47" s="15">
        <f t="shared" si="0"/>
        <v>-2357659.0300000003</v>
      </c>
      <c r="H47" s="63"/>
      <c r="I47" s="15">
        <f>+'[4]FA Continuity 2011'!L47</f>
        <v>-439741.75</v>
      </c>
      <c r="J47" s="16">
        <f>+'[6]Contribution 1995'!$Q$22</f>
        <v>-79692.78000000001</v>
      </c>
      <c r="K47" s="17"/>
      <c r="L47" s="15">
        <f t="shared" si="1"/>
        <v>-519434.53</v>
      </c>
      <c r="M47" s="15">
        <f t="shared" si="2"/>
        <v>-1838224.5000000002</v>
      </c>
      <c r="N47" s="18"/>
      <c r="O47" s="41"/>
    </row>
    <row r="48" spans="1:15" ht="12.75">
      <c r="A48" s="9"/>
      <c r="B48" s="10">
        <v>2005</v>
      </c>
      <c r="C48" s="10" t="s">
        <v>51</v>
      </c>
      <c r="D48" s="12">
        <f>+'[4]FA Continuity 2011'!G48</f>
        <v>0</v>
      </c>
      <c r="E48" s="16"/>
      <c r="F48" s="17"/>
      <c r="G48" s="15">
        <f t="shared" si="0"/>
        <v>0</v>
      </c>
      <c r="H48" s="63"/>
      <c r="I48" s="15">
        <f>+'[4]FA Continuity 2011'!L48</f>
        <v>0</v>
      </c>
      <c r="J48" s="16"/>
      <c r="K48" s="17"/>
      <c r="L48" s="15">
        <f t="shared" si="1"/>
        <v>0</v>
      </c>
      <c r="M48" s="15">
        <f t="shared" si="2"/>
        <v>0</v>
      </c>
      <c r="N48" s="18"/>
      <c r="O48" s="41"/>
    </row>
    <row r="49" spans="1:15" ht="12.75">
      <c r="A49" s="9"/>
      <c r="B49" s="20"/>
      <c r="C49" s="21" t="s">
        <v>52</v>
      </c>
      <c r="D49" s="22">
        <f>SUM(D10:D48)</f>
        <v>21245673.3849</v>
      </c>
      <c r="E49" s="22">
        <f>SUM(E10:E48)</f>
        <v>2099000</v>
      </c>
      <c r="F49" s="22">
        <f>SUM(F10:F48)</f>
        <v>0</v>
      </c>
      <c r="G49" s="22">
        <f>SUM(G10:G48)</f>
        <v>23344673.3849</v>
      </c>
      <c r="H49" s="63"/>
      <c r="I49" s="22">
        <f>SUM(I10:I48)</f>
        <v>8287170.413033331</v>
      </c>
      <c r="J49" s="22">
        <f>SUM(J10:J48)</f>
        <v>816208.5459775784</v>
      </c>
      <c r="K49" s="22">
        <f>SUM(K10:K48)</f>
        <v>0</v>
      </c>
      <c r="L49" s="22">
        <f>SUM(L10:L48)</f>
        <v>9103378.959010912</v>
      </c>
      <c r="M49" s="22">
        <f>SUM(M10:M48)</f>
        <v>14241294.42588909</v>
      </c>
      <c r="N49" s="18"/>
      <c r="O49" s="41"/>
    </row>
    <row r="50" spans="1:15" ht="12.75">
      <c r="A50" s="9"/>
      <c r="B50" s="20"/>
      <c r="C50" s="11"/>
      <c r="D50" s="15"/>
      <c r="E50" s="15"/>
      <c r="F50" s="15"/>
      <c r="G50" s="15"/>
      <c r="H50" s="63"/>
      <c r="I50" s="15"/>
      <c r="J50" s="15"/>
      <c r="K50" s="15"/>
      <c r="L50" s="15"/>
      <c r="M50" s="15"/>
      <c r="N50" s="18"/>
      <c r="O50" s="41"/>
    </row>
    <row r="51" spans="1:15" ht="12.75">
      <c r="A51" s="9" t="s">
        <v>53</v>
      </c>
      <c r="B51" s="20"/>
      <c r="C51" s="11" t="s">
        <v>54</v>
      </c>
      <c r="D51" s="15">
        <v>0</v>
      </c>
      <c r="E51" s="23">
        <f>+'[5]capital budget'!$M$26</f>
        <v>100000</v>
      </c>
      <c r="F51" s="23"/>
      <c r="G51" s="15">
        <f>D51+E51-F51</f>
        <v>100000</v>
      </c>
      <c r="H51" s="63"/>
      <c r="I51" s="15">
        <v>0</v>
      </c>
      <c r="J51" s="23"/>
      <c r="K51" s="23"/>
      <c r="L51" s="15">
        <f>I51+J51-K51</f>
        <v>0</v>
      </c>
      <c r="M51" s="15">
        <f>G51-L51</f>
        <v>100000</v>
      </c>
      <c r="N51" s="18"/>
      <c r="O51" s="41"/>
    </row>
    <row r="52" spans="1:15" ht="12.75">
      <c r="A52" s="9"/>
      <c r="B52" s="20"/>
      <c r="C52" s="21" t="s">
        <v>55</v>
      </c>
      <c r="D52" s="22">
        <f>SUM(D49:D51)</f>
        <v>21245673.3849</v>
      </c>
      <c r="E52" s="22">
        <f>SUM(E49:E51)</f>
        <v>2199000</v>
      </c>
      <c r="F52" s="22">
        <f>SUM(F49:F51)</f>
        <v>0</v>
      </c>
      <c r="G52" s="22">
        <f>SUM(G49:G51)</f>
        <v>23444673.3849</v>
      </c>
      <c r="H52" s="63"/>
      <c r="I52" s="22">
        <f>SUM(I49:I51)</f>
        <v>8287170.413033331</v>
      </c>
      <c r="J52" s="22">
        <f>SUM(J49:J51)</f>
        <v>816208.5459775784</v>
      </c>
      <c r="K52" s="22">
        <f>SUM(K49:K51)</f>
        <v>0</v>
      </c>
      <c r="L52" s="22">
        <f>SUM(L49:L51)</f>
        <v>9103378.959010912</v>
      </c>
      <c r="M52" s="22">
        <f>SUM(M49:M51)</f>
        <v>14341294.42588909</v>
      </c>
      <c r="N52" s="18"/>
      <c r="O52" s="41"/>
    </row>
    <row r="53" spans="4:13" ht="12.75">
      <c r="D53" s="24"/>
      <c r="E53" s="24"/>
      <c r="F53" s="24"/>
      <c r="G53" s="24"/>
      <c r="H53" s="25"/>
      <c r="I53" s="25"/>
      <c r="J53" s="25"/>
      <c r="K53" s="25"/>
      <c r="L53" s="25"/>
      <c r="M53" s="25"/>
    </row>
    <row r="54" spans="1:15" ht="12.75">
      <c r="A54" s="6"/>
      <c r="D54" s="24"/>
      <c r="E54" s="24"/>
      <c r="F54" s="24"/>
      <c r="G54" s="24"/>
      <c r="H54" s="56" t="s">
        <v>56</v>
      </c>
      <c r="I54" s="56"/>
      <c r="J54" s="56"/>
      <c r="K54" s="25"/>
      <c r="L54" s="25"/>
      <c r="M54" s="25"/>
      <c r="N54" s="18"/>
      <c r="O54" s="41"/>
    </row>
    <row r="55" spans="1:15" ht="12.75">
      <c r="A55" s="10"/>
      <c r="B55" s="10">
        <f>B33</f>
        <v>1925</v>
      </c>
      <c r="C55" s="11" t="s">
        <v>57</v>
      </c>
      <c r="D55" s="24"/>
      <c r="E55" s="24"/>
      <c r="F55" s="24"/>
      <c r="G55" s="24"/>
      <c r="H55" s="56" t="s">
        <v>57</v>
      </c>
      <c r="I55" s="56"/>
      <c r="J55" s="26"/>
      <c r="K55" s="25"/>
      <c r="L55" s="27"/>
      <c r="M55" s="27"/>
      <c r="N55" s="28"/>
      <c r="O55" s="43"/>
    </row>
    <row r="56" spans="1:15" ht="12.75">
      <c r="A56" s="10"/>
      <c r="B56" s="10">
        <f>B35</f>
        <v>1930</v>
      </c>
      <c r="C56" s="11" t="s">
        <v>39</v>
      </c>
      <c r="D56" s="24"/>
      <c r="E56" s="24"/>
      <c r="F56" s="24"/>
      <c r="G56" s="24"/>
      <c r="H56" s="56" t="s">
        <v>58</v>
      </c>
      <c r="I56" s="56"/>
      <c r="J56" s="26"/>
      <c r="K56" s="25"/>
      <c r="L56" s="25"/>
      <c r="M56" s="25"/>
      <c r="N56" s="28"/>
      <c r="O56" s="43"/>
    </row>
    <row r="57" spans="1:15" ht="13.5" thickBot="1">
      <c r="A57" s="6"/>
      <c r="D57" s="24"/>
      <c r="E57" s="24"/>
      <c r="F57" s="24"/>
      <c r="G57" s="24"/>
      <c r="H57" s="56" t="s">
        <v>59</v>
      </c>
      <c r="I57" s="56"/>
      <c r="J57" s="29">
        <f>J52-J55-J56</f>
        <v>816208.5459775784</v>
      </c>
      <c r="K57" s="25"/>
      <c r="L57"/>
      <c r="M57" s="25"/>
      <c r="N57" s="30"/>
      <c r="O57" s="44"/>
    </row>
    <row r="58" spans="1:15" ht="13.5" thickTop="1">
      <c r="A58" s="6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30"/>
      <c r="O58" s="44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 s="2"/>
    </row>
    <row r="61" spans="1:13" ht="12.75">
      <c r="A61"/>
      <c r="B61"/>
      <c r="C61"/>
      <c r="D61"/>
      <c r="E61"/>
      <c r="F61"/>
      <c r="G61"/>
      <c r="H61"/>
      <c r="I61" t="s">
        <v>60</v>
      </c>
      <c r="J61" s="31">
        <v>1243776</v>
      </c>
      <c r="K61"/>
      <c r="L61"/>
      <c r="M61" s="2"/>
    </row>
    <row r="62" spans="4:13" ht="12.75">
      <c r="D62" s="32"/>
      <c r="E62" s="32"/>
      <c r="F62" s="32"/>
      <c r="G62" s="32"/>
      <c r="H62" s="2"/>
      <c r="I62" s="2"/>
      <c r="J62" s="2"/>
      <c r="K62" s="2"/>
      <c r="L62" s="2"/>
      <c r="M62" s="2"/>
    </row>
    <row r="63" spans="4:13" ht="12.75">
      <c r="D63" s="32"/>
      <c r="E63" s="32"/>
      <c r="F63" s="32"/>
      <c r="G63" s="32"/>
      <c r="H63" s="2"/>
      <c r="I63" s="2" t="s">
        <v>61</v>
      </c>
      <c r="J63" s="2">
        <f>+J61-J57</f>
        <v>427567.4540224216</v>
      </c>
      <c r="K63" s="2"/>
      <c r="L63" s="2"/>
      <c r="M63" s="2"/>
    </row>
    <row r="64" spans="3:13" ht="12.75">
      <c r="C64" s="7"/>
      <c r="D64" s="1"/>
      <c r="E64" s="1"/>
      <c r="F64" s="1"/>
      <c r="G64" s="1"/>
      <c r="H64" s="2"/>
      <c r="I64" s="3"/>
      <c r="J64" s="3"/>
      <c r="K64" s="3"/>
      <c r="L64" s="3"/>
      <c r="M64" s="3"/>
    </row>
    <row r="65" spans="3:13" ht="12.75">
      <c r="C65" s="7"/>
      <c r="D65" s="1"/>
      <c r="E65" s="1"/>
      <c r="F65" s="1"/>
      <c r="G65" s="1"/>
      <c r="H65" s="2"/>
      <c r="I65" s="3"/>
      <c r="J65" s="3"/>
      <c r="K65" s="3"/>
      <c r="L65" s="3"/>
      <c r="M65" s="3"/>
    </row>
    <row r="66" spans="3:13" ht="12.75">
      <c r="C66" s="7"/>
      <c r="D66" s="1"/>
      <c r="E66" s="1"/>
      <c r="F66" s="1"/>
      <c r="G66" s="1"/>
      <c r="H66" s="2"/>
      <c r="I66" s="3"/>
      <c r="J66" s="3"/>
      <c r="K66" s="3"/>
      <c r="L66" s="3"/>
      <c r="M66" s="3"/>
    </row>
    <row r="67" spans="3:13" ht="12.75">
      <c r="C67" s="7"/>
      <c r="D67" s="1"/>
      <c r="E67" s="1"/>
      <c r="F67" s="1"/>
      <c r="G67" s="1"/>
      <c r="H67" s="2"/>
      <c r="I67" s="3"/>
      <c r="J67" s="3"/>
      <c r="K67" s="3"/>
      <c r="L67" s="3"/>
      <c r="M67" s="3"/>
    </row>
  </sheetData>
  <sheetProtection/>
  <mergeCells count="27">
    <mergeCell ref="A1:M1"/>
    <mergeCell ref="A2:M2"/>
    <mergeCell ref="A3:C3"/>
    <mergeCell ref="A4:C4"/>
    <mergeCell ref="A5:C5"/>
    <mergeCell ref="A8:A9"/>
    <mergeCell ref="B8:B9"/>
    <mergeCell ref="C8:C9"/>
    <mergeCell ref="D8:D9"/>
    <mergeCell ref="E8:E9"/>
    <mergeCell ref="K8:K9"/>
    <mergeCell ref="L8:L9"/>
    <mergeCell ref="M8:M9"/>
    <mergeCell ref="H54:J54"/>
    <mergeCell ref="D7:G7"/>
    <mergeCell ref="I7:L7"/>
    <mergeCell ref="F8:F9"/>
    <mergeCell ref="G8:G9"/>
    <mergeCell ref="H8:H52"/>
    <mergeCell ref="H55:I55"/>
    <mergeCell ref="H56:I56"/>
    <mergeCell ref="H57:I57"/>
    <mergeCell ref="F3:J4"/>
    <mergeCell ref="I8:I9"/>
    <mergeCell ref="J8:J9"/>
    <mergeCell ref="D6:G6"/>
    <mergeCell ref="I6:L6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3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67"/>
  <sheetViews>
    <sheetView zoomScale="80" zoomScaleNormal="8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32" sqref="E32"/>
    </sheetView>
  </sheetViews>
  <sheetFormatPr defaultColWidth="9.140625" defaultRowHeight="12.75"/>
  <cols>
    <col min="1" max="1" width="7.140625" style="5" customWidth="1"/>
    <col min="2" max="2" width="7.421875" style="6" customWidth="1"/>
    <col min="3" max="3" width="40.421875" style="4" customWidth="1"/>
    <col min="4" max="4" width="15.7109375" style="4" customWidth="1"/>
    <col min="5" max="5" width="14.8515625" style="4" customWidth="1"/>
    <col min="6" max="6" width="12.8515625" style="4" customWidth="1"/>
    <col min="7" max="7" width="15.7109375" style="4" customWidth="1"/>
    <col min="8" max="8" width="0.85546875" style="4" hidden="1" customWidth="1"/>
    <col min="9" max="9" width="16.8515625" style="4" customWidth="1"/>
    <col min="10" max="11" width="12.7109375" style="4" customWidth="1"/>
    <col min="12" max="13" width="14.00390625" style="4" customWidth="1"/>
    <col min="14" max="14" width="15.28125" style="0" customWidth="1"/>
    <col min="15" max="15" width="9.57421875" style="0" bestFit="1" customWidth="1"/>
  </cols>
  <sheetData>
    <row r="1" spans="1:13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5"/>
      <c r="B3" s="65"/>
      <c r="C3" s="65"/>
      <c r="D3" s="1"/>
      <c r="E3" s="1"/>
      <c r="F3" s="1"/>
      <c r="G3" s="1"/>
      <c r="H3" s="2"/>
      <c r="I3" s="3"/>
      <c r="J3" s="3"/>
      <c r="K3" s="3"/>
      <c r="L3" s="3"/>
      <c r="M3" s="3"/>
    </row>
    <row r="4" spans="1:13" ht="12.75">
      <c r="A4" s="65" t="s">
        <v>2</v>
      </c>
      <c r="B4" s="65"/>
      <c r="C4" s="65"/>
      <c r="D4" s="1"/>
      <c r="E4" s="1"/>
      <c r="F4" s="57" t="s">
        <v>67</v>
      </c>
      <c r="G4" s="57"/>
      <c r="H4" s="57"/>
      <c r="I4" s="57"/>
      <c r="J4" s="57"/>
      <c r="K4" s="3"/>
      <c r="L4" s="3"/>
      <c r="M4" s="3"/>
    </row>
    <row r="5" spans="1:13" ht="12.75">
      <c r="A5" s="65" t="s">
        <v>63</v>
      </c>
      <c r="B5" s="65"/>
      <c r="C5" s="65"/>
      <c r="D5" s="1"/>
      <c r="E5" s="1"/>
      <c r="F5" s="57"/>
      <c r="G5" s="57"/>
      <c r="H5" s="57"/>
      <c r="I5" s="57"/>
      <c r="J5" s="57"/>
      <c r="K5" s="3"/>
      <c r="L5" s="3"/>
      <c r="M5" s="3"/>
    </row>
    <row r="6" spans="4:13" ht="12.75">
      <c r="D6" s="66" t="s">
        <v>4</v>
      </c>
      <c r="E6" s="66"/>
      <c r="F6" s="66"/>
      <c r="G6" s="66"/>
      <c r="H6" s="2"/>
      <c r="I6" s="66" t="s">
        <v>5</v>
      </c>
      <c r="J6" s="66"/>
      <c r="K6" s="66"/>
      <c r="L6" s="66"/>
      <c r="M6" s="3"/>
    </row>
    <row r="7" spans="3:13" ht="12.75">
      <c r="C7" s="7"/>
      <c r="D7" s="60"/>
      <c r="E7" s="60"/>
      <c r="F7" s="60"/>
      <c r="G7" s="60"/>
      <c r="H7" s="2"/>
      <c r="I7" s="60"/>
      <c r="J7" s="60"/>
      <c r="K7" s="60"/>
      <c r="L7" s="60"/>
      <c r="M7" s="3"/>
    </row>
    <row r="8" spans="1:13" s="8" customFormat="1" ht="12.75">
      <c r="A8" s="61" t="s">
        <v>6</v>
      </c>
      <c r="B8" s="61" t="s">
        <v>7</v>
      </c>
      <c r="C8" s="61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63"/>
      <c r="I8" s="58" t="s">
        <v>9</v>
      </c>
      <c r="J8" s="58" t="s">
        <v>10</v>
      </c>
      <c r="K8" s="58" t="s">
        <v>11</v>
      </c>
      <c r="L8" s="58" t="s">
        <v>12</v>
      </c>
      <c r="M8" s="58" t="s">
        <v>13</v>
      </c>
    </row>
    <row r="9" spans="1:13" s="8" customFormat="1" ht="12.75">
      <c r="A9" s="62"/>
      <c r="B9" s="62"/>
      <c r="C9" s="62"/>
      <c r="D9" s="59" t="s">
        <v>14</v>
      </c>
      <c r="E9" s="59" t="s">
        <v>10</v>
      </c>
      <c r="F9" s="59"/>
      <c r="G9" s="59"/>
      <c r="H9" s="63"/>
      <c r="I9" s="59" t="s">
        <v>14</v>
      </c>
      <c r="J9" s="59" t="s">
        <v>10</v>
      </c>
      <c r="K9" s="59"/>
      <c r="L9" s="59"/>
      <c r="M9" s="59"/>
    </row>
    <row r="10" spans="1:14" ht="12.75">
      <c r="A10" s="9" t="s">
        <v>15</v>
      </c>
      <c r="B10" s="10">
        <v>1610</v>
      </c>
      <c r="C10" s="11" t="s">
        <v>64</v>
      </c>
      <c r="D10" s="12">
        <f>+'[4]FA Continuity 2010'!G10</f>
        <v>54866</v>
      </c>
      <c r="E10" s="33"/>
      <c r="F10" s="34">
        <v>54866</v>
      </c>
      <c r="G10" s="15">
        <f>D10+E10-F10</f>
        <v>0</v>
      </c>
      <c r="H10" s="63"/>
      <c r="I10" s="15">
        <f>+'[4]FA Continuity 2010'!L10</f>
        <v>0</v>
      </c>
      <c r="J10" s="35"/>
      <c r="K10" s="35"/>
      <c r="L10" s="15">
        <f>I10+J10-K10</f>
        <v>0</v>
      </c>
      <c r="M10" s="15">
        <f>G10-L10</f>
        <v>0</v>
      </c>
      <c r="N10" s="18"/>
    </row>
    <row r="11" spans="1:14" ht="12.75">
      <c r="A11" s="9" t="s">
        <v>15</v>
      </c>
      <c r="B11" s="10">
        <v>1805</v>
      </c>
      <c r="C11" s="11" t="s">
        <v>17</v>
      </c>
      <c r="D11" s="12">
        <f>+'[4]FA Continuity 2010'!G11</f>
        <v>219283.87</v>
      </c>
      <c r="E11" s="33"/>
      <c r="F11" s="34"/>
      <c r="G11" s="15">
        <f aca="true" t="shared" si="0" ref="G11:G48">D11+E11-F11</f>
        <v>219283.87</v>
      </c>
      <c r="H11" s="63"/>
      <c r="I11" s="15">
        <f>+'[4]FA Continuity 2010'!L11</f>
        <v>0</v>
      </c>
      <c r="J11" s="35"/>
      <c r="K11" s="35"/>
      <c r="L11" s="15">
        <f aca="true" t="shared" si="1" ref="L11:L48">I11+J11-K11</f>
        <v>0</v>
      </c>
      <c r="M11" s="15">
        <f aca="true" t="shared" si="2" ref="M11:M48">G11-L11</f>
        <v>219283.87</v>
      </c>
      <c r="N11" s="18"/>
    </row>
    <row r="12" spans="1:14" ht="12.75">
      <c r="A12" s="9" t="s">
        <v>18</v>
      </c>
      <c r="B12" s="10">
        <v>1806</v>
      </c>
      <c r="C12" s="11" t="s">
        <v>19</v>
      </c>
      <c r="D12" s="12">
        <f>+'[4]FA Continuity 2010'!G12</f>
        <v>0</v>
      </c>
      <c r="E12" s="33"/>
      <c r="F12" s="34"/>
      <c r="G12" s="15">
        <f t="shared" si="0"/>
        <v>0</v>
      </c>
      <c r="H12" s="63"/>
      <c r="I12" s="15">
        <f>+'[4]FA Continuity 2010'!L12</f>
        <v>0</v>
      </c>
      <c r="J12" s="35"/>
      <c r="K12" s="35"/>
      <c r="L12" s="15">
        <f t="shared" si="1"/>
        <v>0</v>
      </c>
      <c r="M12" s="15">
        <f t="shared" si="2"/>
        <v>0</v>
      </c>
      <c r="N12" s="18"/>
    </row>
    <row r="13" spans="1:14" ht="12.75">
      <c r="A13" s="9">
        <v>47</v>
      </c>
      <c r="B13" s="10">
        <v>1808</v>
      </c>
      <c r="C13" s="11" t="s">
        <v>20</v>
      </c>
      <c r="D13" s="12">
        <f>+'[4]FA Continuity 2010'!G13</f>
        <v>919215.57</v>
      </c>
      <c r="E13" s="33">
        <f>+'[5]capital budget'!$L$7</f>
        <v>75000</v>
      </c>
      <c r="F13" s="34"/>
      <c r="G13" s="15">
        <f t="shared" si="0"/>
        <v>994215.57</v>
      </c>
      <c r="H13" s="63"/>
      <c r="I13" s="15">
        <f>+'[4]FA Continuity 2010'!L13</f>
        <v>118783</v>
      </c>
      <c r="J13" s="35">
        <f>+'[7]Buildings 1808'!$N$21+(E13/2/50)</f>
        <v>21198.940000000006</v>
      </c>
      <c r="K13" s="35"/>
      <c r="L13" s="15">
        <f t="shared" si="1"/>
        <v>139981.94</v>
      </c>
      <c r="M13" s="15">
        <f t="shared" si="2"/>
        <v>854233.6299999999</v>
      </c>
      <c r="N13" s="18"/>
    </row>
    <row r="14" spans="1:13" ht="12.75">
      <c r="A14" s="9">
        <v>13</v>
      </c>
      <c r="B14" s="10">
        <v>1810</v>
      </c>
      <c r="C14" s="11" t="s">
        <v>21</v>
      </c>
      <c r="D14" s="12">
        <f>+'[4]FA Continuity 2010'!G14</f>
        <v>0</v>
      </c>
      <c r="E14" s="33"/>
      <c r="F14" s="34"/>
      <c r="G14" s="15">
        <f t="shared" si="0"/>
        <v>0</v>
      </c>
      <c r="H14" s="63"/>
      <c r="I14" s="15">
        <f>+'[4]FA Continuity 2010'!L14</f>
        <v>0</v>
      </c>
      <c r="J14" s="35"/>
      <c r="K14" s="35"/>
      <c r="L14" s="15">
        <f t="shared" si="1"/>
        <v>0</v>
      </c>
      <c r="M14" s="15">
        <f t="shared" si="2"/>
        <v>0</v>
      </c>
    </row>
    <row r="15" spans="1:14" ht="12.75">
      <c r="A15" s="9">
        <v>47</v>
      </c>
      <c r="B15" s="10">
        <v>1815</v>
      </c>
      <c r="C15" s="11" t="s">
        <v>22</v>
      </c>
      <c r="D15" s="12">
        <f>+'[4]FA Continuity 2010'!G15</f>
        <v>0</v>
      </c>
      <c r="E15" s="33"/>
      <c r="F15" s="34"/>
      <c r="G15" s="15">
        <f t="shared" si="0"/>
        <v>0</v>
      </c>
      <c r="H15" s="63"/>
      <c r="I15" s="15">
        <f>+'[4]FA Continuity 2010'!L15</f>
        <v>0</v>
      </c>
      <c r="J15" s="35"/>
      <c r="K15" s="35"/>
      <c r="L15" s="15">
        <f t="shared" si="1"/>
        <v>0</v>
      </c>
      <c r="M15" s="15">
        <f t="shared" si="2"/>
        <v>0</v>
      </c>
      <c r="N15" s="18"/>
    </row>
    <row r="16" spans="1:13" ht="12.75">
      <c r="A16" s="9">
        <v>47</v>
      </c>
      <c r="B16" s="10">
        <v>1820</v>
      </c>
      <c r="C16" s="11" t="s">
        <v>23</v>
      </c>
      <c r="D16" s="12">
        <f>+'[4]FA Continuity 2010'!G16</f>
        <v>2762235.0800000005</v>
      </c>
      <c r="E16" s="33"/>
      <c r="F16" s="34"/>
      <c r="G16" s="15">
        <f t="shared" si="0"/>
        <v>2762235.0800000005</v>
      </c>
      <c r="H16" s="63"/>
      <c r="I16" s="15">
        <f>+'[4]FA Continuity 2010'!L16</f>
        <v>1598842.07</v>
      </c>
      <c r="J16" s="35">
        <f>+'[7]Victoria St SS 1820'!$G$31+'[7]Substation Equip 1820'!$H$20+'[7]Brook RD N 1820'!$F$22+'[7]Colborne SS 1820'!$E$24+'[7]Cobourg Whsl. Meter 1820'!$E$16+'[7]Colborne Whsl. Meter 1820'!$E$16+(E16/2/30)</f>
        <v>121595.16000000002</v>
      </c>
      <c r="K16" s="35"/>
      <c r="L16" s="15">
        <f t="shared" si="1"/>
        <v>1720437.23</v>
      </c>
      <c r="M16" s="15">
        <f t="shared" si="2"/>
        <v>1041797.8500000006</v>
      </c>
    </row>
    <row r="17" spans="1:14" ht="12.75">
      <c r="A17" s="9">
        <v>47</v>
      </c>
      <c r="B17" s="10">
        <v>1825</v>
      </c>
      <c r="C17" s="11" t="s">
        <v>24</v>
      </c>
      <c r="D17" s="12">
        <f>+'[4]FA Continuity 2010'!G17</f>
        <v>0</v>
      </c>
      <c r="E17" s="33"/>
      <c r="F17" s="34"/>
      <c r="G17" s="15">
        <f t="shared" si="0"/>
        <v>0</v>
      </c>
      <c r="H17" s="63"/>
      <c r="I17" s="15">
        <f>+'[4]FA Continuity 2010'!L17</f>
        <v>0</v>
      </c>
      <c r="J17" s="35"/>
      <c r="K17" s="35"/>
      <c r="L17" s="15">
        <f t="shared" si="1"/>
        <v>0</v>
      </c>
      <c r="M17" s="15">
        <f t="shared" si="2"/>
        <v>0</v>
      </c>
      <c r="N17" s="18"/>
    </row>
    <row r="18" spans="1:14" ht="12.75">
      <c r="A18" s="9">
        <v>47</v>
      </c>
      <c r="B18" s="10">
        <v>1830</v>
      </c>
      <c r="C18" s="11" t="s">
        <v>25</v>
      </c>
      <c r="D18" s="12">
        <f>+'[4]FA Continuity 2010'!G18</f>
        <v>1107311.0200000003</v>
      </c>
      <c r="E18" s="33">
        <f>+'[5]capital budget'!$L$9</f>
        <v>450000</v>
      </c>
      <c r="F18" s="35"/>
      <c r="G18" s="15">
        <f t="shared" si="0"/>
        <v>1557311.0200000003</v>
      </c>
      <c r="H18" s="63"/>
      <c r="I18" s="15">
        <f>+'[4]FA Continuity 2010'!L18</f>
        <v>164447.98</v>
      </c>
      <c r="J18" s="35">
        <f>(44292.53)+E18/2/25</f>
        <v>53292.53</v>
      </c>
      <c r="K18" s="35"/>
      <c r="L18" s="15">
        <f t="shared" si="1"/>
        <v>217740.51</v>
      </c>
      <c r="M18" s="15">
        <f t="shared" si="2"/>
        <v>1339570.5100000002</v>
      </c>
      <c r="N18" s="18"/>
    </row>
    <row r="19" spans="1:14" ht="12.75">
      <c r="A19" s="9">
        <v>47</v>
      </c>
      <c r="B19" s="10">
        <v>1835</v>
      </c>
      <c r="C19" s="11" t="s">
        <v>26</v>
      </c>
      <c r="D19" s="12">
        <f>+'[4]FA Continuity 2010'!G19</f>
        <v>3813753.78</v>
      </c>
      <c r="E19" s="36">
        <f>+'[5]capital budget'!$L$10</f>
        <v>400000</v>
      </c>
      <c r="F19" s="35"/>
      <c r="G19" s="15">
        <f t="shared" si="0"/>
        <v>4213753.779999999</v>
      </c>
      <c r="H19" s="63"/>
      <c r="I19" s="15">
        <f>+'[4]FA Continuity 2010'!L19</f>
        <v>761801.79</v>
      </c>
      <c r="J19" s="35">
        <f>(256662.17+7432.55+2426.24)+E19/2/25</f>
        <v>274520.96</v>
      </c>
      <c r="K19" s="35"/>
      <c r="L19" s="15">
        <f t="shared" si="1"/>
        <v>1036322.75</v>
      </c>
      <c r="M19" s="15">
        <f t="shared" si="2"/>
        <v>3177431.0299999993</v>
      </c>
      <c r="N19" s="18"/>
    </row>
    <row r="20" spans="1:14" ht="12.75">
      <c r="A20" s="9">
        <v>47</v>
      </c>
      <c r="B20" s="10">
        <v>1840</v>
      </c>
      <c r="C20" s="11" t="s">
        <v>27</v>
      </c>
      <c r="D20" s="12">
        <f>+'[4]FA Continuity 2010'!G20</f>
        <v>878943.19</v>
      </c>
      <c r="E20" s="33">
        <f>+'[5]capital budget'!$L$11</f>
        <v>350000</v>
      </c>
      <c r="F20" s="35"/>
      <c r="G20" s="15">
        <f t="shared" si="0"/>
        <v>1228943.19</v>
      </c>
      <c r="H20" s="63"/>
      <c r="I20" s="15">
        <f>+'[4]FA Continuity 2010'!L20</f>
        <v>174014.41</v>
      </c>
      <c r="J20" s="35">
        <f>35928.45+E20/2/25</f>
        <v>42928.45</v>
      </c>
      <c r="K20" s="35"/>
      <c r="L20" s="15">
        <f t="shared" si="1"/>
        <v>216942.86</v>
      </c>
      <c r="M20" s="15">
        <f t="shared" si="2"/>
        <v>1012000.33</v>
      </c>
      <c r="N20" s="18"/>
    </row>
    <row r="21" spans="1:14" ht="12.75">
      <c r="A21" s="9">
        <v>47</v>
      </c>
      <c r="B21" s="10">
        <v>1845</v>
      </c>
      <c r="C21" s="11" t="s">
        <v>28</v>
      </c>
      <c r="D21" s="12">
        <f>+'[4]FA Continuity 2010'!G21</f>
        <v>3066153.88</v>
      </c>
      <c r="E21" s="36"/>
      <c r="F21" s="35"/>
      <c r="G21" s="15">
        <f t="shared" si="0"/>
        <v>3066153.88</v>
      </c>
      <c r="H21" s="63"/>
      <c r="I21" s="15">
        <f>+'[4]FA Continuity 2010'!L21</f>
        <v>1819954.81</v>
      </c>
      <c r="J21" s="35">
        <f>121477.61+E21/2/25</f>
        <v>121477.61</v>
      </c>
      <c r="K21" s="35"/>
      <c r="L21" s="15">
        <f t="shared" si="1"/>
        <v>1941432.4200000002</v>
      </c>
      <c r="M21" s="15">
        <f t="shared" si="2"/>
        <v>1124721.4599999997</v>
      </c>
      <c r="N21" s="18"/>
    </row>
    <row r="22" spans="1:14" ht="12.75">
      <c r="A22" s="9">
        <v>47</v>
      </c>
      <c r="B22" s="10">
        <v>1850</v>
      </c>
      <c r="C22" s="11" t="s">
        <v>29</v>
      </c>
      <c r="D22" s="12">
        <f>+'[4]FA Continuity 2010'!G22</f>
        <v>5111048.92</v>
      </c>
      <c r="E22" s="33">
        <f>+'[5]capital budget'!$L$12</f>
        <v>240000</v>
      </c>
      <c r="F22" s="35"/>
      <c r="G22" s="15">
        <f t="shared" si="0"/>
        <v>5351048.92</v>
      </c>
      <c r="H22" s="63"/>
      <c r="I22" s="15">
        <f>+'[4]FA Continuity 2010'!L22</f>
        <v>2204716.34</v>
      </c>
      <c r="J22" s="35">
        <f>(199114.17+E22/2/25)</f>
        <v>203914.17</v>
      </c>
      <c r="K22" s="35"/>
      <c r="L22" s="15">
        <f t="shared" si="1"/>
        <v>2408630.51</v>
      </c>
      <c r="M22" s="15">
        <f t="shared" si="2"/>
        <v>2942418.41</v>
      </c>
      <c r="N22" s="18"/>
    </row>
    <row r="23" spans="1:14" ht="12.75">
      <c r="A23" s="9">
        <v>47</v>
      </c>
      <c r="B23" s="10">
        <v>1855</v>
      </c>
      <c r="C23" s="11" t="s">
        <v>30</v>
      </c>
      <c r="D23" s="12">
        <f>+'[4]FA Continuity 2010'!G23</f>
        <v>509529.14</v>
      </c>
      <c r="E23" s="33">
        <f>+'[5]capital budget'!$L$14</f>
        <v>90000</v>
      </c>
      <c r="F23" s="35"/>
      <c r="G23" s="15">
        <f t="shared" si="0"/>
        <v>599529.14</v>
      </c>
      <c r="H23" s="63"/>
      <c r="I23" s="15">
        <f>+'[4]FA Continuity 2010'!L23</f>
        <v>142491.96</v>
      </c>
      <c r="J23" s="35">
        <f>(10327.64+9567.74)+E23/2/25</f>
        <v>21695.379999999997</v>
      </c>
      <c r="K23" s="35"/>
      <c r="L23" s="15">
        <f t="shared" si="1"/>
        <v>164187.34</v>
      </c>
      <c r="M23" s="15">
        <f t="shared" si="2"/>
        <v>435341.80000000005</v>
      </c>
      <c r="N23" s="18"/>
    </row>
    <row r="24" spans="1:14" ht="12.75">
      <c r="A24" s="9">
        <v>47</v>
      </c>
      <c r="B24" s="10">
        <v>1860</v>
      </c>
      <c r="C24" s="11" t="s">
        <v>31</v>
      </c>
      <c r="D24" s="12">
        <f>+'[4]FA Continuity 2010'!G24</f>
        <v>894462.37</v>
      </c>
      <c r="E24" s="33">
        <f>+'[5]capital budget'!$L$16</f>
        <v>20000</v>
      </c>
      <c r="F24" s="35">
        <f>+'[8]Recovery of Stranded Meters'!$B$3</f>
        <v>688736.2251</v>
      </c>
      <c r="G24" s="15">
        <f t="shared" si="0"/>
        <v>225726.14489999996</v>
      </c>
      <c r="H24" s="63"/>
      <c r="I24" s="15">
        <f>+'[4]FA Continuity 2010'!L24</f>
        <v>531279.58</v>
      </c>
      <c r="J24" s="35">
        <f>35043.13+E24/2/25</f>
        <v>35443.13</v>
      </c>
      <c r="K24" s="35">
        <f>+'[8]Recovery of Stranded Meters'!$B$4</f>
        <v>409085.1303</v>
      </c>
      <c r="L24" s="15">
        <f t="shared" si="1"/>
        <v>157637.57969999994</v>
      </c>
      <c r="M24" s="15">
        <f t="shared" si="2"/>
        <v>68088.56520000001</v>
      </c>
      <c r="N24" s="18"/>
    </row>
    <row r="25" spans="1:14" ht="12.75">
      <c r="A25" s="9">
        <v>47</v>
      </c>
      <c r="B25" s="10">
        <v>1860</v>
      </c>
      <c r="C25" s="11" t="s">
        <v>32</v>
      </c>
      <c r="D25" s="12">
        <f>+'[8]Avg Nt Fix Ass &amp;UCC'!$H$10</f>
        <v>1566824</v>
      </c>
      <c r="E25" s="33">
        <f>+'[8]Avg Nt Fix Ass &amp;UCC'!$I$9</f>
        <v>255355</v>
      </c>
      <c r="F25" s="35"/>
      <c r="G25" s="15">
        <f t="shared" si="0"/>
        <v>1822179</v>
      </c>
      <c r="H25" s="63"/>
      <c r="I25" s="15">
        <f>+'[8]Avg Nt Fix Ass &amp;UCC'!$H$15</f>
        <v>130791.06666666668</v>
      </c>
      <c r="J25" s="35">
        <f>+'[8]Avg Nt Fix Ass &amp;UCC'!$I$13+'[8]Avg Nt Fix Ass &amp;UCC'!$I$14</f>
        <v>112966.76666666666</v>
      </c>
      <c r="K25" s="35"/>
      <c r="L25" s="15">
        <f t="shared" si="1"/>
        <v>243757.83333333334</v>
      </c>
      <c r="M25" s="15">
        <f t="shared" si="2"/>
        <v>1578421.1666666667</v>
      </c>
      <c r="N25" s="18"/>
    </row>
    <row r="26" spans="1:14" ht="12.75">
      <c r="A26" s="9" t="s">
        <v>15</v>
      </c>
      <c r="B26" s="10">
        <v>1865</v>
      </c>
      <c r="C26" s="11" t="s">
        <v>33</v>
      </c>
      <c r="D26" s="12">
        <f>+'[4]FA Continuity 2010'!G25</f>
        <v>0</v>
      </c>
      <c r="E26" s="36"/>
      <c r="F26" s="35"/>
      <c r="G26" s="15">
        <f t="shared" si="0"/>
        <v>0</v>
      </c>
      <c r="H26" s="63"/>
      <c r="I26" s="15">
        <f>+'[4]FA Continuity 2010'!L25</f>
        <v>0</v>
      </c>
      <c r="J26" s="35"/>
      <c r="K26" s="35"/>
      <c r="L26" s="15">
        <f t="shared" si="1"/>
        <v>0</v>
      </c>
      <c r="M26" s="15">
        <f t="shared" si="2"/>
        <v>0</v>
      </c>
      <c r="N26" s="18"/>
    </row>
    <row r="27" spans="1:14" ht="12.75">
      <c r="A27" s="9" t="s">
        <v>15</v>
      </c>
      <c r="B27" s="10">
        <v>1905</v>
      </c>
      <c r="C27" s="11" t="s">
        <v>17</v>
      </c>
      <c r="D27" s="12">
        <f>+'[4]FA Continuity 2010'!G26</f>
        <v>0</v>
      </c>
      <c r="E27" s="36"/>
      <c r="F27" s="35"/>
      <c r="G27" s="15">
        <f t="shared" si="0"/>
        <v>0</v>
      </c>
      <c r="H27" s="63"/>
      <c r="I27" s="15">
        <f>+'[4]FA Continuity 2010'!L26</f>
        <v>0</v>
      </c>
      <c r="J27" s="35"/>
      <c r="K27" s="35"/>
      <c r="L27" s="15">
        <f t="shared" si="1"/>
        <v>0</v>
      </c>
      <c r="M27" s="15">
        <f t="shared" si="2"/>
        <v>0</v>
      </c>
      <c r="N27" s="18"/>
    </row>
    <row r="28" spans="1:14" ht="12.75">
      <c r="A28" s="9" t="s">
        <v>18</v>
      </c>
      <c r="B28" s="10">
        <v>1906</v>
      </c>
      <c r="C28" s="11" t="s">
        <v>19</v>
      </c>
      <c r="D28" s="12">
        <f>+'[4]FA Continuity 2010'!G27</f>
        <v>0</v>
      </c>
      <c r="E28" s="36"/>
      <c r="F28" s="35"/>
      <c r="G28" s="15">
        <f t="shared" si="0"/>
        <v>0</v>
      </c>
      <c r="H28" s="63"/>
      <c r="I28" s="15">
        <f>+'[4]FA Continuity 2010'!L27</f>
        <v>0</v>
      </c>
      <c r="J28" s="35"/>
      <c r="K28" s="35"/>
      <c r="L28" s="15">
        <f t="shared" si="1"/>
        <v>0</v>
      </c>
      <c r="M28" s="15">
        <f t="shared" si="2"/>
        <v>0</v>
      </c>
      <c r="N28" s="18"/>
    </row>
    <row r="29" spans="1:14" ht="12.75">
      <c r="A29" s="9">
        <v>47</v>
      </c>
      <c r="B29" s="10">
        <v>1908</v>
      </c>
      <c r="C29" s="11" t="s">
        <v>20</v>
      </c>
      <c r="D29" s="12">
        <f>+'[4]FA Continuity 2010'!G28</f>
        <v>0</v>
      </c>
      <c r="E29" s="36"/>
      <c r="F29" s="35"/>
      <c r="G29" s="15">
        <f t="shared" si="0"/>
        <v>0</v>
      </c>
      <c r="H29" s="63"/>
      <c r="I29" s="15">
        <f>+'[4]FA Continuity 2010'!L28</f>
        <v>0</v>
      </c>
      <c r="J29" s="35"/>
      <c r="K29" s="35"/>
      <c r="L29" s="15">
        <f t="shared" si="1"/>
        <v>0</v>
      </c>
      <c r="M29" s="15">
        <f t="shared" si="2"/>
        <v>0</v>
      </c>
      <c r="N29" s="18"/>
    </row>
    <row r="30" spans="1:14" ht="12.75">
      <c r="A30" s="9">
        <v>13</v>
      </c>
      <c r="B30" s="10">
        <v>1910</v>
      </c>
      <c r="C30" s="11" t="s">
        <v>21</v>
      </c>
      <c r="D30" s="12">
        <f>+'[4]FA Continuity 2010'!G29</f>
        <v>0</v>
      </c>
      <c r="E30" s="36"/>
      <c r="F30" s="35"/>
      <c r="G30" s="15">
        <f t="shared" si="0"/>
        <v>0</v>
      </c>
      <c r="H30" s="63"/>
      <c r="I30" s="15">
        <f>+'[4]FA Continuity 2010'!L29</f>
        <v>0</v>
      </c>
      <c r="J30" s="35"/>
      <c r="K30" s="35"/>
      <c r="L30" s="15">
        <f t="shared" si="1"/>
        <v>0</v>
      </c>
      <c r="M30" s="15">
        <f t="shared" si="2"/>
        <v>0</v>
      </c>
      <c r="N30" s="18"/>
    </row>
    <row r="31" spans="1:14" ht="12.75">
      <c r="A31" s="9">
        <v>8</v>
      </c>
      <c r="B31" s="10">
        <v>1915</v>
      </c>
      <c r="C31" s="11" t="s">
        <v>34</v>
      </c>
      <c r="D31" s="12">
        <f>+'[4]FA Continuity 2010'!G30</f>
        <v>57025.63000000001</v>
      </c>
      <c r="E31" s="33">
        <f>+'[5]capital budget'!$L$17</f>
        <v>25000</v>
      </c>
      <c r="F31" s="35"/>
      <c r="G31" s="15">
        <f t="shared" si="0"/>
        <v>82025.63</v>
      </c>
      <c r="H31" s="63"/>
      <c r="I31" s="15">
        <f>+'[4]FA Continuity 2010'!L30</f>
        <v>7333.760000000002</v>
      </c>
      <c r="J31" s="35">
        <f>5702.55+E31/2/10</f>
        <v>6952.55</v>
      </c>
      <c r="K31" s="35"/>
      <c r="L31" s="15">
        <f t="shared" si="1"/>
        <v>14286.310000000001</v>
      </c>
      <c r="M31" s="15">
        <f t="shared" si="2"/>
        <v>67739.32</v>
      </c>
      <c r="N31" s="18"/>
    </row>
    <row r="32" spans="1:14" ht="12.75">
      <c r="A32" s="9">
        <v>10</v>
      </c>
      <c r="B32" s="10">
        <v>1920</v>
      </c>
      <c r="C32" s="11" t="s">
        <v>35</v>
      </c>
      <c r="D32" s="12">
        <f>+'[4]FA Continuity 2010'!G31</f>
        <v>31199.28999999998</v>
      </c>
      <c r="E32" s="36">
        <f>+'[5]capital budget'!$L$18</f>
        <v>50000</v>
      </c>
      <c r="F32" s="35"/>
      <c r="G32" s="15">
        <f t="shared" si="0"/>
        <v>81199.28999999998</v>
      </c>
      <c r="H32" s="63"/>
      <c r="I32" s="15">
        <f>+'[4]FA Continuity 2010'!L31</f>
        <v>12705.099999999991</v>
      </c>
      <c r="J32" s="35">
        <f>6239.79+E32/2/5</f>
        <v>11239.79</v>
      </c>
      <c r="K32" s="35"/>
      <c r="L32" s="15">
        <f t="shared" si="1"/>
        <v>23944.889999999992</v>
      </c>
      <c r="M32" s="15">
        <f t="shared" si="2"/>
        <v>57254.39999999999</v>
      </c>
      <c r="N32" s="18"/>
    </row>
    <row r="33" spans="1:14" ht="12.75">
      <c r="A33" s="9">
        <v>12</v>
      </c>
      <c r="B33" s="10">
        <v>1925</v>
      </c>
      <c r="C33" s="11" t="s">
        <v>36</v>
      </c>
      <c r="D33" s="12">
        <f>+'[4]FA Continuity 2010'!G32</f>
        <v>113875.62</v>
      </c>
      <c r="E33" s="33">
        <f>+'[5]capital budget'!$L$19</f>
        <v>50000</v>
      </c>
      <c r="F33" s="35"/>
      <c r="G33" s="15">
        <f t="shared" si="0"/>
        <v>163875.62</v>
      </c>
      <c r="H33" s="63"/>
      <c r="I33" s="15">
        <f>+'[4]FA Continuity 2010'!L32</f>
        <v>46333.8</v>
      </c>
      <c r="J33" s="35">
        <f>22377.76+E33/2/5</f>
        <v>27377.76</v>
      </c>
      <c r="K33" s="35"/>
      <c r="L33" s="15">
        <f t="shared" si="1"/>
        <v>73711.56</v>
      </c>
      <c r="M33" s="15">
        <f t="shared" si="2"/>
        <v>90164.06</v>
      </c>
      <c r="N33" s="18"/>
    </row>
    <row r="34" spans="1:14" ht="12.75">
      <c r="A34" s="9">
        <v>12</v>
      </c>
      <c r="B34" s="10">
        <v>1925</v>
      </c>
      <c r="C34" s="11" t="s">
        <v>65</v>
      </c>
      <c r="D34" s="12">
        <f>+'[8]Avg Nt Fix Ass &amp;UCC'!$H$27</f>
        <v>115160</v>
      </c>
      <c r="E34" s="33">
        <f>+'[8]Avg Nt Fix Ass &amp;UCC'!$I$26</f>
        <v>8546</v>
      </c>
      <c r="F34" s="35"/>
      <c r="G34" s="15">
        <f t="shared" si="0"/>
        <v>123706</v>
      </c>
      <c r="H34" s="63"/>
      <c r="I34" s="15">
        <f>+'[8]Avg Nt Fix Ass &amp;UCC'!$H$32</f>
        <v>28588.6</v>
      </c>
      <c r="J34" s="35">
        <f>+D34/5+((E34/5)/2)</f>
        <v>23886.6</v>
      </c>
      <c r="K34" s="35"/>
      <c r="L34" s="15">
        <f t="shared" si="1"/>
        <v>52475.2</v>
      </c>
      <c r="M34" s="15">
        <f t="shared" si="2"/>
        <v>71230.8</v>
      </c>
      <c r="N34" s="18"/>
    </row>
    <row r="35" spans="1:14" ht="12.75">
      <c r="A35" s="9">
        <v>10</v>
      </c>
      <c r="B35" s="10">
        <v>1930</v>
      </c>
      <c r="C35" s="11" t="s">
        <v>38</v>
      </c>
      <c r="D35" s="12">
        <f>+'[4]FA Continuity 2010'!G33</f>
        <v>759704.8999999999</v>
      </c>
      <c r="E35" s="36"/>
      <c r="F35" s="35"/>
      <c r="G35" s="15">
        <f t="shared" si="0"/>
        <v>759704.8999999999</v>
      </c>
      <c r="H35" s="63"/>
      <c r="I35" s="15">
        <f>+'[4]FA Continuity 2010'!L33</f>
        <v>149873.46000000002</v>
      </c>
      <c r="J35" s="35">
        <f>94963.24+E35/2/8</f>
        <v>94963.24</v>
      </c>
      <c r="K35" s="35"/>
      <c r="L35" s="15">
        <f t="shared" si="1"/>
        <v>244836.7</v>
      </c>
      <c r="M35" s="15">
        <f t="shared" si="2"/>
        <v>514868.1999999999</v>
      </c>
      <c r="N35" s="18"/>
    </row>
    <row r="36" spans="1:14" ht="12.75">
      <c r="A36" s="9">
        <v>8</v>
      </c>
      <c r="B36" s="10">
        <v>1935</v>
      </c>
      <c r="C36" s="11" t="s">
        <v>39</v>
      </c>
      <c r="D36" s="12">
        <f>+'[4]FA Continuity 2010'!G34</f>
        <v>0</v>
      </c>
      <c r="E36" s="36"/>
      <c r="F36" s="35"/>
      <c r="G36" s="15">
        <f t="shared" si="0"/>
        <v>0</v>
      </c>
      <c r="H36" s="63"/>
      <c r="I36" s="15">
        <f>+'[4]FA Continuity 2010'!L34</f>
        <v>0</v>
      </c>
      <c r="J36" s="35"/>
      <c r="K36" s="35"/>
      <c r="L36" s="15">
        <f t="shared" si="1"/>
        <v>0</v>
      </c>
      <c r="M36" s="15">
        <f t="shared" si="2"/>
        <v>0</v>
      </c>
      <c r="N36" s="18"/>
    </row>
    <row r="37" spans="1:14" ht="12.75">
      <c r="A37" s="9">
        <v>8</v>
      </c>
      <c r="B37" s="10">
        <v>1940</v>
      </c>
      <c r="C37" s="11" t="s">
        <v>40</v>
      </c>
      <c r="D37" s="12">
        <f>+'[4]FA Continuity 2010'!G35</f>
        <v>158729.88</v>
      </c>
      <c r="E37" s="36">
        <f>+'[5]capital budget'!$L$21+'[5]capital budget'!$L$23+'[5]capital budget'!$L$22</f>
        <v>75000</v>
      </c>
      <c r="F37" s="35"/>
      <c r="G37" s="15">
        <f t="shared" si="0"/>
        <v>233729.88</v>
      </c>
      <c r="H37" s="63"/>
      <c r="I37" s="15">
        <f>+'[4]FA Continuity 2010'!L35</f>
        <v>48849</v>
      </c>
      <c r="J37" s="35">
        <f>15180.8+E37/2/10</f>
        <v>18930.8</v>
      </c>
      <c r="K37" s="35"/>
      <c r="L37" s="15">
        <f t="shared" si="1"/>
        <v>67779.8</v>
      </c>
      <c r="M37" s="15">
        <f t="shared" si="2"/>
        <v>165950.08000000002</v>
      </c>
      <c r="N37" s="18"/>
    </row>
    <row r="38" spans="1:14" ht="12.75">
      <c r="A38" s="9">
        <v>8</v>
      </c>
      <c r="B38" s="10">
        <v>1945</v>
      </c>
      <c r="C38" s="11" t="s">
        <v>41</v>
      </c>
      <c r="D38" s="12">
        <f>+'[4]FA Continuity 2010'!G36</f>
        <v>18711.5</v>
      </c>
      <c r="E38" s="36"/>
      <c r="F38" s="35"/>
      <c r="G38" s="15">
        <f t="shared" si="0"/>
        <v>18711.5</v>
      </c>
      <c r="H38" s="63"/>
      <c r="I38" s="15">
        <f>+'[4]FA Continuity 2010'!L36</f>
        <v>935.58</v>
      </c>
      <c r="J38" s="35">
        <f>1871.15+E38/2/10</f>
        <v>1871.15</v>
      </c>
      <c r="K38" s="35"/>
      <c r="L38" s="15">
        <f t="shared" si="1"/>
        <v>2806.73</v>
      </c>
      <c r="M38" s="15">
        <f t="shared" si="2"/>
        <v>15904.77</v>
      </c>
      <c r="N38" s="18"/>
    </row>
    <row r="39" spans="1:14" ht="12.75">
      <c r="A39" s="9">
        <v>8</v>
      </c>
      <c r="B39" s="10">
        <v>1950</v>
      </c>
      <c r="C39" s="11" t="s">
        <v>42</v>
      </c>
      <c r="D39" s="12">
        <f>+'[4]FA Continuity 2010'!G37</f>
        <v>0</v>
      </c>
      <c r="E39" s="36"/>
      <c r="F39" s="35"/>
      <c r="G39" s="15">
        <f t="shared" si="0"/>
        <v>0</v>
      </c>
      <c r="H39" s="63"/>
      <c r="I39" s="15">
        <f>+'[4]FA Continuity 2010'!L37</f>
        <v>0</v>
      </c>
      <c r="J39" s="35"/>
      <c r="K39" s="35"/>
      <c r="L39" s="15">
        <f t="shared" si="1"/>
        <v>0</v>
      </c>
      <c r="M39" s="15">
        <f t="shared" si="2"/>
        <v>0</v>
      </c>
      <c r="N39" s="18"/>
    </row>
    <row r="40" spans="1:14" ht="12.75">
      <c r="A40" s="9">
        <v>8</v>
      </c>
      <c r="B40" s="10">
        <v>1955</v>
      </c>
      <c r="C40" s="11" t="s">
        <v>43</v>
      </c>
      <c r="D40" s="12">
        <f>+'[4]FA Continuity 2010'!G38</f>
        <v>0</v>
      </c>
      <c r="E40" s="36"/>
      <c r="F40" s="35"/>
      <c r="G40" s="15">
        <f t="shared" si="0"/>
        <v>0</v>
      </c>
      <c r="H40" s="63"/>
      <c r="I40" s="15">
        <f>+'[4]FA Continuity 2010'!L38</f>
        <v>0</v>
      </c>
      <c r="J40" s="35"/>
      <c r="K40" s="35"/>
      <c r="L40" s="15">
        <f t="shared" si="1"/>
        <v>0</v>
      </c>
      <c r="M40" s="15">
        <f t="shared" si="2"/>
        <v>0</v>
      </c>
      <c r="N40" s="18"/>
    </row>
    <row r="41" spans="1:14" ht="12.75">
      <c r="A41" s="9">
        <v>8</v>
      </c>
      <c r="B41" s="10">
        <v>1960</v>
      </c>
      <c r="C41" s="11" t="s">
        <v>44</v>
      </c>
      <c r="D41" s="12">
        <f>+'[4]FA Continuity 2010'!G39</f>
        <v>0</v>
      </c>
      <c r="E41" s="36"/>
      <c r="F41" s="35"/>
      <c r="G41" s="15">
        <f t="shared" si="0"/>
        <v>0</v>
      </c>
      <c r="H41" s="63"/>
      <c r="I41" s="15">
        <f>+'[4]FA Continuity 2010'!L39</f>
        <v>0</v>
      </c>
      <c r="J41" s="35"/>
      <c r="K41" s="35"/>
      <c r="L41" s="15">
        <f t="shared" si="1"/>
        <v>0</v>
      </c>
      <c r="M41" s="15">
        <f t="shared" si="2"/>
        <v>0</v>
      </c>
      <c r="N41" s="18"/>
    </row>
    <row r="42" spans="1:14" ht="12.75">
      <c r="A42" s="9">
        <v>47</v>
      </c>
      <c r="B42" s="10">
        <v>1970</v>
      </c>
      <c r="C42" s="11" t="s">
        <v>45</v>
      </c>
      <c r="D42" s="12">
        <f>+'[4]FA Continuity 2010'!G40</f>
        <v>0</v>
      </c>
      <c r="E42" s="36"/>
      <c r="F42" s="35"/>
      <c r="G42" s="15">
        <f t="shared" si="0"/>
        <v>0</v>
      </c>
      <c r="H42" s="63"/>
      <c r="I42" s="15">
        <f>+'[4]FA Continuity 2010'!L40</f>
        <v>0</v>
      </c>
      <c r="J42" s="35"/>
      <c r="K42" s="35"/>
      <c r="L42" s="15">
        <f t="shared" si="1"/>
        <v>0</v>
      </c>
      <c r="M42" s="15">
        <f t="shared" si="2"/>
        <v>0</v>
      </c>
      <c r="N42" s="18"/>
    </row>
    <row r="43" spans="1:14" ht="12.75">
      <c r="A43" s="9">
        <v>47</v>
      </c>
      <c r="B43" s="10">
        <v>1975</v>
      </c>
      <c r="C43" s="11" t="s">
        <v>46</v>
      </c>
      <c r="D43" s="12">
        <f>+'[4]FA Continuity 2010'!G41</f>
        <v>0</v>
      </c>
      <c r="E43" s="36"/>
      <c r="F43" s="35"/>
      <c r="G43" s="15">
        <f t="shared" si="0"/>
        <v>0</v>
      </c>
      <c r="H43" s="63"/>
      <c r="I43" s="15">
        <f>+'[4]FA Continuity 2010'!L41</f>
        <v>0</v>
      </c>
      <c r="J43" s="35"/>
      <c r="K43" s="35"/>
      <c r="L43" s="15">
        <f t="shared" si="1"/>
        <v>0</v>
      </c>
      <c r="M43" s="15">
        <f t="shared" si="2"/>
        <v>0</v>
      </c>
      <c r="N43" s="18"/>
    </row>
    <row r="44" spans="1:14" ht="12.75">
      <c r="A44" s="9">
        <v>47</v>
      </c>
      <c r="B44" s="10">
        <v>1980</v>
      </c>
      <c r="C44" s="11" t="s">
        <v>47</v>
      </c>
      <c r="D44" s="12">
        <f>+'[4]FA Continuity 2010'!G42</f>
        <v>0</v>
      </c>
      <c r="E44" s="36"/>
      <c r="F44" s="35"/>
      <c r="G44" s="15">
        <f t="shared" si="0"/>
        <v>0</v>
      </c>
      <c r="H44" s="63"/>
      <c r="I44" s="15">
        <f>+'[4]FA Continuity 2010'!L42</f>
        <v>0</v>
      </c>
      <c r="J44" s="35"/>
      <c r="K44" s="35"/>
      <c r="L44" s="15">
        <f t="shared" si="1"/>
        <v>0</v>
      </c>
      <c r="M44" s="15">
        <f t="shared" si="2"/>
        <v>0</v>
      </c>
      <c r="N44" s="18"/>
    </row>
    <row r="45" spans="1:14" ht="12.75">
      <c r="A45" s="9">
        <v>47</v>
      </c>
      <c r="B45" s="10">
        <v>1985</v>
      </c>
      <c r="C45" s="11" t="s">
        <v>48</v>
      </c>
      <c r="D45" s="12">
        <f>+'[4]FA Continuity 2010'!G43</f>
        <v>0</v>
      </c>
      <c r="E45" s="36"/>
      <c r="F45" s="35"/>
      <c r="G45" s="15">
        <f t="shared" si="0"/>
        <v>0</v>
      </c>
      <c r="H45" s="63"/>
      <c r="I45" s="15">
        <f>+'[4]FA Continuity 2010'!L43</f>
        <v>0</v>
      </c>
      <c r="J45" s="35"/>
      <c r="K45" s="35"/>
      <c r="L45" s="15">
        <f t="shared" si="1"/>
        <v>0</v>
      </c>
      <c r="M45" s="15">
        <f t="shared" si="2"/>
        <v>0</v>
      </c>
      <c r="N45" s="18"/>
    </row>
    <row r="46" spans="1:14" ht="12.75">
      <c r="A46" s="9">
        <v>47</v>
      </c>
      <c r="B46" s="10">
        <v>1990</v>
      </c>
      <c r="C46" s="11" t="s">
        <v>49</v>
      </c>
      <c r="D46" s="12">
        <f>+'[4]FA Continuity 2010'!G44</f>
        <v>0</v>
      </c>
      <c r="E46" s="36"/>
      <c r="F46" s="35"/>
      <c r="G46" s="15">
        <f t="shared" si="0"/>
        <v>0</v>
      </c>
      <c r="H46" s="63"/>
      <c r="I46" s="15">
        <f>+'[4]FA Continuity 2010'!L44</f>
        <v>0</v>
      </c>
      <c r="J46" s="35"/>
      <c r="K46" s="35"/>
      <c r="L46" s="15">
        <f t="shared" si="1"/>
        <v>0</v>
      </c>
      <c r="M46" s="15">
        <f t="shared" si="2"/>
        <v>0</v>
      </c>
      <c r="N46" s="18"/>
    </row>
    <row r="47" spans="1:14" ht="12.75">
      <c r="A47" s="9">
        <v>47</v>
      </c>
      <c r="B47" s="10">
        <v>1995</v>
      </c>
      <c r="C47" s="11" t="s">
        <v>50</v>
      </c>
      <c r="D47" s="12">
        <f>+'[4]FA Continuity 2010'!G45</f>
        <v>-2157659.0300000003</v>
      </c>
      <c r="E47" s="37">
        <v>-100000</v>
      </c>
      <c r="F47" s="35"/>
      <c r="G47" s="15">
        <f t="shared" si="0"/>
        <v>-2257659.0300000003</v>
      </c>
      <c r="H47" s="63"/>
      <c r="I47" s="15">
        <f>+'[4]FA Continuity 2010'!L45</f>
        <v>-370048.97</v>
      </c>
      <c r="J47" s="35">
        <f>-73692.78-E47/25</f>
        <v>-69692.78</v>
      </c>
      <c r="K47" s="35"/>
      <c r="L47" s="15">
        <f t="shared" si="1"/>
        <v>-439741.75</v>
      </c>
      <c r="M47" s="15">
        <f t="shared" si="2"/>
        <v>-1817917.2800000003</v>
      </c>
      <c r="N47" s="18"/>
    </row>
    <row r="48" spans="1:14" ht="12.75">
      <c r="A48" s="9"/>
      <c r="B48" s="10">
        <v>2005</v>
      </c>
      <c r="C48" s="10" t="s">
        <v>51</v>
      </c>
      <c r="D48" s="12">
        <f>+'[4]FA Continuity 2010'!G46</f>
        <v>0</v>
      </c>
      <c r="E48" s="35"/>
      <c r="F48" s="35"/>
      <c r="G48" s="15">
        <f t="shared" si="0"/>
        <v>0</v>
      </c>
      <c r="H48" s="63"/>
      <c r="I48" s="15">
        <f>+'[4]FA Continuity 2010'!L46</f>
        <v>0</v>
      </c>
      <c r="J48" s="35"/>
      <c r="K48" s="35"/>
      <c r="L48" s="15">
        <f t="shared" si="1"/>
        <v>0</v>
      </c>
      <c r="M48" s="15">
        <f t="shared" si="2"/>
        <v>0</v>
      </c>
      <c r="N48" s="18"/>
    </row>
    <row r="49" spans="1:14" ht="12.75">
      <c r="A49" s="9"/>
      <c r="B49" s="20"/>
      <c r="C49" s="21" t="s">
        <v>52</v>
      </c>
      <c r="D49" s="22">
        <f>SUM(D10:D48)</f>
        <v>20000374.61</v>
      </c>
      <c r="E49" s="22">
        <f>SUM(E10:E48)</f>
        <v>1988901</v>
      </c>
      <c r="F49" s="22">
        <f>SUM(F10:F48)</f>
        <v>743602.2251</v>
      </c>
      <c r="G49" s="22">
        <f>SUM(G10:G48)</f>
        <v>21245673.3849</v>
      </c>
      <c r="H49" s="63"/>
      <c r="I49" s="22">
        <f>SUM(I10:I48)</f>
        <v>7571693.336666666</v>
      </c>
      <c r="J49" s="22">
        <f>SUM(J10:J48)</f>
        <v>1124562.206666667</v>
      </c>
      <c r="K49" s="22">
        <f>SUM(K10:K48)</f>
        <v>409085.1303</v>
      </c>
      <c r="L49" s="22">
        <f>SUM(L10:L48)</f>
        <v>8287170.413033331</v>
      </c>
      <c r="M49" s="22">
        <f>SUM(M10:M48)</f>
        <v>12958502.971866667</v>
      </c>
      <c r="N49" s="18"/>
    </row>
    <row r="50" spans="1:14" ht="12.75">
      <c r="A50" s="9"/>
      <c r="B50" s="20"/>
      <c r="C50" s="11"/>
      <c r="D50" s="15"/>
      <c r="E50" s="15"/>
      <c r="F50" s="15"/>
      <c r="G50" s="15"/>
      <c r="H50" s="63"/>
      <c r="I50" s="15"/>
      <c r="J50" s="15"/>
      <c r="K50" s="15"/>
      <c r="L50" s="15"/>
      <c r="M50" s="15"/>
      <c r="N50" s="18"/>
    </row>
    <row r="51" spans="1:14" ht="12.75">
      <c r="A51" s="9" t="s">
        <v>53</v>
      </c>
      <c r="B51" s="20"/>
      <c r="C51" s="11" t="s">
        <v>54</v>
      </c>
      <c r="D51" s="12">
        <f>+'[4]FA Continuity 2010'!G49</f>
        <v>0</v>
      </c>
      <c r="E51" s="23">
        <f>+'[5]capital budget'!$L$26+'[5]capital budget'!$L$31</f>
        <v>230000</v>
      </c>
      <c r="F51" s="23"/>
      <c r="G51" s="15">
        <f>D51+E51-F51</f>
        <v>230000</v>
      </c>
      <c r="H51" s="63"/>
      <c r="I51" s="15">
        <v>0</v>
      </c>
      <c r="J51" s="23"/>
      <c r="K51" s="23"/>
      <c r="L51" s="15">
        <f>I51+J51-K51</f>
        <v>0</v>
      </c>
      <c r="M51" s="15">
        <f>G51-L51</f>
        <v>230000</v>
      </c>
      <c r="N51" s="18"/>
    </row>
    <row r="52" spans="1:14" ht="12.75">
      <c r="A52" s="9"/>
      <c r="B52" s="20"/>
      <c r="C52" s="21" t="s">
        <v>55</v>
      </c>
      <c r="D52" s="22">
        <f>SUM(D49:D51)</f>
        <v>20000374.61</v>
      </c>
      <c r="E52" s="22">
        <f>SUM(E49:E51)</f>
        <v>2218901</v>
      </c>
      <c r="F52" s="22">
        <f>SUM(F49:F51)</f>
        <v>743602.2251</v>
      </c>
      <c r="G52" s="22">
        <f>SUM(G49:G51)</f>
        <v>21475673.3849</v>
      </c>
      <c r="H52" s="63"/>
      <c r="I52" s="22">
        <f>SUM(I49:I51)</f>
        <v>7571693.336666666</v>
      </c>
      <c r="J52" s="22">
        <f>SUM(J49:J51)</f>
        <v>1124562.206666667</v>
      </c>
      <c r="K52" s="22">
        <f>SUM(K49:K51)</f>
        <v>409085.1303</v>
      </c>
      <c r="L52" s="22">
        <f>SUM(L49:L51)</f>
        <v>8287170.413033331</v>
      </c>
      <c r="M52" s="22">
        <f>SUM(M49:M51)</f>
        <v>13188502.971866667</v>
      </c>
      <c r="N52" s="18"/>
    </row>
    <row r="53" spans="4:13" ht="12.75">
      <c r="D53" s="24"/>
      <c r="E53" s="24"/>
      <c r="F53" s="24"/>
      <c r="G53" s="24"/>
      <c r="H53" s="25"/>
      <c r="I53" s="25"/>
      <c r="J53" s="25"/>
      <c r="K53" s="25"/>
      <c r="L53" s="25"/>
      <c r="M53" s="25"/>
    </row>
    <row r="54" spans="1:14" ht="12.75">
      <c r="A54" s="6"/>
      <c r="D54" s="24"/>
      <c r="E54" s="24"/>
      <c r="F54" s="24"/>
      <c r="G54" s="24"/>
      <c r="H54" s="56" t="s">
        <v>56</v>
      </c>
      <c r="I54" s="56"/>
      <c r="J54" s="56"/>
      <c r="K54" s="25"/>
      <c r="L54" s="25"/>
      <c r="M54" s="25"/>
      <c r="N54" s="18"/>
    </row>
    <row r="55" spans="1:14" ht="12.75">
      <c r="A55" s="10"/>
      <c r="B55" s="10">
        <f>B33</f>
        <v>1925</v>
      </c>
      <c r="C55" s="11" t="s">
        <v>57</v>
      </c>
      <c r="D55" s="24"/>
      <c r="E55" s="24"/>
      <c r="F55" s="24"/>
      <c r="G55" s="24"/>
      <c r="H55" s="56" t="s">
        <v>57</v>
      </c>
      <c r="I55" s="56"/>
      <c r="J55" s="26"/>
      <c r="K55" s="25"/>
      <c r="L55" s="25"/>
      <c r="M55" s="25"/>
      <c r="N55" s="28"/>
    </row>
    <row r="56" spans="1:14" ht="12.75">
      <c r="A56" s="10"/>
      <c r="B56" s="10">
        <f>B35</f>
        <v>1930</v>
      </c>
      <c r="C56" s="11" t="s">
        <v>39</v>
      </c>
      <c r="D56" s="24"/>
      <c r="E56" s="24"/>
      <c r="F56" s="24"/>
      <c r="G56" s="24"/>
      <c r="H56" s="56" t="s">
        <v>58</v>
      </c>
      <c r="I56" s="56"/>
      <c r="J56" s="26"/>
      <c r="K56" s="25"/>
      <c r="L56" s="25"/>
      <c r="M56" s="25"/>
      <c r="N56" s="28"/>
    </row>
    <row r="57" spans="1:14" ht="13.5" thickBot="1">
      <c r="A57" s="6"/>
      <c r="D57" s="24"/>
      <c r="E57" s="24"/>
      <c r="F57" s="24"/>
      <c r="G57" s="24"/>
      <c r="H57" s="56" t="s">
        <v>59</v>
      </c>
      <c r="I57" s="56"/>
      <c r="J57" s="29">
        <f>J52-J55-J56</f>
        <v>1124562.206666667</v>
      </c>
      <c r="K57" s="25"/>
      <c r="L57"/>
      <c r="M57" s="25"/>
      <c r="N57" s="30"/>
    </row>
    <row r="58" spans="1:14" ht="13.5" thickTop="1">
      <c r="A58" s="6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30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 s="2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 s="2"/>
    </row>
    <row r="62" spans="4:13" ht="12.75">
      <c r="D62" s="32"/>
      <c r="E62" s="32"/>
      <c r="F62" s="32"/>
      <c r="G62" s="32"/>
      <c r="H62" s="2"/>
      <c r="I62" s="2"/>
      <c r="J62" s="2"/>
      <c r="K62" s="2"/>
      <c r="L62" s="2"/>
      <c r="M62" s="2"/>
    </row>
    <row r="63" spans="4:13" ht="12.75">
      <c r="D63" s="32"/>
      <c r="E63" s="32"/>
      <c r="F63" s="32"/>
      <c r="G63" s="32"/>
      <c r="H63" s="2"/>
      <c r="I63" s="2"/>
      <c r="J63" s="2"/>
      <c r="K63" s="2"/>
      <c r="L63" s="2"/>
      <c r="M63" s="2"/>
    </row>
    <row r="64" spans="3:13" ht="12.75">
      <c r="C64" s="7"/>
      <c r="D64" s="1"/>
      <c r="E64" s="1"/>
      <c r="F64" s="1"/>
      <c r="G64" s="1"/>
      <c r="H64" s="2"/>
      <c r="I64" s="3"/>
      <c r="J64" s="3"/>
      <c r="K64" s="3"/>
      <c r="L64" s="3"/>
      <c r="M64" s="3"/>
    </row>
    <row r="65" spans="3:13" ht="12.75">
      <c r="C65" s="7"/>
      <c r="D65" s="1"/>
      <c r="E65" s="1"/>
      <c r="F65" s="1"/>
      <c r="G65" s="1"/>
      <c r="H65" s="2"/>
      <c r="I65" s="3"/>
      <c r="J65" s="3"/>
      <c r="K65" s="3"/>
      <c r="L65" s="3"/>
      <c r="M65" s="3"/>
    </row>
    <row r="66" spans="3:13" ht="12.75">
      <c r="C66" s="7"/>
      <c r="D66" s="1"/>
      <c r="E66" s="1"/>
      <c r="F66" s="1"/>
      <c r="G66" s="1"/>
      <c r="H66" s="2"/>
      <c r="I66" s="3"/>
      <c r="J66" s="3"/>
      <c r="K66" s="3"/>
      <c r="L66" s="3"/>
      <c r="M66" s="3"/>
    </row>
    <row r="67" spans="3:13" ht="12.75">
      <c r="C67" s="7"/>
      <c r="D67" s="1"/>
      <c r="E67" s="1"/>
      <c r="F67" s="1"/>
      <c r="G67" s="1"/>
      <c r="H67" s="2"/>
      <c r="I67" s="3"/>
      <c r="J67" s="3"/>
      <c r="K67" s="3"/>
      <c r="L67" s="3"/>
      <c r="M67" s="3"/>
    </row>
  </sheetData>
  <sheetProtection/>
  <mergeCells count="27">
    <mergeCell ref="A1:M1"/>
    <mergeCell ref="A2:M2"/>
    <mergeCell ref="A3:C3"/>
    <mergeCell ref="A4:C4"/>
    <mergeCell ref="A5:C5"/>
    <mergeCell ref="A8:A9"/>
    <mergeCell ref="B8:B9"/>
    <mergeCell ref="C8:C9"/>
    <mergeCell ref="D8:D9"/>
    <mergeCell ref="E8:E9"/>
    <mergeCell ref="K8:K9"/>
    <mergeCell ref="L8:L9"/>
    <mergeCell ref="M8:M9"/>
    <mergeCell ref="H54:J54"/>
    <mergeCell ref="D7:G7"/>
    <mergeCell ref="I7:L7"/>
    <mergeCell ref="F8:F9"/>
    <mergeCell ref="G8:G9"/>
    <mergeCell ref="H8:H52"/>
    <mergeCell ref="H55:I55"/>
    <mergeCell ref="H56:I56"/>
    <mergeCell ref="H57:I57"/>
    <mergeCell ref="F4:J5"/>
    <mergeCell ref="I8:I9"/>
    <mergeCell ref="J8:J9"/>
    <mergeCell ref="D6:G6"/>
    <mergeCell ref="I6:L6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3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62"/>
  <sheetViews>
    <sheetView zoomScalePageLayoutView="0" workbookViewId="0" topLeftCell="A25">
      <selection activeCell="F24" sqref="F24"/>
    </sheetView>
  </sheetViews>
  <sheetFormatPr defaultColWidth="9.140625" defaultRowHeight="12.75"/>
  <cols>
    <col min="1" max="1" width="10.140625" style="0" bestFit="1" customWidth="1"/>
    <col min="2" max="2" width="5.00390625" style="0" bestFit="1" customWidth="1"/>
    <col min="3" max="3" width="56.00390625" style="0" bestFit="1" customWidth="1"/>
    <col min="4" max="4" width="30.140625" style="0" bestFit="1" customWidth="1"/>
    <col min="5" max="6" width="9.421875" style="0" bestFit="1" customWidth="1"/>
    <col min="7" max="7" width="15.8515625" style="0" bestFit="1" customWidth="1"/>
    <col min="8" max="8" width="0" style="0" hidden="1" customWidth="1"/>
    <col min="9" max="9" width="16.8515625" style="0" bestFit="1" customWidth="1"/>
    <col min="10" max="11" width="9.421875" style="0" bestFit="1" customWidth="1"/>
    <col min="12" max="12" width="15.8515625" style="0" bestFit="1" customWidth="1"/>
    <col min="13" max="13" width="15.140625" style="0" bestFit="1" customWidth="1"/>
    <col min="15" max="15" width="12.00390625" style="0" bestFit="1" customWidth="1"/>
  </cols>
  <sheetData>
    <row r="1" spans="1:13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5"/>
      <c r="B3" s="65"/>
      <c r="C3" s="65"/>
      <c r="D3" s="1"/>
      <c r="E3" s="1"/>
      <c r="F3" s="1"/>
      <c r="G3" s="1"/>
      <c r="H3" s="2"/>
      <c r="I3" s="3"/>
      <c r="J3" s="3"/>
      <c r="K3" s="3"/>
      <c r="L3" s="3"/>
      <c r="M3" s="3"/>
    </row>
    <row r="4" spans="1:13" ht="12.75">
      <c r="A4" s="65" t="s">
        <v>2</v>
      </c>
      <c r="B4" s="65"/>
      <c r="C4" s="65"/>
      <c r="D4" s="1"/>
      <c r="E4" s="57" t="s">
        <v>66</v>
      </c>
      <c r="F4" s="57"/>
      <c r="G4" s="57"/>
      <c r="H4" s="57"/>
      <c r="I4" s="57"/>
      <c r="J4" s="3"/>
      <c r="K4" s="3"/>
      <c r="L4" s="3"/>
      <c r="M4" s="3"/>
    </row>
    <row r="5" spans="1:13" ht="12.75">
      <c r="A5" s="65" t="s">
        <v>63</v>
      </c>
      <c r="B5" s="65"/>
      <c r="C5" s="65"/>
      <c r="D5" s="1"/>
      <c r="E5" s="57"/>
      <c r="F5" s="57"/>
      <c r="G5" s="57"/>
      <c r="H5" s="57"/>
      <c r="I5" s="57"/>
      <c r="J5" s="3"/>
      <c r="K5" s="3"/>
      <c r="L5" s="3"/>
      <c r="M5" s="3"/>
    </row>
    <row r="6" spans="1:13" ht="12.75">
      <c r="A6" s="5"/>
      <c r="B6" s="6"/>
      <c r="C6" s="4"/>
      <c r="D6" s="66" t="s">
        <v>4</v>
      </c>
      <c r="E6" s="66"/>
      <c r="F6" s="66"/>
      <c r="G6" s="66"/>
      <c r="H6" s="2"/>
      <c r="I6" s="66" t="s">
        <v>5</v>
      </c>
      <c r="J6" s="66"/>
      <c r="K6" s="66"/>
      <c r="L6" s="66"/>
      <c r="M6" s="3"/>
    </row>
    <row r="7" spans="1:13" ht="12.75">
      <c r="A7" s="5"/>
      <c r="B7" s="6"/>
      <c r="C7" s="7"/>
      <c r="D7" s="49" t="s">
        <v>68</v>
      </c>
      <c r="E7" s="50"/>
      <c r="F7" s="50"/>
      <c r="G7" s="50"/>
      <c r="H7" s="2"/>
      <c r="I7" s="60"/>
      <c r="J7" s="60"/>
      <c r="K7" s="60"/>
      <c r="L7" s="60"/>
      <c r="M7" s="3"/>
    </row>
    <row r="8" spans="1:17" ht="12.75">
      <c r="A8" s="61" t="s">
        <v>6</v>
      </c>
      <c r="B8" s="61" t="s">
        <v>7</v>
      </c>
      <c r="C8" s="61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63"/>
      <c r="I8" s="58" t="s">
        <v>9</v>
      </c>
      <c r="J8" s="58" t="s">
        <v>10</v>
      </c>
      <c r="K8" s="58" t="s">
        <v>11</v>
      </c>
      <c r="L8" s="58" t="s">
        <v>12</v>
      </c>
      <c r="M8" s="58" t="s">
        <v>13</v>
      </c>
      <c r="N8" s="8"/>
      <c r="O8" s="8"/>
      <c r="P8" s="8"/>
      <c r="Q8" s="8"/>
    </row>
    <row r="9" spans="1:17" ht="12.75">
      <c r="A9" s="62"/>
      <c r="B9" s="62"/>
      <c r="C9" s="62"/>
      <c r="D9" s="59" t="s">
        <v>14</v>
      </c>
      <c r="E9" s="59" t="s">
        <v>10</v>
      </c>
      <c r="F9" s="59"/>
      <c r="G9" s="59"/>
      <c r="H9" s="63"/>
      <c r="I9" s="59" t="s">
        <v>14</v>
      </c>
      <c r="J9" s="59" t="s">
        <v>10</v>
      </c>
      <c r="K9" s="59"/>
      <c r="L9" s="59"/>
      <c r="M9" s="59"/>
      <c r="N9" s="8"/>
      <c r="O9" s="8"/>
      <c r="P9" s="8"/>
      <c r="Q9" s="8"/>
    </row>
    <row r="10" spans="1:14" ht="12.75">
      <c r="A10" s="9" t="s">
        <v>15</v>
      </c>
      <c r="B10" s="10">
        <v>1610</v>
      </c>
      <c r="C10" s="11" t="s">
        <v>64</v>
      </c>
      <c r="D10" s="12">
        <f>+'[9]FA Continuity 2010'!G10</f>
        <v>54866</v>
      </c>
      <c r="E10" s="51"/>
      <c r="F10" s="52">
        <v>54866</v>
      </c>
      <c r="G10" s="15">
        <f>D10+E10-F10</f>
        <v>0</v>
      </c>
      <c r="H10" s="63"/>
      <c r="I10" s="15">
        <f>+'[9]FA Continuity 2010'!L10</f>
        <v>0</v>
      </c>
      <c r="J10" s="23"/>
      <c r="K10" s="23"/>
      <c r="L10" s="15">
        <f>I10+J10-K10</f>
        <v>0</v>
      </c>
      <c r="M10" s="15">
        <f>G10-L10</f>
        <v>0</v>
      </c>
      <c r="N10" s="18"/>
    </row>
    <row r="11" spans="1:14" ht="12.75">
      <c r="A11" s="9" t="s">
        <v>15</v>
      </c>
      <c r="B11" s="10">
        <v>1805</v>
      </c>
      <c r="C11" s="11" t="s">
        <v>17</v>
      </c>
      <c r="D11" s="12">
        <f>+'[9]FA Continuity 2010'!G11</f>
        <v>219283.87</v>
      </c>
      <c r="E11" s="51"/>
      <c r="F11" s="52"/>
      <c r="G11" s="15">
        <f aca="true" t="shared" si="0" ref="G11:G48">D11+E11-F11</f>
        <v>219283.87</v>
      </c>
      <c r="H11" s="63"/>
      <c r="I11" s="15">
        <f>+'[9]FA Continuity 2010'!L11</f>
        <v>0</v>
      </c>
      <c r="J11" s="23"/>
      <c r="K11" s="23"/>
      <c r="L11" s="15">
        <f aca="true" t="shared" si="1" ref="L11:L48">I11+J11-K11</f>
        <v>0</v>
      </c>
      <c r="M11" s="15">
        <f aca="true" t="shared" si="2" ref="M11:M48">G11-L11</f>
        <v>219283.87</v>
      </c>
      <c r="N11" s="18"/>
    </row>
    <row r="12" spans="1:14" ht="12.75">
      <c r="A12" s="9" t="s">
        <v>18</v>
      </c>
      <c r="B12" s="10">
        <v>1806</v>
      </c>
      <c r="C12" s="11" t="s">
        <v>19</v>
      </c>
      <c r="D12" s="12">
        <f>+'[9]FA Continuity 2010'!G12</f>
        <v>0</v>
      </c>
      <c r="E12" s="51"/>
      <c r="F12" s="52"/>
      <c r="G12" s="15">
        <f t="shared" si="0"/>
        <v>0</v>
      </c>
      <c r="H12" s="63"/>
      <c r="I12" s="15">
        <f>+'[9]FA Continuity 2010'!L12</f>
        <v>0</v>
      </c>
      <c r="J12" s="23"/>
      <c r="K12" s="23"/>
      <c r="L12" s="15">
        <f t="shared" si="1"/>
        <v>0</v>
      </c>
      <c r="M12" s="15">
        <f t="shared" si="2"/>
        <v>0</v>
      </c>
      <c r="N12" s="18"/>
    </row>
    <row r="13" spans="1:14" ht="12.75">
      <c r="A13" s="9">
        <v>47</v>
      </c>
      <c r="B13" s="10">
        <v>1808</v>
      </c>
      <c r="C13" s="11" t="s">
        <v>20</v>
      </c>
      <c r="D13" s="12">
        <f>+'[9]FA Continuity 2010'!G13</f>
        <v>919215.57</v>
      </c>
      <c r="E13" s="51">
        <f>+'[10]capital budget'!$L$7</f>
        <v>75000</v>
      </c>
      <c r="F13" s="52"/>
      <c r="G13" s="15">
        <f t="shared" si="0"/>
        <v>994215.57</v>
      </c>
      <c r="H13" s="63"/>
      <c r="I13" s="15">
        <f>+'[9]FA Continuity 2010'!L13</f>
        <v>118783</v>
      </c>
      <c r="J13" s="23">
        <v>25245.79</v>
      </c>
      <c r="K13" s="23"/>
      <c r="L13" s="15">
        <f t="shared" si="1"/>
        <v>144028.79</v>
      </c>
      <c r="M13" s="15">
        <f t="shared" si="2"/>
        <v>850186.7799999999</v>
      </c>
      <c r="N13" s="18"/>
    </row>
    <row r="14" spans="1:13" ht="12.75">
      <c r="A14" s="9">
        <v>13</v>
      </c>
      <c r="B14" s="10">
        <v>1810</v>
      </c>
      <c r="C14" s="11" t="s">
        <v>21</v>
      </c>
      <c r="D14" s="12">
        <f>+'[9]FA Continuity 2010'!G14</f>
        <v>0</v>
      </c>
      <c r="E14" s="51"/>
      <c r="F14" s="52"/>
      <c r="G14" s="15">
        <f t="shared" si="0"/>
        <v>0</v>
      </c>
      <c r="H14" s="63"/>
      <c r="I14" s="15">
        <f>+'[9]FA Continuity 2010'!L14</f>
        <v>0</v>
      </c>
      <c r="J14" s="23"/>
      <c r="K14" s="23"/>
      <c r="L14" s="15">
        <f t="shared" si="1"/>
        <v>0</v>
      </c>
      <c r="M14" s="15">
        <f t="shared" si="2"/>
        <v>0</v>
      </c>
    </row>
    <row r="15" spans="1:14" ht="12.75">
      <c r="A15" s="9">
        <v>47</v>
      </c>
      <c r="B15" s="10">
        <v>1815</v>
      </c>
      <c r="C15" s="11" t="s">
        <v>22</v>
      </c>
      <c r="D15" s="12">
        <f>+'[9]FA Continuity 2010'!G15</f>
        <v>0</v>
      </c>
      <c r="E15" s="51"/>
      <c r="F15" s="52"/>
      <c r="G15" s="15">
        <f t="shared" si="0"/>
        <v>0</v>
      </c>
      <c r="H15" s="63"/>
      <c r="I15" s="15">
        <f>+'[9]FA Continuity 2010'!L15</f>
        <v>0</v>
      </c>
      <c r="J15" s="23"/>
      <c r="K15" s="23"/>
      <c r="L15" s="15">
        <f t="shared" si="1"/>
        <v>0</v>
      </c>
      <c r="M15" s="15">
        <f t="shared" si="2"/>
        <v>0</v>
      </c>
      <c r="N15" s="18"/>
    </row>
    <row r="16" spans="1:13" ht="12.75">
      <c r="A16" s="9">
        <v>47</v>
      </c>
      <c r="B16" s="10">
        <v>1820</v>
      </c>
      <c r="C16" s="11" t="s">
        <v>23</v>
      </c>
      <c r="D16" s="12">
        <f>+'[9]FA Continuity 2010'!G16</f>
        <v>2762235.0800000005</v>
      </c>
      <c r="E16" s="51"/>
      <c r="F16" s="52"/>
      <c r="G16" s="15">
        <f t="shared" si="0"/>
        <v>2762235.0800000005</v>
      </c>
      <c r="H16" s="63"/>
      <c r="I16" s="15">
        <f>+'[9]FA Continuity 2010'!L16</f>
        <v>1598842.07</v>
      </c>
      <c r="J16" s="23">
        <v>51720.46</v>
      </c>
      <c r="K16" s="23"/>
      <c r="L16" s="15">
        <f t="shared" si="1"/>
        <v>1650562.53</v>
      </c>
      <c r="M16" s="15">
        <f t="shared" si="2"/>
        <v>1111672.5500000005</v>
      </c>
    </row>
    <row r="17" spans="1:14" ht="12.75">
      <c r="A17" s="9">
        <v>47</v>
      </c>
      <c r="B17" s="10">
        <v>1825</v>
      </c>
      <c r="C17" s="11" t="s">
        <v>24</v>
      </c>
      <c r="D17" s="12">
        <f>+'[9]FA Continuity 2010'!G17</f>
        <v>0</v>
      </c>
      <c r="E17" s="51"/>
      <c r="F17" s="52"/>
      <c r="G17" s="15">
        <f t="shared" si="0"/>
        <v>0</v>
      </c>
      <c r="H17" s="63"/>
      <c r="I17" s="15">
        <f>+'[9]FA Continuity 2010'!L17</f>
        <v>0</v>
      </c>
      <c r="J17" s="23"/>
      <c r="K17" s="23"/>
      <c r="L17" s="15">
        <f t="shared" si="1"/>
        <v>0</v>
      </c>
      <c r="M17" s="15">
        <f t="shared" si="2"/>
        <v>0</v>
      </c>
      <c r="N17" s="18"/>
    </row>
    <row r="18" spans="1:14" ht="12.75">
      <c r="A18" s="9">
        <v>47</v>
      </c>
      <c r="B18" s="10">
        <v>1830</v>
      </c>
      <c r="C18" s="11" t="s">
        <v>25</v>
      </c>
      <c r="D18" s="12">
        <f>+'[9]FA Continuity 2010'!G18</f>
        <v>1107311.0200000003</v>
      </c>
      <c r="E18" s="51">
        <v>450000</v>
      </c>
      <c r="F18" s="23"/>
      <c r="G18" s="15">
        <f t="shared" si="0"/>
        <v>1557311.0200000003</v>
      </c>
      <c r="H18" s="63"/>
      <c r="I18" s="15">
        <f>+'[9]FA Continuity 2010'!L18</f>
        <v>164447.98</v>
      </c>
      <c r="J18" s="23">
        <v>39113.9</v>
      </c>
      <c r="K18" s="23"/>
      <c r="L18" s="15">
        <f t="shared" si="1"/>
        <v>203561.88</v>
      </c>
      <c r="M18" s="15">
        <f t="shared" si="2"/>
        <v>1353749.1400000001</v>
      </c>
      <c r="N18" s="18"/>
    </row>
    <row r="19" spans="1:14" ht="12.75">
      <c r="A19" s="9">
        <v>47</v>
      </c>
      <c r="B19" s="10">
        <v>1835</v>
      </c>
      <c r="C19" s="11" t="s">
        <v>26</v>
      </c>
      <c r="D19" s="12">
        <f>+'[9]FA Continuity 2010'!G19</f>
        <v>3813753.78</v>
      </c>
      <c r="E19" s="53">
        <v>400000</v>
      </c>
      <c r="F19" s="23"/>
      <c r="G19" s="15">
        <f t="shared" si="0"/>
        <v>4213753.779999999</v>
      </c>
      <c r="H19" s="63"/>
      <c r="I19" s="15">
        <f>+'[9]FA Continuity 2010'!L19</f>
        <v>761801.79</v>
      </c>
      <c r="J19" s="23">
        <v>88085.45</v>
      </c>
      <c r="K19" s="23"/>
      <c r="L19" s="15">
        <f t="shared" si="1"/>
        <v>849887.24</v>
      </c>
      <c r="M19" s="15">
        <f t="shared" si="2"/>
        <v>3363866.539999999</v>
      </c>
      <c r="N19" s="18"/>
    </row>
    <row r="20" spans="1:14" ht="12.75">
      <c r="A20" s="9">
        <v>47</v>
      </c>
      <c r="B20" s="10">
        <v>1840</v>
      </c>
      <c r="C20" s="11" t="s">
        <v>27</v>
      </c>
      <c r="D20" s="12">
        <f>+'[9]FA Continuity 2010'!G20</f>
        <v>878943.19</v>
      </c>
      <c r="E20" s="51">
        <v>350000</v>
      </c>
      <c r="F20" s="23"/>
      <c r="G20" s="15">
        <f t="shared" si="0"/>
        <v>1228943.19</v>
      </c>
      <c r="H20" s="63"/>
      <c r="I20" s="15">
        <f>+'[9]FA Continuity 2010'!L20</f>
        <v>174014.41</v>
      </c>
      <c r="J20" s="23">
        <v>27894.59</v>
      </c>
      <c r="K20" s="23"/>
      <c r="L20" s="15">
        <f t="shared" si="1"/>
        <v>201909</v>
      </c>
      <c r="M20" s="15">
        <f t="shared" si="2"/>
        <v>1027034.19</v>
      </c>
      <c r="N20" s="18"/>
    </row>
    <row r="21" spans="1:14" ht="12.75">
      <c r="A21" s="9">
        <v>47</v>
      </c>
      <c r="B21" s="10">
        <v>1845</v>
      </c>
      <c r="C21" s="11" t="s">
        <v>28</v>
      </c>
      <c r="D21" s="12">
        <f>+'[9]FA Continuity 2010'!G21</f>
        <v>3066153.88</v>
      </c>
      <c r="E21" s="53"/>
      <c r="F21" s="23"/>
      <c r="G21" s="15">
        <f t="shared" si="0"/>
        <v>3066153.88</v>
      </c>
      <c r="H21" s="63"/>
      <c r="I21" s="15">
        <f>+'[9]FA Continuity 2010'!L21</f>
        <v>1819954.81</v>
      </c>
      <c r="J21" s="23">
        <v>77252</v>
      </c>
      <c r="K21" s="23"/>
      <c r="L21" s="15">
        <f t="shared" si="1"/>
        <v>1897206.81</v>
      </c>
      <c r="M21" s="15">
        <f t="shared" si="2"/>
        <v>1168947.0699999998</v>
      </c>
      <c r="N21" s="18"/>
    </row>
    <row r="22" spans="1:14" ht="12.75">
      <c r="A22" s="9">
        <v>47</v>
      </c>
      <c r="B22" s="10">
        <v>1850</v>
      </c>
      <c r="C22" s="11" t="s">
        <v>29</v>
      </c>
      <c r="D22" s="12">
        <f>+'[9]FA Continuity 2010'!G22</f>
        <v>5111048.92</v>
      </c>
      <c r="E22" s="51">
        <f>VLOOKUP(B22,'[10]capital budget'!$A:$L,12)</f>
        <v>240000</v>
      </c>
      <c r="F22" s="23"/>
      <c r="G22" s="15">
        <f t="shared" si="0"/>
        <v>5351048.92</v>
      </c>
      <c r="H22" s="63"/>
      <c r="I22" s="15">
        <f>+'[9]FA Continuity 2010'!L22</f>
        <v>2204716.34</v>
      </c>
      <c r="J22" s="23">
        <v>147371.4613430904</v>
      </c>
      <c r="K22" s="23"/>
      <c r="L22" s="15">
        <f t="shared" si="1"/>
        <v>2352087.8013430904</v>
      </c>
      <c r="M22" s="15">
        <f t="shared" si="2"/>
        <v>2998961.1186569096</v>
      </c>
      <c r="N22" s="18"/>
    </row>
    <row r="23" spans="1:14" ht="12.75">
      <c r="A23" s="9">
        <v>47</v>
      </c>
      <c r="B23" s="10">
        <v>1855</v>
      </c>
      <c r="C23" s="11" t="s">
        <v>30</v>
      </c>
      <c r="D23" s="12">
        <f>+'[9]FA Continuity 2010'!G23</f>
        <v>509529.14</v>
      </c>
      <c r="E23" s="51">
        <v>90000</v>
      </c>
      <c r="F23" s="23"/>
      <c r="G23" s="15">
        <f t="shared" si="0"/>
        <v>599529.14</v>
      </c>
      <c r="H23" s="63"/>
      <c r="I23" s="15">
        <f>+'[9]FA Continuity 2010'!L23</f>
        <v>142491.96</v>
      </c>
      <c r="J23" s="23">
        <v>9014.18144858541</v>
      </c>
      <c r="K23" s="23"/>
      <c r="L23" s="15">
        <f t="shared" si="1"/>
        <v>151506.1414485854</v>
      </c>
      <c r="M23" s="15">
        <f t="shared" si="2"/>
        <v>448022.9985514146</v>
      </c>
      <c r="N23" s="18"/>
    </row>
    <row r="24" spans="1:14" ht="12.75">
      <c r="A24" s="9">
        <v>47</v>
      </c>
      <c r="B24" s="10">
        <v>1860</v>
      </c>
      <c r="C24" s="11" t="s">
        <v>31</v>
      </c>
      <c r="D24" s="12">
        <f>+'[9]FA Continuity 2010'!G24</f>
        <v>894462.37</v>
      </c>
      <c r="E24" s="51">
        <f>VLOOKUP(B24,'[10]capital budget'!$A:$L,12)</f>
        <v>20000</v>
      </c>
      <c r="F24" s="23">
        <f>+'[11]Recovery of Stranded Meters'!$B$3</f>
        <v>688736.2251</v>
      </c>
      <c r="G24" s="15">
        <f t="shared" si="0"/>
        <v>225726.14489999996</v>
      </c>
      <c r="H24" s="63"/>
      <c r="I24" s="15">
        <f>+'[9]FA Continuity 2010'!L24</f>
        <v>531279.58</v>
      </c>
      <c r="J24" s="23">
        <v>37320.53445281819</v>
      </c>
      <c r="K24" s="23">
        <f>+'[11]Recovery of Stranded Meters'!$B$4</f>
        <v>409085.1303</v>
      </c>
      <c r="L24" s="15">
        <f t="shared" si="1"/>
        <v>159514.98415281816</v>
      </c>
      <c r="M24" s="15">
        <f t="shared" si="2"/>
        <v>66211.1607471818</v>
      </c>
      <c r="N24" s="18"/>
    </row>
    <row r="25" spans="1:14" ht="12.75">
      <c r="A25" s="9">
        <v>47</v>
      </c>
      <c r="B25" s="10">
        <v>1860</v>
      </c>
      <c r="C25" s="11" t="s">
        <v>32</v>
      </c>
      <c r="D25" s="12">
        <f>+'[11]Avg Nt Fix Ass &amp;UCC'!$H$10</f>
        <v>1566824</v>
      </c>
      <c r="E25" s="51">
        <f>+'[11]Avg Nt Fix Ass &amp;UCC'!$I$9</f>
        <v>255355</v>
      </c>
      <c r="F25" s="23"/>
      <c r="G25" s="15">
        <f t="shared" si="0"/>
        <v>1822179</v>
      </c>
      <c r="H25" s="63"/>
      <c r="I25" s="15">
        <f>+'[11]Avg Nt Fix Ass &amp;UCC'!$H$15</f>
        <v>130791.06666666668</v>
      </c>
      <c r="J25" s="23">
        <v>111085.62</v>
      </c>
      <c r="K25" s="23"/>
      <c r="L25" s="15">
        <f>I25+J25-K25</f>
        <v>241876.68666666668</v>
      </c>
      <c r="M25" s="15">
        <f>G25-L25</f>
        <v>1580302.3133333332</v>
      </c>
      <c r="N25" s="18"/>
    </row>
    <row r="26" spans="1:14" ht="12.75">
      <c r="A26" s="9" t="s">
        <v>15</v>
      </c>
      <c r="B26" s="10">
        <v>1865</v>
      </c>
      <c r="C26" s="11" t="s">
        <v>33</v>
      </c>
      <c r="D26" s="12">
        <f>+'[9]FA Continuity 2010'!G25</f>
        <v>0</v>
      </c>
      <c r="E26" s="53"/>
      <c r="F26" s="23"/>
      <c r="G26" s="15">
        <f t="shared" si="0"/>
        <v>0</v>
      </c>
      <c r="H26" s="63"/>
      <c r="I26" s="15">
        <f>+'[9]FA Continuity 2010'!L25</f>
        <v>0</v>
      </c>
      <c r="J26" s="23"/>
      <c r="K26" s="23"/>
      <c r="L26" s="15">
        <f t="shared" si="1"/>
        <v>0</v>
      </c>
      <c r="M26" s="15">
        <f t="shared" si="2"/>
        <v>0</v>
      </c>
      <c r="N26" s="18"/>
    </row>
    <row r="27" spans="1:14" ht="12.75">
      <c r="A27" s="9" t="s">
        <v>15</v>
      </c>
      <c r="B27" s="10">
        <v>1905</v>
      </c>
      <c r="C27" s="11" t="s">
        <v>17</v>
      </c>
      <c r="D27" s="12">
        <f>+'[9]FA Continuity 2010'!G26</f>
        <v>0</v>
      </c>
      <c r="E27" s="53"/>
      <c r="F27" s="23"/>
      <c r="G27" s="15">
        <f t="shared" si="0"/>
        <v>0</v>
      </c>
      <c r="H27" s="63"/>
      <c r="I27" s="15">
        <f>+'[9]FA Continuity 2010'!L26</f>
        <v>0</v>
      </c>
      <c r="J27" s="23"/>
      <c r="K27" s="23"/>
      <c r="L27" s="15">
        <f t="shared" si="1"/>
        <v>0</v>
      </c>
      <c r="M27" s="15">
        <f t="shared" si="2"/>
        <v>0</v>
      </c>
      <c r="N27" s="18"/>
    </row>
    <row r="28" spans="1:14" ht="12.75">
      <c r="A28" s="9" t="s">
        <v>18</v>
      </c>
      <c r="B28" s="10">
        <v>1906</v>
      </c>
      <c r="C28" s="11" t="s">
        <v>19</v>
      </c>
      <c r="D28" s="12">
        <f>+'[9]FA Continuity 2010'!G27</f>
        <v>0</v>
      </c>
      <c r="E28" s="53"/>
      <c r="F28" s="23"/>
      <c r="G28" s="15">
        <f t="shared" si="0"/>
        <v>0</v>
      </c>
      <c r="H28" s="63"/>
      <c r="I28" s="15">
        <f>+'[9]FA Continuity 2010'!L27</f>
        <v>0</v>
      </c>
      <c r="J28" s="23"/>
      <c r="K28" s="23"/>
      <c r="L28" s="15">
        <f t="shared" si="1"/>
        <v>0</v>
      </c>
      <c r="M28" s="15">
        <f t="shared" si="2"/>
        <v>0</v>
      </c>
      <c r="N28" s="18"/>
    </row>
    <row r="29" spans="1:14" ht="12.75">
      <c r="A29" s="9">
        <v>47</v>
      </c>
      <c r="B29" s="10">
        <v>1908</v>
      </c>
      <c r="C29" s="11" t="s">
        <v>20</v>
      </c>
      <c r="D29" s="12">
        <f>+'[9]FA Continuity 2010'!G28</f>
        <v>0</v>
      </c>
      <c r="E29" s="53"/>
      <c r="F29" s="23"/>
      <c r="G29" s="15">
        <f t="shared" si="0"/>
        <v>0</v>
      </c>
      <c r="H29" s="63"/>
      <c r="I29" s="15">
        <f>+'[9]FA Continuity 2010'!L28</f>
        <v>0</v>
      </c>
      <c r="J29" s="23"/>
      <c r="K29" s="23"/>
      <c r="L29" s="15">
        <f t="shared" si="1"/>
        <v>0</v>
      </c>
      <c r="M29" s="15">
        <f t="shared" si="2"/>
        <v>0</v>
      </c>
      <c r="N29" s="18"/>
    </row>
    <row r="30" spans="1:14" ht="12.75">
      <c r="A30" s="9">
        <v>13</v>
      </c>
      <c r="B30" s="10">
        <v>1910</v>
      </c>
      <c r="C30" s="11" t="s">
        <v>21</v>
      </c>
      <c r="D30" s="12">
        <f>+'[9]FA Continuity 2010'!G29</f>
        <v>0</v>
      </c>
      <c r="E30" s="53"/>
      <c r="F30" s="23"/>
      <c r="G30" s="15">
        <f t="shared" si="0"/>
        <v>0</v>
      </c>
      <c r="H30" s="63"/>
      <c r="I30" s="15">
        <f>+'[9]FA Continuity 2010'!L29</f>
        <v>0</v>
      </c>
      <c r="J30" s="23"/>
      <c r="K30" s="23"/>
      <c r="L30" s="15">
        <f t="shared" si="1"/>
        <v>0</v>
      </c>
      <c r="M30" s="15">
        <f t="shared" si="2"/>
        <v>0</v>
      </c>
      <c r="N30" s="18"/>
    </row>
    <row r="31" spans="1:14" ht="12.75">
      <c r="A31" s="9">
        <v>8</v>
      </c>
      <c r="B31" s="10">
        <v>1915</v>
      </c>
      <c r="C31" s="11" t="s">
        <v>34</v>
      </c>
      <c r="D31" s="12">
        <f>+'[9]FA Continuity 2010'!G30</f>
        <v>57025.63000000001</v>
      </c>
      <c r="E31" s="51">
        <f>+'[10]capital budget'!$L$17</f>
        <v>25000</v>
      </c>
      <c r="F31" s="23"/>
      <c r="G31" s="15">
        <f t="shared" si="0"/>
        <v>82025.63</v>
      </c>
      <c r="H31" s="63"/>
      <c r="I31" s="15">
        <f>+'[9]FA Continuity 2010'!L30</f>
        <v>7333.760000000002</v>
      </c>
      <c r="J31" s="23">
        <v>5823</v>
      </c>
      <c r="K31" s="23"/>
      <c r="L31" s="15">
        <f t="shared" si="1"/>
        <v>13156.760000000002</v>
      </c>
      <c r="M31" s="15">
        <f t="shared" si="2"/>
        <v>68868.87</v>
      </c>
      <c r="N31" s="18"/>
    </row>
    <row r="32" spans="1:14" ht="12.75">
      <c r="A32" s="9">
        <v>10</v>
      </c>
      <c r="B32" s="10">
        <v>1920</v>
      </c>
      <c r="C32" s="11" t="s">
        <v>35</v>
      </c>
      <c r="D32" s="12">
        <f>+'[9]FA Continuity 2010'!G31</f>
        <v>31199.28999999998</v>
      </c>
      <c r="E32" s="53">
        <f>+'[10]capital budget'!$L$18</f>
        <v>50000</v>
      </c>
      <c r="F32" s="23"/>
      <c r="G32" s="15">
        <f t="shared" si="0"/>
        <v>81199.28999999998</v>
      </c>
      <c r="H32" s="63"/>
      <c r="I32" s="15">
        <f>+'[9]FA Continuity 2010'!L31</f>
        <v>12705.099999999991</v>
      </c>
      <c r="J32" s="23">
        <v>14314</v>
      </c>
      <c r="K32" s="23"/>
      <c r="L32" s="15">
        <f t="shared" si="1"/>
        <v>27019.09999999999</v>
      </c>
      <c r="M32" s="15">
        <f t="shared" si="2"/>
        <v>54180.18999999999</v>
      </c>
      <c r="N32" s="18"/>
    </row>
    <row r="33" spans="1:14" ht="12.75">
      <c r="A33" s="9">
        <v>12</v>
      </c>
      <c r="B33" s="10">
        <v>1925</v>
      </c>
      <c r="C33" s="11" t="s">
        <v>36</v>
      </c>
      <c r="D33" s="12">
        <f>+'[9]FA Continuity 2010'!G32</f>
        <v>113875.62</v>
      </c>
      <c r="E33" s="51">
        <f>+'[10]capital budget'!$L$19</f>
        <v>50000</v>
      </c>
      <c r="F33" s="23"/>
      <c r="G33" s="15">
        <f t="shared" si="0"/>
        <v>163875.62</v>
      </c>
      <c r="H33" s="63"/>
      <c r="I33" s="15">
        <f>+'[9]FA Continuity 2010'!L32</f>
        <v>46333.8</v>
      </c>
      <c r="J33" s="23">
        <v>27560</v>
      </c>
      <c r="K33" s="23"/>
      <c r="L33" s="15">
        <f t="shared" si="1"/>
        <v>73893.8</v>
      </c>
      <c r="M33" s="15">
        <f t="shared" si="2"/>
        <v>89981.81999999999</v>
      </c>
      <c r="N33" s="18"/>
    </row>
    <row r="34" spans="1:14" ht="12.75">
      <c r="A34" s="9">
        <v>12</v>
      </c>
      <c r="B34" s="10">
        <v>1925</v>
      </c>
      <c r="C34" s="11" t="s">
        <v>65</v>
      </c>
      <c r="D34" s="12">
        <f>+'[11]Avg Nt Fix Ass &amp;UCC'!$H$27</f>
        <v>115160</v>
      </c>
      <c r="E34" s="51">
        <f>+'[11]Avg Nt Fix Ass &amp;UCC'!$I$26</f>
        <v>8546</v>
      </c>
      <c r="F34" s="23"/>
      <c r="G34" s="15">
        <f t="shared" si="0"/>
        <v>123706</v>
      </c>
      <c r="H34" s="63"/>
      <c r="I34" s="15">
        <f>+'[11]Avg Nt Fix Ass &amp;UCC'!$H$32</f>
        <v>28588.6</v>
      </c>
      <c r="J34" s="23">
        <v>18168</v>
      </c>
      <c r="K34" s="23"/>
      <c r="L34" s="15">
        <f t="shared" si="1"/>
        <v>46756.6</v>
      </c>
      <c r="M34" s="15">
        <f t="shared" si="2"/>
        <v>76949.4</v>
      </c>
      <c r="N34" s="18"/>
    </row>
    <row r="35" spans="1:14" ht="12.75">
      <c r="A35" s="9">
        <v>10</v>
      </c>
      <c r="B35" s="10">
        <v>1930</v>
      </c>
      <c r="C35" s="11" t="s">
        <v>38</v>
      </c>
      <c r="D35" s="12">
        <f>+'[9]FA Continuity 2010'!G33</f>
        <v>759704.8999999999</v>
      </c>
      <c r="E35" s="53"/>
      <c r="F35" s="23"/>
      <c r="G35" s="15">
        <f t="shared" si="0"/>
        <v>759704.8999999999</v>
      </c>
      <c r="H35" s="63"/>
      <c r="I35" s="15">
        <f>+'[9]FA Continuity 2010'!L33</f>
        <v>149873.46000000002</v>
      </c>
      <c r="J35" s="23">
        <v>94308</v>
      </c>
      <c r="K35" s="23"/>
      <c r="L35" s="15">
        <f t="shared" si="1"/>
        <v>244181.46000000002</v>
      </c>
      <c r="M35" s="15">
        <f t="shared" si="2"/>
        <v>515523.4399999999</v>
      </c>
      <c r="N35" s="18"/>
    </row>
    <row r="36" spans="1:14" ht="12.75">
      <c r="A36" s="9">
        <v>8</v>
      </c>
      <c r="B36" s="10">
        <v>1935</v>
      </c>
      <c r="C36" s="11" t="s">
        <v>39</v>
      </c>
      <c r="D36" s="12">
        <f>+'[9]FA Continuity 2010'!G34</f>
        <v>0</v>
      </c>
      <c r="E36" s="53"/>
      <c r="F36" s="23"/>
      <c r="G36" s="15">
        <f t="shared" si="0"/>
        <v>0</v>
      </c>
      <c r="H36" s="63"/>
      <c r="I36" s="15">
        <f>+'[9]FA Continuity 2010'!L34</f>
        <v>0</v>
      </c>
      <c r="J36" s="23"/>
      <c r="K36" s="23"/>
      <c r="L36" s="15">
        <f t="shared" si="1"/>
        <v>0</v>
      </c>
      <c r="M36" s="15">
        <f t="shared" si="2"/>
        <v>0</v>
      </c>
      <c r="N36" s="18"/>
    </row>
    <row r="37" spans="1:14" ht="12.75">
      <c r="A37" s="9">
        <v>8</v>
      </c>
      <c r="B37" s="10">
        <v>1940</v>
      </c>
      <c r="C37" s="11" t="s">
        <v>40</v>
      </c>
      <c r="D37" s="12">
        <f>+'[9]FA Continuity 2010'!G35</f>
        <v>158729.88</v>
      </c>
      <c r="E37" s="53">
        <v>394000</v>
      </c>
      <c r="F37" s="23"/>
      <c r="G37" s="15">
        <f t="shared" si="0"/>
        <v>552729.88</v>
      </c>
      <c r="H37" s="63"/>
      <c r="I37" s="15">
        <f>+'[9]FA Continuity 2010'!L35</f>
        <v>48849</v>
      </c>
      <c r="J37" s="23">
        <v>19260</v>
      </c>
      <c r="K37" s="23"/>
      <c r="L37" s="15">
        <f t="shared" si="1"/>
        <v>68109</v>
      </c>
      <c r="M37" s="15">
        <f t="shared" si="2"/>
        <v>484620.88</v>
      </c>
      <c r="N37" s="18"/>
    </row>
    <row r="38" spans="1:14" ht="12.75">
      <c r="A38" s="9">
        <v>8</v>
      </c>
      <c r="B38" s="10">
        <v>1945</v>
      </c>
      <c r="C38" s="11" t="s">
        <v>41</v>
      </c>
      <c r="D38" s="12">
        <f>+'[9]FA Continuity 2010'!G36</f>
        <v>18711.5</v>
      </c>
      <c r="E38" s="53"/>
      <c r="F38" s="23"/>
      <c r="G38" s="15">
        <f t="shared" si="0"/>
        <v>18711.5</v>
      </c>
      <c r="H38" s="63"/>
      <c r="I38" s="15">
        <f>+'[9]FA Continuity 2010'!L36</f>
        <v>935.58</v>
      </c>
      <c r="J38" s="23">
        <v>1871.157894736842</v>
      </c>
      <c r="K38" s="23"/>
      <c r="L38" s="15">
        <f t="shared" si="1"/>
        <v>2806.737894736842</v>
      </c>
      <c r="M38" s="15">
        <f t="shared" si="2"/>
        <v>15904.762105263158</v>
      </c>
      <c r="N38" s="18"/>
    </row>
    <row r="39" spans="1:14" ht="12.75">
      <c r="A39" s="9">
        <v>8</v>
      </c>
      <c r="B39" s="10">
        <v>1950</v>
      </c>
      <c r="C39" s="11" t="s">
        <v>42</v>
      </c>
      <c r="D39" s="12">
        <f>+'[9]FA Continuity 2010'!G37</f>
        <v>0</v>
      </c>
      <c r="E39" s="53"/>
      <c r="F39" s="23"/>
      <c r="G39" s="15">
        <f t="shared" si="0"/>
        <v>0</v>
      </c>
      <c r="H39" s="63"/>
      <c r="I39" s="15">
        <f>+'[9]FA Continuity 2010'!L37</f>
        <v>0</v>
      </c>
      <c r="J39" s="23"/>
      <c r="K39" s="23"/>
      <c r="L39" s="15">
        <f t="shared" si="1"/>
        <v>0</v>
      </c>
      <c r="M39" s="15">
        <f t="shared" si="2"/>
        <v>0</v>
      </c>
      <c r="N39" s="18"/>
    </row>
    <row r="40" spans="1:14" ht="12.75">
      <c r="A40" s="9">
        <v>8</v>
      </c>
      <c r="B40" s="10">
        <v>1955</v>
      </c>
      <c r="C40" s="11" t="s">
        <v>43</v>
      </c>
      <c r="D40" s="12">
        <f>+'[9]FA Continuity 2010'!G38</f>
        <v>0</v>
      </c>
      <c r="E40" s="53"/>
      <c r="F40" s="23"/>
      <c r="G40" s="15">
        <f t="shared" si="0"/>
        <v>0</v>
      </c>
      <c r="H40" s="63"/>
      <c r="I40" s="15">
        <f>+'[9]FA Continuity 2010'!L38</f>
        <v>0</v>
      </c>
      <c r="J40" s="23"/>
      <c r="K40" s="23"/>
      <c r="L40" s="15">
        <f t="shared" si="1"/>
        <v>0</v>
      </c>
      <c r="M40" s="15">
        <f t="shared" si="2"/>
        <v>0</v>
      </c>
      <c r="N40" s="18"/>
    </row>
    <row r="41" spans="1:14" ht="12.75">
      <c r="A41" s="9">
        <v>8</v>
      </c>
      <c r="B41" s="10">
        <v>1960</v>
      </c>
      <c r="C41" s="11" t="s">
        <v>44</v>
      </c>
      <c r="D41" s="12">
        <f>+'[9]FA Continuity 2010'!G39</f>
        <v>0</v>
      </c>
      <c r="E41" s="53"/>
      <c r="F41" s="23"/>
      <c r="G41" s="15">
        <f t="shared" si="0"/>
        <v>0</v>
      </c>
      <c r="H41" s="63"/>
      <c r="I41" s="15">
        <f>+'[9]FA Continuity 2010'!L39</f>
        <v>0</v>
      </c>
      <c r="J41" s="23"/>
      <c r="K41" s="23"/>
      <c r="L41" s="15">
        <f t="shared" si="1"/>
        <v>0</v>
      </c>
      <c r="M41" s="15">
        <f t="shared" si="2"/>
        <v>0</v>
      </c>
      <c r="N41" s="18"/>
    </row>
    <row r="42" spans="1:14" ht="12.75">
      <c r="A42" s="9">
        <v>47</v>
      </c>
      <c r="B42" s="10">
        <v>1970</v>
      </c>
      <c r="C42" s="11" t="s">
        <v>45</v>
      </c>
      <c r="D42" s="12">
        <f>+'[9]FA Continuity 2010'!G40</f>
        <v>0</v>
      </c>
      <c r="E42" s="53"/>
      <c r="F42" s="23"/>
      <c r="G42" s="15">
        <f t="shared" si="0"/>
        <v>0</v>
      </c>
      <c r="H42" s="63"/>
      <c r="I42" s="15">
        <f>+'[9]FA Continuity 2010'!L40</f>
        <v>0</v>
      </c>
      <c r="J42" s="23"/>
      <c r="K42" s="23"/>
      <c r="L42" s="15">
        <f t="shared" si="1"/>
        <v>0</v>
      </c>
      <c r="M42" s="15">
        <f t="shared" si="2"/>
        <v>0</v>
      </c>
      <c r="N42" s="18"/>
    </row>
    <row r="43" spans="1:14" ht="12.75">
      <c r="A43" s="9">
        <v>47</v>
      </c>
      <c r="B43" s="10">
        <v>1975</v>
      </c>
      <c r="C43" s="11" t="s">
        <v>46</v>
      </c>
      <c r="D43" s="12">
        <f>+'[9]FA Continuity 2010'!G41</f>
        <v>0</v>
      </c>
      <c r="E43" s="53"/>
      <c r="F43" s="23"/>
      <c r="G43" s="15">
        <f t="shared" si="0"/>
        <v>0</v>
      </c>
      <c r="H43" s="63"/>
      <c r="I43" s="15">
        <f>+'[9]FA Continuity 2010'!L41</f>
        <v>0</v>
      </c>
      <c r="J43" s="23"/>
      <c r="K43" s="23"/>
      <c r="L43" s="15">
        <f t="shared" si="1"/>
        <v>0</v>
      </c>
      <c r="M43" s="15">
        <f t="shared" si="2"/>
        <v>0</v>
      </c>
      <c r="N43" s="18"/>
    </row>
    <row r="44" spans="1:14" ht="12.75">
      <c r="A44" s="9">
        <v>47</v>
      </c>
      <c r="B44" s="10">
        <v>1980</v>
      </c>
      <c r="C44" s="11" t="s">
        <v>47</v>
      </c>
      <c r="D44" s="12">
        <f>+'[9]FA Continuity 2010'!G42</f>
        <v>0</v>
      </c>
      <c r="E44" s="53"/>
      <c r="F44" s="23"/>
      <c r="G44" s="15">
        <f t="shared" si="0"/>
        <v>0</v>
      </c>
      <c r="H44" s="63"/>
      <c r="I44" s="15">
        <f>+'[9]FA Continuity 2010'!L42</f>
        <v>0</v>
      </c>
      <c r="J44" s="23"/>
      <c r="K44" s="23"/>
      <c r="L44" s="15">
        <f t="shared" si="1"/>
        <v>0</v>
      </c>
      <c r="M44" s="15">
        <f t="shared" si="2"/>
        <v>0</v>
      </c>
      <c r="N44" s="18"/>
    </row>
    <row r="45" spans="1:14" ht="12.75">
      <c r="A45" s="9">
        <v>47</v>
      </c>
      <c r="B45" s="10">
        <v>1985</v>
      </c>
      <c r="C45" s="11" t="s">
        <v>48</v>
      </c>
      <c r="D45" s="12">
        <f>+'[9]FA Continuity 2010'!G43</f>
        <v>0</v>
      </c>
      <c r="E45" s="53"/>
      <c r="F45" s="23"/>
      <c r="G45" s="15">
        <f t="shared" si="0"/>
        <v>0</v>
      </c>
      <c r="H45" s="63"/>
      <c r="I45" s="15">
        <f>+'[9]FA Continuity 2010'!L43</f>
        <v>0</v>
      </c>
      <c r="J45" s="23"/>
      <c r="K45" s="23"/>
      <c r="L45" s="15">
        <f t="shared" si="1"/>
        <v>0</v>
      </c>
      <c r="M45" s="15">
        <f t="shared" si="2"/>
        <v>0</v>
      </c>
      <c r="N45" s="18"/>
    </row>
    <row r="46" spans="1:14" ht="12.75">
      <c r="A46" s="9">
        <v>47</v>
      </c>
      <c r="B46" s="10">
        <v>1990</v>
      </c>
      <c r="C46" s="11" t="s">
        <v>49</v>
      </c>
      <c r="D46" s="12">
        <f>+'[9]FA Continuity 2010'!G44</f>
        <v>0</v>
      </c>
      <c r="E46" s="53"/>
      <c r="F46" s="23"/>
      <c r="G46" s="15">
        <f t="shared" si="0"/>
        <v>0</v>
      </c>
      <c r="H46" s="63"/>
      <c r="I46" s="15">
        <f>+'[9]FA Continuity 2010'!L44</f>
        <v>0</v>
      </c>
      <c r="J46" s="23"/>
      <c r="K46" s="23"/>
      <c r="L46" s="15">
        <f t="shared" si="1"/>
        <v>0</v>
      </c>
      <c r="M46" s="15">
        <f t="shared" si="2"/>
        <v>0</v>
      </c>
      <c r="N46" s="18"/>
    </row>
    <row r="47" spans="1:14" ht="12.75">
      <c r="A47" s="9">
        <v>47</v>
      </c>
      <c r="B47" s="10">
        <v>1995</v>
      </c>
      <c r="C47" s="11" t="s">
        <v>50</v>
      </c>
      <c r="D47" s="12">
        <f>+'[9]FA Continuity 2010'!G45</f>
        <v>-2157659.0300000003</v>
      </c>
      <c r="E47" s="54">
        <v>-100000</v>
      </c>
      <c r="F47" s="23"/>
      <c r="G47" s="15">
        <f t="shared" si="0"/>
        <v>-2257659.0300000003</v>
      </c>
      <c r="H47" s="63"/>
      <c r="I47" s="15">
        <f>+'[9]FA Continuity 2010'!L45</f>
        <v>-370048.97</v>
      </c>
      <c r="J47" s="23">
        <v>-77692.78</v>
      </c>
      <c r="K47" s="23"/>
      <c r="L47" s="15">
        <f t="shared" si="1"/>
        <v>-447741.75</v>
      </c>
      <c r="M47" s="15">
        <f t="shared" si="2"/>
        <v>-1809917.2800000003</v>
      </c>
      <c r="N47" s="18"/>
    </row>
    <row r="48" spans="1:14" ht="12.75">
      <c r="A48" s="9"/>
      <c r="B48" s="10">
        <v>2005</v>
      </c>
      <c r="C48" s="10" t="s">
        <v>51</v>
      </c>
      <c r="D48" s="12">
        <f>+'[9]FA Continuity 2010'!G46</f>
        <v>0</v>
      </c>
      <c r="E48" s="23"/>
      <c r="F48" s="23"/>
      <c r="G48" s="15">
        <f t="shared" si="0"/>
        <v>0</v>
      </c>
      <c r="H48" s="63"/>
      <c r="I48" s="15">
        <f>+'[9]FA Continuity 2010'!L46</f>
        <v>0</v>
      </c>
      <c r="J48" s="23"/>
      <c r="K48" s="23"/>
      <c r="L48" s="15">
        <f t="shared" si="1"/>
        <v>0</v>
      </c>
      <c r="M48" s="15">
        <f t="shared" si="2"/>
        <v>0</v>
      </c>
      <c r="N48" s="18"/>
    </row>
    <row r="49" spans="1:14" ht="12.75">
      <c r="A49" s="9"/>
      <c r="B49" s="20"/>
      <c r="C49" s="21" t="s">
        <v>52</v>
      </c>
      <c r="D49" s="22">
        <f>SUM(D10:D48)</f>
        <v>20000374.61</v>
      </c>
      <c r="E49" s="22">
        <f>SUM(E10:E48)</f>
        <v>2307901</v>
      </c>
      <c r="F49" s="22">
        <f>SUM(F10:F48)</f>
        <v>743602.2251</v>
      </c>
      <c r="G49" s="22">
        <f>SUM(G10:G48)</f>
        <v>21564673.3849</v>
      </c>
      <c r="H49" s="63"/>
      <c r="I49" s="22">
        <f>SUM(I10:I48)</f>
        <v>7571693.336666666</v>
      </c>
      <c r="J49" s="22">
        <f>SUM(J10:J48)</f>
        <v>717715.3651392307</v>
      </c>
      <c r="K49" s="22">
        <f>SUM(K10:K48)</f>
        <v>409085.1303</v>
      </c>
      <c r="L49" s="22">
        <f>SUM(L10:L48)</f>
        <v>7880323.571505897</v>
      </c>
      <c r="M49" s="22">
        <f>SUM(M10:M48)</f>
        <v>13684349.8133941</v>
      </c>
      <c r="N49" s="18"/>
    </row>
    <row r="50" spans="1:14" ht="12.75">
      <c r="A50" s="9"/>
      <c r="B50" s="20"/>
      <c r="C50" s="11"/>
      <c r="D50" s="15"/>
      <c r="E50" s="15"/>
      <c r="F50" s="15"/>
      <c r="G50" s="15"/>
      <c r="H50" s="63"/>
      <c r="I50" s="15"/>
      <c r="J50" s="15"/>
      <c r="K50" s="15"/>
      <c r="L50" s="15"/>
      <c r="M50" s="15"/>
      <c r="N50" s="18"/>
    </row>
    <row r="51" spans="1:14" ht="12.75">
      <c r="A51" s="9" t="s">
        <v>53</v>
      </c>
      <c r="B51" s="20"/>
      <c r="C51" s="11" t="s">
        <v>54</v>
      </c>
      <c r="D51" s="12">
        <f>+'[9]FA Continuity 2010'!G49</f>
        <v>0</v>
      </c>
      <c r="E51" s="23">
        <v>230000</v>
      </c>
      <c r="F51" s="23"/>
      <c r="G51" s="15">
        <f>D51+E51-F51</f>
        <v>230000</v>
      </c>
      <c r="H51" s="63"/>
      <c r="I51" s="15">
        <v>0</v>
      </c>
      <c r="J51" s="23"/>
      <c r="K51" s="23"/>
      <c r="L51" s="15">
        <f>I51+J51-K51</f>
        <v>0</v>
      </c>
      <c r="M51" s="15">
        <f>G51-L51</f>
        <v>230000</v>
      </c>
      <c r="N51" s="18"/>
    </row>
    <row r="52" spans="1:14" ht="12.75">
      <c r="A52" s="9"/>
      <c r="B52" s="20"/>
      <c r="C52" s="21" t="s">
        <v>55</v>
      </c>
      <c r="D52" s="22">
        <f>SUM(D49:D51)</f>
        <v>20000374.61</v>
      </c>
      <c r="E52" s="22">
        <f>SUM(E49:E51)</f>
        <v>2537901</v>
      </c>
      <c r="F52" s="22">
        <f>SUM(F49:F51)</f>
        <v>743602.2251</v>
      </c>
      <c r="G52" s="22">
        <f>SUM(G49:G51)</f>
        <v>21794673.3849</v>
      </c>
      <c r="H52" s="63"/>
      <c r="I52" s="22">
        <f>SUM(I49:I51)</f>
        <v>7571693.336666666</v>
      </c>
      <c r="J52" s="22">
        <f>SUM(J49:J51)</f>
        <v>717715.3651392307</v>
      </c>
      <c r="K52" s="22">
        <f>SUM(K49:K51)</f>
        <v>409085.1303</v>
      </c>
      <c r="L52" s="22">
        <f>SUM(L49:L51)</f>
        <v>7880323.571505897</v>
      </c>
      <c r="M52" s="22">
        <f>SUM(M49:M51)</f>
        <v>13914349.8133941</v>
      </c>
      <c r="N52" s="18"/>
    </row>
    <row r="53" spans="1:13" ht="12.75">
      <c r="A53" s="5"/>
      <c r="B53" s="6"/>
      <c r="C53" s="4"/>
      <c r="D53" s="24"/>
      <c r="E53" s="24"/>
      <c r="F53" s="24"/>
      <c r="G53" s="24"/>
      <c r="H53" s="25"/>
      <c r="I53" s="25"/>
      <c r="J53" s="25"/>
      <c r="K53" s="25"/>
      <c r="L53" s="25"/>
      <c r="M53" s="25"/>
    </row>
    <row r="54" spans="1:14" ht="12.75">
      <c r="A54" s="6"/>
      <c r="B54" s="6"/>
      <c r="C54" s="4"/>
      <c r="D54" s="24"/>
      <c r="E54" s="24"/>
      <c r="F54" s="24"/>
      <c r="G54" s="24"/>
      <c r="H54" s="56" t="s">
        <v>56</v>
      </c>
      <c r="I54" s="56"/>
      <c r="J54" s="56"/>
      <c r="K54" s="25"/>
      <c r="L54" s="25"/>
      <c r="M54" s="25"/>
      <c r="N54" s="18"/>
    </row>
    <row r="55" spans="1:14" ht="12.75">
      <c r="A55" s="10"/>
      <c r="B55" s="10">
        <f>B33</f>
        <v>1925</v>
      </c>
      <c r="C55" s="11" t="s">
        <v>57</v>
      </c>
      <c r="D55" s="24"/>
      <c r="E55" s="24"/>
      <c r="F55" s="24"/>
      <c r="G55" s="24"/>
      <c r="H55" s="56" t="s">
        <v>57</v>
      </c>
      <c r="I55" s="56"/>
      <c r="J55" s="26"/>
      <c r="K55" s="25"/>
      <c r="L55" s="25"/>
      <c r="M55" s="25"/>
      <c r="N55" s="28"/>
    </row>
    <row r="56" spans="1:14" ht="12.75">
      <c r="A56" s="10"/>
      <c r="B56" s="10">
        <f>B35</f>
        <v>1930</v>
      </c>
      <c r="C56" s="11" t="s">
        <v>39</v>
      </c>
      <c r="D56" s="24"/>
      <c r="E56" s="24"/>
      <c r="F56" s="24"/>
      <c r="G56" s="24"/>
      <c r="H56" s="56" t="s">
        <v>58</v>
      </c>
      <c r="I56" s="56"/>
      <c r="J56" s="26"/>
      <c r="K56" s="25"/>
      <c r="L56" s="25"/>
      <c r="M56" s="25"/>
      <c r="N56" s="28"/>
    </row>
    <row r="57" spans="1:14" ht="13.5" thickBot="1">
      <c r="A57" s="6"/>
      <c r="B57" s="6"/>
      <c r="C57" s="4"/>
      <c r="D57" s="24"/>
      <c r="E57" s="24"/>
      <c r="F57" s="24"/>
      <c r="G57" s="24"/>
      <c r="H57" s="56" t="s">
        <v>59</v>
      </c>
      <c r="I57" s="56"/>
      <c r="J57" s="29">
        <f>J52-J55-J56</f>
        <v>717715.3651392307</v>
      </c>
      <c r="K57" s="25"/>
      <c r="M57" s="25"/>
      <c r="N57" s="30"/>
    </row>
    <row r="58" spans="1:14" ht="13.5" thickTop="1">
      <c r="A58" s="6"/>
      <c r="B58" s="6"/>
      <c r="C58" s="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30"/>
    </row>
    <row r="59" ht="12.75">
      <c r="M59" s="2"/>
    </row>
    <row r="60" spans="4:13" ht="12.75">
      <c r="D60" s="53"/>
      <c r="M60" s="2"/>
    </row>
    <row r="61" ht="12.75">
      <c r="M61" s="2"/>
    </row>
    <row r="62" spans="1:13" ht="12.75">
      <c r="A62" s="5"/>
      <c r="B62" s="6"/>
      <c r="C62" s="4"/>
      <c r="D62" s="32"/>
      <c r="E62" s="32"/>
      <c r="F62" s="32"/>
      <c r="G62" s="32"/>
      <c r="H62" s="2"/>
      <c r="I62" s="2"/>
      <c r="J62" s="2"/>
      <c r="K62" s="2"/>
      <c r="L62" s="2"/>
      <c r="M62" s="2"/>
    </row>
  </sheetData>
  <sheetProtection/>
  <mergeCells count="26">
    <mergeCell ref="A1:M1"/>
    <mergeCell ref="A2:M2"/>
    <mergeCell ref="A3:C3"/>
    <mergeCell ref="A4:C4"/>
    <mergeCell ref="A5:C5"/>
    <mergeCell ref="A8:A9"/>
    <mergeCell ref="B8:B9"/>
    <mergeCell ref="C8:C9"/>
    <mergeCell ref="D8:D9"/>
    <mergeCell ref="E8:E9"/>
    <mergeCell ref="L8:L9"/>
    <mergeCell ref="M8:M9"/>
    <mergeCell ref="H54:J54"/>
    <mergeCell ref="H55:I55"/>
    <mergeCell ref="I7:L7"/>
    <mergeCell ref="H8:H52"/>
    <mergeCell ref="I8:I9"/>
    <mergeCell ref="H56:I56"/>
    <mergeCell ref="H57:I57"/>
    <mergeCell ref="E4:I5"/>
    <mergeCell ref="J8:J9"/>
    <mergeCell ref="K8:K9"/>
    <mergeCell ref="F8:F9"/>
    <mergeCell ref="G8:G9"/>
    <mergeCell ref="D6:G6"/>
    <mergeCell ref="I6:L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7"/>
  <sheetViews>
    <sheetView zoomScale="80" zoomScaleNormal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3" sqref="I63"/>
    </sheetView>
  </sheetViews>
  <sheetFormatPr defaultColWidth="9.140625" defaultRowHeight="12.75"/>
  <cols>
    <col min="1" max="1" width="7.140625" style="5" customWidth="1"/>
    <col min="2" max="2" width="7.421875" style="6" customWidth="1"/>
    <col min="3" max="3" width="40.421875" style="4" customWidth="1"/>
    <col min="4" max="4" width="15.7109375" style="4" customWidth="1"/>
    <col min="5" max="5" width="14.8515625" style="4" customWidth="1"/>
    <col min="6" max="6" width="12.8515625" style="4" customWidth="1"/>
    <col min="7" max="7" width="15.7109375" style="4" customWidth="1"/>
    <col min="8" max="8" width="0.85546875" style="4" hidden="1" customWidth="1"/>
    <col min="9" max="9" width="16.8515625" style="4" customWidth="1"/>
    <col min="10" max="11" width="12.7109375" style="4" customWidth="1"/>
    <col min="12" max="13" width="14.00390625" style="4" customWidth="1"/>
    <col min="14" max="14" width="15.28125" style="0" customWidth="1"/>
    <col min="15" max="15" width="15.57421875" style="38" customWidth="1"/>
    <col min="16" max="17" width="9.140625" style="45" customWidth="1"/>
    <col min="18" max="20" width="9.140625" style="46" customWidth="1"/>
  </cols>
  <sheetData>
    <row r="1" spans="1:13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5"/>
      <c r="B3" s="65"/>
      <c r="C3" s="65"/>
      <c r="D3" s="1"/>
      <c r="E3" s="1"/>
      <c r="F3" s="57" t="s">
        <v>62</v>
      </c>
      <c r="G3" s="57"/>
      <c r="H3" s="57"/>
      <c r="I3" s="57"/>
      <c r="J3" s="57"/>
      <c r="K3" s="3"/>
      <c r="L3" s="3"/>
      <c r="M3" s="3"/>
    </row>
    <row r="4" spans="1:13" ht="12.75">
      <c r="A4" s="65" t="s">
        <v>2</v>
      </c>
      <c r="B4" s="65"/>
      <c r="C4" s="65"/>
      <c r="D4" s="1"/>
      <c r="E4" s="1"/>
      <c r="F4" s="57"/>
      <c r="G4" s="57"/>
      <c r="H4" s="57"/>
      <c r="I4" s="57"/>
      <c r="J4" s="57"/>
      <c r="K4" s="3"/>
      <c r="L4" s="3"/>
      <c r="M4" s="3"/>
    </row>
    <row r="5" spans="1:13" ht="12.75">
      <c r="A5" s="65" t="s">
        <v>3</v>
      </c>
      <c r="B5" s="65"/>
      <c r="C5" s="65"/>
      <c r="D5" s="1"/>
      <c r="E5" s="1"/>
      <c r="F5" s="1"/>
      <c r="H5" s="2"/>
      <c r="I5" s="3"/>
      <c r="J5" s="3"/>
      <c r="K5" s="3"/>
      <c r="L5" s="3"/>
      <c r="M5" s="3"/>
    </row>
    <row r="6" spans="4:13" ht="12.75">
      <c r="D6" s="66" t="s">
        <v>4</v>
      </c>
      <c r="E6" s="66"/>
      <c r="F6" s="66"/>
      <c r="G6" s="66"/>
      <c r="H6" s="2"/>
      <c r="I6" s="66" t="s">
        <v>5</v>
      </c>
      <c r="J6" s="66"/>
      <c r="K6" s="66"/>
      <c r="L6" s="66"/>
      <c r="M6" s="3"/>
    </row>
    <row r="7" spans="3:13" ht="12.75">
      <c r="C7" s="7"/>
      <c r="D7" s="60"/>
      <c r="E7" s="60"/>
      <c r="F7" s="60"/>
      <c r="G7" s="60"/>
      <c r="H7" s="2"/>
      <c r="I7" s="60"/>
      <c r="J7" s="60"/>
      <c r="K7" s="60"/>
      <c r="L7" s="60"/>
      <c r="M7" s="3"/>
    </row>
    <row r="8" spans="1:20" s="8" customFormat="1" ht="12.75">
      <c r="A8" s="61" t="s">
        <v>6</v>
      </c>
      <c r="B8" s="61" t="s">
        <v>7</v>
      </c>
      <c r="C8" s="61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63"/>
      <c r="I8" s="58" t="s">
        <v>9</v>
      </c>
      <c r="J8" s="58" t="s">
        <v>10</v>
      </c>
      <c r="K8" s="58" t="s">
        <v>11</v>
      </c>
      <c r="L8" s="58" t="s">
        <v>12</v>
      </c>
      <c r="M8" s="58" t="s">
        <v>13</v>
      </c>
      <c r="O8" s="39"/>
      <c r="P8" s="47"/>
      <c r="Q8" s="47"/>
      <c r="R8" s="48"/>
      <c r="S8" s="48"/>
      <c r="T8" s="48"/>
    </row>
    <row r="9" spans="1:20" s="8" customFormat="1" ht="12.75">
      <c r="A9" s="62"/>
      <c r="B9" s="62"/>
      <c r="C9" s="62"/>
      <c r="D9" s="59" t="s">
        <v>14</v>
      </c>
      <c r="E9" s="59" t="s">
        <v>10</v>
      </c>
      <c r="F9" s="59"/>
      <c r="G9" s="59"/>
      <c r="H9" s="63"/>
      <c r="I9" s="59" t="s">
        <v>14</v>
      </c>
      <c r="J9" s="59" t="s">
        <v>10</v>
      </c>
      <c r="K9" s="59"/>
      <c r="L9" s="59"/>
      <c r="M9" s="59"/>
      <c r="O9" s="39"/>
      <c r="P9" s="47"/>
      <c r="Q9" s="47"/>
      <c r="R9" s="48"/>
      <c r="S9" s="48"/>
      <c r="T9" s="48"/>
    </row>
    <row r="10" spans="1:20" s="8" customFormat="1" ht="12.75">
      <c r="A10" s="9" t="s">
        <v>15</v>
      </c>
      <c r="B10" s="10">
        <v>1610</v>
      </c>
      <c r="C10" s="11" t="s">
        <v>16</v>
      </c>
      <c r="D10" s="12">
        <f>+'[4]FA Continuity 2011'!G10</f>
        <v>0</v>
      </c>
      <c r="E10" s="13"/>
      <c r="F10" s="14"/>
      <c r="G10" s="15">
        <f>D10+E10-F10</f>
        <v>0</v>
      </c>
      <c r="H10" s="63"/>
      <c r="I10" s="15">
        <f>+'[4]FA Continuity 2011'!L10</f>
        <v>0</v>
      </c>
      <c r="J10" s="16"/>
      <c r="K10" s="17"/>
      <c r="L10" s="15">
        <f>I10+J10-K10</f>
        <v>0</v>
      </c>
      <c r="M10" s="15">
        <f>G10-L10</f>
        <v>0</v>
      </c>
      <c r="O10" s="39"/>
      <c r="P10" s="47"/>
      <c r="Q10" s="47"/>
      <c r="R10" s="48"/>
      <c r="S10" s="48"/>
      <c r="T10" s="48"/>
    </row>
    <row r="11" spans="1:15" ht="12.75">
      <c r="A11" s="9" t="s">
        <v>15</v>
      </c>
      <c r="B11" s="10">
        <v>1805</v>
      </c>
      <c r="C11" s="11" t="s">
        <v>17</v>
      </c>
      <c r="D11" s="12">
        <f>+'[4]FA Continuity 2011'!G11</f>
        <v>219283.87</v>
      </c>
      <c r="E11" s="13"/>
      <c r="F11" s="14"/>
      <c r="G11" s="15">
        <f aca="true" t="shared" si="0" ref="G11:G48">D11+E11-F11</f>
        <v>219283.87</v>
      </c>
      <c r="H11" s="63"/>
      <c r="I11" s="15">
        <f>+'[4]FA Continuity 2011'!L11</f>
        <v>0</v>
      </c>
      <c r="J11" s="16"/>
      <c r="K11" s="17"/>
      <c r="L11" s="15">
        <f aca="true" t="shared" si="1" ref="L11:L48">I11+J11-K11</f>
        <v>0</v>
      </c>
      <c r="M11" s="15">
        <f aca="true" t="shared" si="2" ref="M11:M48">G11-L11</f>
        <v>219283.87</v>
      </c>
      <c r="N11" s="18"/>
      <c r="O11" s="41"/>
    </row>
    <row r="12" spans="1:15" ht="12.75">
      <c r="A12" s="9" t="s">
        <v>18</v>
      </c>
      <c r="B12" s="10">
        <v>1806</v>
      </c>
      <c r="C12" s="11" t="s">
        <v>19</v>
      </c>
      <c r="D12" s="12">
        <f>+'[4]FA Continuity 2011'!G12</f>
        <v>0</v>
      </c>
      <c r="E12" s="13"/>
      <c r="F12" s="14"/>
      <c r="G12" s="15">
        <f t="shared" si="0"/>
        <v>0</v>
      </c>
      <c r="H12" s="63"/>
      <c r="I12" s="15">
        <f>+'[4]FA Continuity 2011'!L12</f>
        <v>0</v>
      </c>
      <c r="J12" s="16"/>
      <c r="K12" s="17"/>
      <c r="L12" s="15">
        <f t="shared" si="1"/>
        <v>0</v>
      </c>
      <c r="M12" s="15">
        <f t="shared" si="2"/>
        <v>0</v>
      </c>
      <c r="N12" s="18"/>
      <c r="O12" s="41"/>
    </row>
    <row r="13" spans="1:15" ht="12.75">
      <c r="A13" s="9">
        <v>47</v>
      </c>
      <c r="B13" s="10">
        <v>1808</v>
      </c>
      <c r="C13" s="11" t="s">
        <v>20</v>
      </c>
      <c r="D13" s="12">
        <f>+'[4]FA Continuity 2011'!G13</f>
        <v>994215.57</v>
      </c>
      <c r="E13" s="13">
        <f>+'[5]capital budget'!$M$7+'[5]capital budget'!$M$32</f>
        <v>375000</v>
      </c>
      <c r="F13" s="14"/>
      <c r="G13" s="15">
        <f t="shared" si="0"/>
        <v>1369215.5699999998</v>
      </c>
      <c r="H13" s="63"/>
      <c r="I13" s="15">
        <f>+'[4]FA Continuity 2011'!L13</f>
        <v>139981.94</v>
      </c>
      <c r="J13" s="17">
        <f>+'[6]1808 Buildings'!$I$14</f>
        <v>30852.51509090909</v>
      </c>
      <c r="K13" s="17"/>
      <c r="L13" s="15">
        <f t="shared" si="1"/>
        <v>170834.4550909091</v>
      </c>
      <c r="M13" s="15">
        <f t="shared" si="2"/>
        <v>1198381.1149090908</v>
      </c>
      <c r="N13" s="18"/>
      <c r="O13" s="41"/>
    </row>
    <row r="14" spans="1:15" ht="12.75">
      <c r="A14" s="9">
        <v>13</v>
      </c>
      <c r="B14" s="10">
        <v>1810</v>
      </c>
      <c r="C14" s="11" t="s">
        <v>21</v>
      </c>
      <c r="D14" s="12">
        <f>+'[4]FA Continuity 2011'!G14</f>
        <v>0</v>
      </c>
      <c r="E14" s="13"/>
      <c r="F14" s="14"/>
      <c r="G14" s="15">
        <f t="shared" si="0"/>
        <v>0</v>
      </c>
      <c r="H14" s="63"/>
      <c r="I14" s="15">
        <f>+'[4]FA Continuity 2011'!L14</f>
        <v>0</v>
      </c>
      <c r="J14" s="16">
        <f>+P14</f>
        <v>0</v>
      </c>
      <c r="K14" s="17"/>
      <c r="L14" s="15">
        <f t="shared" si="1"/>
        <v>0</v>
      </c>
      <c r="M14" s="15">
        <f t="shared" si="2"/>
        <v>0</v>
      </c>
      <c r="O14" s="41"/>
    </row>
    <row r="15" spans="1:15" ht="12.75">
      <c r="A15" s="9">
        <v>47</v>
      </c>
      <c r="B15" s="10">
        <v>1815</v>
      </c>
      <c r="C15" s="11" t="s">
        <v>22</v>
      </c>
      <c r="D15" s="12">
        <f>+'[4]FA Continuity 2011'!G15</f>
        <v>0</v>
      </c>
      <c r="E15" s="13"/>
      <c r="F15" s="14"/>
      <c r="G15" s="15">
        <f t="shared" si="0"/>
        <v>0</v>
      </c>
      <c r="H15" s="63"/>
      <c r="I15" s="15">
        <f>+'[4]FA Continuity 2011'!L15</f>
        <v>0</v>
      </c>
      <c r="J15" s="16">
        <f>+P15</f>
        <v>0</v>
      </c>
      <c r="K15" s="17"/>
      <c r="L15" s="15">
        <f t="shared" si="1"/>
        <v>0</v>
      </c>
      <c r="M15" s="15">
        <f t="shared" si="2"/>
        <v>0</v>
      </c>
      <c r="N15" s="18"/>
      <c r="O15" s="41"/>
    </row>
    <row r="16" spans="1:15" ht="12.75">
      <c r="A16" s="9">
        <v>47</v>
      </c>
      <c r="B16" s="10">
        <v>1820</v>
      </c>
      <c r="C16" s="11" t="s">
        <v>23</v>
      </c>
      <c r="D16" s="12">
        <f>+'[4]FA Continuity 2011'!G16</f>
        <v>2762235.0800000005</v>
      </c>
      <c r="E16" s="13"/>
      <c r="F16" s="14"/>
      <c r="G16" s="15">
        <f t="shared" si="0"/>
        <v>2762235.0800000005</v>
      </c>
      <c r="H16" s="63"/>
      <c r="I16" s="15">
        <f>+'[4]FA Continuity 2011'!L16</f>
        <v>1720437.23</v>
      </c>
      <c r="J16" s="17">
        <f>+'[6]1820 Substations'!$S$25</f>
        <v>50093.560096330504</v>
      </c>
      <c r="K16" s="17"/>
      <c r="L16" s="15">
        <f t="shared" si="1"/>
        <v>1770530.7900963305</v>
      </c>
      <c r="M16" s="15">
        <f t="shared" si="2"/>
        <v>991704.2899036701</v>
      </c>
      <c r="O16" s="41"/>
    </row>
    <row r="17" spans="1:15" ht="12.75">
      <c r="A17" s="9">
        <v>47</v>
      </c>
      <c r="B17" s="10">
        <v>1825</v>
      </c>
      <c r="C17" s="11" t="s">
        <v>24</v>
      </c>
      <c r="D17" s="12">
        <f>+'[4]FA Continuity 2011'!G17</f>
        <v>0</v>
      </c>
      <c r="E17" s="13"/>
      <c r="F17" s="14"/>
      <c r="G17" s="15">
        <f t="shared" si="0"/>
        <v>0</v>
      </c>
      <c r="H17" s="63"/>
      <c r="I17" s="15">
        <f>+'[4]FA Continuity 2011'!L17</f>
        <v>0</v>
      </c>
      <c r="J17" s="16">
        <f>+P17</f>
        <v>0</v>
      </c>
      <c r="K17" s="17"/>
      <c r="L17" s="15">
        <f t="shared" si="1"/>
        <v>0</v>
      </c>
      <c r="M17" s="15">
        <f t="shared" si="2"/>
        <v>0</v>
      </c>
      <c r="N17" s="18"/>
      <c r="O17" s="41"/>
    </row>
    <row r="18" spans="1:15" ht="12.75">
      <c r="A18" s="9">
        <v>47</v>
      </c>
      <c r="B18" s="10">
        <v>1830</v>
      </c>
      <c r="C18" s="11" t="s">
        <v>25</v>
      </c>
      <c r="D18" s="12">
        <f>+'[4]FA Continuity 2011'!G18</f>
        <v>1557311.0200000003</v>
      </c>
      <c r="E18" s="16">
        <f>+'[5]capital budget'!$M$9</f>
        <v>240000</v>
      </c>
      <c r="F18" s="17"/>
      <c r="G18" s="15">
        <f t="shared" si="0"/>
        <v>1797311.0200000003</v>
      </c>
      <c r="H18" s="63"/>
      <c r="I18" s="15">
        <f>+'[4]FA Continuity 2011'!L18</f>
        <v>217740.51</v>
      </c>
      <c r="J18" s="17">
        <f>+'[6]1830 Poles'!$R$18</f>
        <v>54060.38795170379</v>
      </c>
      <c r="K18" s="17"/>
      <c r="L18" s="15">
        <f t="shared" si="1"/>
        <v>271800.8979517038</v>
      </c>
      <c r="M18" s="15">
        <f t="shared" si="2"/>
        <v>1525510.1220482965</v>
      </c>
      <c r="N18" s="18"/>
      <c r="O18" s="41"/>
    </row>
    <row r="19" spans="1:15" ht="12.75">
      <c r="A19" s="9">
        <v>47</v>
      </c>
      <c r="B19" s="10">
        <v>1835</v>
      </c>
      <c r="C19" s="11" t="s">
        <v>26</v>
      </c>
      <c r="D19" s="12">
        <f>+'[4]FA Continuity 2011'!G19</f>
        <v>4213753.779999999</v>
      </c>
      <c r="E19" s="16">
        <f>+'[5]capital budget'!$M$10</f>
        <v>209000</v>
      </c>
      <c r="F19" s="17"/>
      <c r="G19" s="15">
        <f t="shared" si="0"/>
        <v>4422753.779999999</v>
      </c>
      <c r="H19" s="63"/>
      <c r="I19" s="15">
        <f>+'[4]FA Continuity 2011'!L19</f>
        <v>1036322.75</v>
      </c>
      <c r="J19" s="17">
        <f>+'[6]1835 OH '!$L$75+'[6]1835 OH '!$L$10</f>
        <v>93001.69845975787</v>
      </c>
      <c r="K19" s="17"/>
      <c r="L19" s="15">
        <f t="shared" si="1"/>
        <v>1129324.448459758</v>
      </c>
      <c r="M19" s="15">
        <f t="shared" si="2"/>
        <v>3293429.3315402414</v>
      </c>
      <c r="N19" s="18"/>
      <c r="O19" s="41"/>
    </row>
    <row r="20" spans="1:15" ht="12.75">
      <c r="A20" s="9">
        <v>47</v>
      </c>
      <c r="B20" s="10">
        <v>1840</v>
      </c>
      <c r="C20" s="11" t="s">
        <v>27</v>
      </c>
      <c r="D20" s="12">
        <f>+'[4]FA Continuity 2011'!G20</f>
        <v>1228943.19</v>
      </c>
      <c r="E20" s="16">
        <f>+'[5]capital budget'!$M$11</f>
        <v>160000</v>
      </c>
      <c r="F20" s="17"/>
      <c r="G20" s="15">
        <f t="shared" si="0"/>
        <v>1388943.19</v>
      </c>
      <c r="H20" s="63"/>
      <c r="I20" s="15">
        <f>+'[4]FA Continuity 2011'!L20</f>
        <v>216942.86</v>
      </c>
      <c r="J20" s="17">
        <f>+'[6]1840 UG'!$M$20+'[6]1840 UG'!$M$81</f>
        <v>37977.866284277115</v>
      </c>
      <c r="K20" s="17"/>
      <c r="L20" s="15">
        <f t="shared" si="1"/>
        <v>254920.7262842771</v>
      </c>
      <c r="M20" s="15">
        <f t="shared" si="2"/>
        <v>1134022.4637157228</v>
      </c>
      <c r="N20" s="18"/>
      <c r="O20" s="41"/>
    </row>
    <row r="21" spans="1:15" ht="12.75">
      <c r="A21" s="9">
        <v>47</v>
      </c>
      <c r="B21" s="10">
        <v>1845</v>
      </c>
      <c r="C21" s="11" t="s">
        <v>28</v>
      </c>
      <c r="D21" s="12">
        <f>+'[4]FA Continuity 2011'!G21</f>
        <v>3066153.88</v>
      </c>
      <c r="E21" s="16"/>
      <c r="F21" s="17"/>
      <c r="G21" s="15">
        <f t="shared" si="0"/>
        <v>3066153.88</v>
      </c>
      <c r="H21" s="63"/>
      <c r="I21" s="15">
        <f>+'[4]FA Continuity 2011'!L21</f>
        <v>1941432.4200000002</v>
      </c>
      <c r="J21" s="17">
        <f>+'[6]1845 Components'!$L$11+'[6]1845 Components'!$L$59</f>
        <v>75595.35109138965</v>
      </c>
      <c r="K21" s="17"/>
      <c r="L21" s="15">
        <f t="shared" si="1"/>
        <v>2017027.7710913897</v>
      </c>
      <c r="M21" s="15">
        <f t="shared" si="2"/>
        <v>1049126.1089086102</v>
      </c>
      <c r="N21" s="18"/>
      <c r="O21" s="41"/>
    </row>
    <row r="22" spans="1:15" ht="12.75">
      <c r="A22" s="9">
        <v>47</v>
      </c>
      <c r="B22" s="10">
        <v>1850</v>
      </c>
      <c r="C22" s="11" t="s">
        <v>29</v>
      </c>
      <c r="D22" s="12">
        <f>+'[4]FA Continuity 2011'!G22</f>
        <v>5351048.92</v>
      </c>
      <c r="E22" s="16">
        <f>+'[5]capital budget'!$M$12</f>
        <v>192000</v>
      </c>
      <c r="F22" s="17"/>
      <c r="G22" s="15">
        <f t="shared" si="0"/>
        <v>5543048.92</v>
      </c>
      <c r="H22" s="63"/>
      <c r="I22" s="15">
        <f>+'[4]FA Continuity 2011'!L22</f>
        <v>2408630.51</v>
      </c>
      <c r="J22" s="17">
        <f>+'[6]1850 Components'!$N$20</f>
        <v>158330.15304186114</v>
      </c>
      <c r="K22" s="17"/>
      <c r="L22" s="15">
        <f t="shared" si="1"/>
        <v>2566960.663041861</v>
      </c>
      <c r="M22" s="15">
        <f t="shared" si="2"/>
        <v>2976088.256958139</v>
      </c>
      <c r="N22" s="18"/>
      <c r="O22" s="41"/>
    </row>
    <row r="23" spans="1:15" ht="12.75">
      <c r="A23" s="9">
        <v>47</v>
      </c>
      <c r="B23" s="10">
        <v>1855</v>
      </c>
      <c r="C23" s="11" t="s">
        <v>30</v>
      </c>
      <c r="D23" s="12">
        <f>+'[4]FA Continuity 2011'!G23</f>
        <v>599529.14</v>
      </c>
      <c r="E23" s="16">
        <f>+'[5]capital budget'!$M$14</f>
        <v>24000</v>
      </c>
      <c r="F23" s="17"/>
      <c r="G23" s="15">
        <f t="shared" si="0"/>
        <v>623529.14</v>
      </c>
      <c r="H23" s="63"/>
      <c r="I23" s="15">
        <f>+'[4]FA Continuity 2011'!L23</f>
        <v>164187.34</v>
      </c>
      <c r="J23" s="17">
        <f>+'[6]1855 Components'!$J$12</f>
        <v>10163.327951515153</v>
      </c>
      <c r="K23" s="17"/>
      <c r="L23" s="15">
        <f t="shared" si="1"/>
        <v>174350.66795151515</v>
      </c>
      <c r="M23" s="15">
        <f t="shared" si="2"/>
        <v>449178.47204848484</v>
      </c>
      <c r="N23" s="18"/>
      <c r="O23" s="41"/>
    </row>
    <row r="24" spans="1:15" ht="12.75">
      <c r="A24" s="9">
        <v>47</v>
      </c>
      <c r="B24" s="10">
        <v>1860</v>
      </c>
      <c r="C24" s="11" t="s">
        <v>31</v>
      </c>
      <c r="D24" s="12">
        <f>+'[4]FA Continuity 2011'!G24</f>
        <v>225726.14489999996</v>
      </c>
      <c r="E24" s="16">
        <f>+'[5]capital budget'!$M$16</f>
        <v>50000</v>
      </c>
      <c r="F24" s="17"/>
      <c r="G24" s="15">
        <f t="shared" si="0"/>
        <v>275726.14489999996</v>
      </c>
      <c r="H24" s="63"/>
      <c r="I24" s="15">
        <f>+'[4]FA Continuity 2011'!L24</f>
        <v>157637.57969999994</v>
      </c>
      <c r="J24" s="17">
        <f>+'[6]1860 Dumb Meters'!$K$7</f>
        <v>9018.274121666667</v>
      </c>
      <c r="K24" s="17"/>
      <c r="L24" s="15">
        <f t="shared" si="1"/>
        <v>166655.85382166662</v>
      </c>
      <c r="M24" s="15">
        <f t="shared" si="2"/>
        <v>109070.29107833334</v>
      </c>
      <c r="N24" s="18"/>
      <c r="O24" s="41"/>
    </row>
    <row r="25" spans="1:15" ht="12.75">
      <c r="A25" s="9">
        <v>47</v>
      </c>
      <c r="B25" s="10">
        <v>1860</v>
      </c>
      <c r="C25" s="11" t="s">
        <v>32</v>
      </c>
      <c r="D25" s="12">
        <f>+'[4]FA Continuity 2011'!G25</f>
        <v>1822179</v>
      </c>
      <c r="E25" s="16"/>
      <c r="F25" s="17"/>
      <c r="G25" s="15">
        <f t="shared" si="0"/>
        <v>1822179</v>
      </c>
      <c r="H25" s="63"/>
      <c r="I25" s="15">
        <f>+'[4]FA Continuity 2011'!L25</f>
        <v>243757.83333333334</v>
      </c>
      <c r="J25" s="17">
        <f>+'[6]1860 Smart Meters'!$N$8</f>
        <v>112744.35714285714</v>
      </c>
      <c r="K25" s="17"/>
      <c r="L25" s="15">
        <f t="shared" si="1"/>
        <v>356502.1904761905</v>
      </c>
      <c r="M25" s="15">
        <f t="shared" si="2"/>
        <v>1465676.8095238095</v>
      </c>
      <c r="N25" s="18"/>
      <c r="O25" s="41"/>
    </row>
    <row r="26" spans="1:15" ht="12.75">
      <c r="A26" s="9" t="s">
        <v>15</v>
      </c>
      <c r="B26" s="10">
        <v>1865</v>
      </c>
      <c r="C26" s="11" t="s">
        <v>33</v>
      </c>
      <c r="D26" s="12">
        <f>+'[4]FA Continuity 2011'!G26</f>
        <v>0</v>
      </c>
      <c r="E26" s="16"/>
      <c r="F26" s="17"/>
      <c r="G26" s="15">
        <f t="shared" si="0"/>
        <v>0</v>
      </c>
      <c r="H26" s="63"/>
      <c r="I26" s="15">
        <f>+'[4]FA Continuity 2011'!L26</f>
        <v>0</v>
      </c>
      <c r="J26" s="16">
        <f>+P26</f>
        <v>0</v>
      </c>
      <c r="K26" s="17"/>
      <c r="L26" s="15">
        <f t="shared" si="1"/>
        <v>0</v>
      </c>
      <c r="M26" s="15">
        <f t="shared" si="2"/>
        <v>0</v>
      </c>
      <c r="N26" s="18"/>
      <c r="O26" s="41"/>
    </row>
    <row r="27" spans="1:15" ht="12.75">
      <c r="A27" s="9" t="s">
        <v>15</v>
      </c>
      <c r="B27" s="10">
        <v>1905</v>
      </c>
      <c r="C27" s="11" t="s">
        <v>17</v>
      </c>
      <c r="D27" s="12">
        <f>+'[4]FA Continuity 2011'!G27</f>
        <v>0</v>
      </c>
      <c r="E27" s="16"/>
      <c r="F27" s="17"/>
      <c r="G27" s="15">
        <f t="shared" si="0"/>
        <v>0</v>
      </c>
      <c r="H27" s="63"/>
      <c r="I27" s="15">
        <f>+'[4]FA Continuity 2011'!L27</f>
        <v>0</v>
      </c>
      <c r="J27" s="16">
        <f>+P27</f>
        <v>0</v>
      </c>
      <c r="K27" s="17"/>
      <c r="L27" s="15">
        <f t="shared" si="1"/>
        <v>0</v>
      </c>
      <c r="M27" s="15">
        <f t="shared" si="2"/>
        <v>0</v>
      </c>
      <c r="N27" s="18"/>
      <c r="O27" s="41"/>
    </row>
    <row r="28" spans="1:15" ht="12.75">
      <c r="A28" s="9" t="s">
        <v>18</v>
      </c>
      <c r="B28" s="10">
        <v>1906</v>
      </c>
      <c r="C28" s="11" t="s">
        <v>19</v>
      </c>
      <c r="D28" s="12">
        <f>+'[4]FA Continuity 2011'!G28</f>
        <v>0</v>
      </c>
      <c r="E28" s="16"/>
      <c r="F28" s="17"/>
      <c r="G28" s="15">
        <f t="shared" si="0"/>
        <v>0</v>
      </c>
      <c r="H28" s="63"/>
      <c r="I28" s="15">
        <f>+'[4]FA Continuity 2011'!L28</f>
        <v>0</v>
      </c>
      <c r="J28" s="16">
        <f>+P28</f>
        <v>0</v>
      </c>
      <c r="K28" s="17"/>
      <c r="L28" s="15">
        <f t="shared" si="1"/>
        <v>0</v>
      </c>
      <c r="M28" s="15">
        <f t="shared" si="2"/>
        <v>0</v>
      </c>
      <c r="N28" s="18"/>
      <c r="O28" s="41"/>
    </row>
    <row r="29" spans="1:15" ht="12.75">
      <c r="A29" s="9">
        <v>47</v>
      </c>
      <c r="B29" s="10">
        <v>1908</v>
      </c>
      <c r="C29" s="11" t="s">
        <v>20</v>
      </c>
      <c r="D29" s="12">
        <f>+'[4]FA Continuity 2011'!G29</f>
        <v>0</v>
      </c>
      <c r="E29" s="16"/>
      <c r="F29" s="17"/>
      <c r="G29" s="15">
        <f t="shared" si="0"/>
        <v>0</v>
      </c>
      <c r="H29" s="63"/>
      <c r="I29" s="15">
        <f>+'[4]FA Continuity 2011'!L29</f>
        <v>0</v>
      </c>
      <c r="J29" s="16">
        <f>+P29</f>
        <v>0</v>
      </c>
      <c r="K29" s="17"/>
      <c r="L29" s="15">
        <f t="shared" si="1"/>
        <v>0</v>
      </c>
      <c r="M29" s="15">
        <f t="shared" si="2"/>
        <v>0</v>
      </c>
      <c r="N29" s="18"/>
      <c r="O29" s="41"/>
    </row>
    <row r="30" spans="1:15" ht="12.75">
      <c r="A30" s="9">
        <v>13</v>
      </c>
      <c r="B30" s="10">
        <v>1910</v>
      </c>
      <c r="C30" s="11" t="s">
        <v>21</v>
      </c>
      <c r="D30" s="12">
        <f>+'[4]FA Continuity 2011'!G30</f>
        <v>0</v>
      </c>
      <c r="E30" s="16"/>
      <c r="F30" s="17"/>
      <c r="G30" s="15">
        <f t="shared" si="0"/>
        <v>0</v>
      </c>
      <c r="H30" s="63"/>
      <c r="I30" s="15">
        <f>+'[4]FA Continuity 2011'!L30</f>
        <v>0</v>
      </c>
      <c r="J30" s="16">
        <f>+P30</f>
        <v>0</v>
      </c>
      <c r="K30" s="17"/>
      <c r="L30" s="15">
        <f t="shared" si="1"/>
        <v>0</v>
      </c>
      <c r="M30" s="15">
        <f t="shared" si="2"/>
        <v>0</v>
      </c>
      <c r="N30" s="18"/>
      <c r="O30" s="41"/>
    </row>
    <row r="31" spans="1:15" ht="12.75">
      <c r="A31" s="9">
        <v>8</v>
      </c>
      <c r="B31" s="10">
        <v>1915</v>
      </c>
      <c r="C31" s="11" t="s">
        <v>34</v>
      </c>
      <c r="D31" s="12">
        <f>+'[4]FA Continuity 2011'!G31</f>
        <v>82025.63</v>
      </c>
      <c r="E31" s="16">
        <f>+'[5]capital budget'!$M$17</f>
        <v>25000</v>
      </c>
      <c r="F31" s="17"/>
      <c r="G31" s="15">
        <f t="shared" si="0"/>
        <v>107025.63</v>
      </c>
      <c r="H31" s="63"/>
      <c r="I31" s="15">
        <f>+'[4]FA Continuity 2011'!L31</f>
        <v>14286.310000000001</v>
      </c>
      <c r="J31" s="17">
        <f>+'[6]1915 Components'!$I$13</f>
        <v>9452.578196078432</v>
      </c>
      <c r="K31" s="17"/>
      <c r="L31" s="15">
        <f t="shared" si="1"/>
        <v>23738.888196078435</v>
      </c>
      <c r="M31" s="15">
        <f>G31-L31</f>
        <v>83286.74180392157</v>
      </c>
      <c r="N31" s="18"/>
      <c r="O31" s="41"/>
    </row>
    <row r="32" spans="1:15" ht="12.75">
      <c r="A32" s="9">
        <v>10</v>
      </c>
      <c r="B32" s="10">
        <v>1920</v>
      </c>
      <c r="C32" s="11" t="s">
        <v>35</v>
      </c>
      <c r="D32" s="12">
        <f>+'[4]FA Continuity 2011'!G32</f>
        <v>81199.28999999998</v>
      </c>
      <c r="E32" s="16">
        <f>+'[5]capital budget'!$M$18</f>
        <v>150000</v>
      </c>
      <c r="F32" s="17"/>
      <c r="G32" s="15">
        <f t="shared" si="0"/>
        <v>231199.28999999998</v>
      </c>
      <c r="H32" s="63"/>
      <c r="I32" s="15">
        <f>+'[4]FA Continuity 2011'!L32</f>
        <v>23944.889999999992</v>
      </c>
      <c r="J32" s="17">
        <f>+'[6]1920 Hardware'!$K$13</f>
        <v>29551.281333333332</v>
      </c>
      <c r="K32" s="17"/>
      <c r="L32" s="15">
        <f t="shared" si="1"/>
        <v>53496.171333333325</v>
      </c>
      <c r="M32" s="15">
        <f t="shared" si="2"/>
        <v>177703.11866666665</v>
      </c>
      <c r="N32" s="18"/>
      <c r="O32" s="41"/>
    </row>
    <row r="33" spans="1:15" ht="12.75">
      <c r="A33" s="9">
        <v>12</v>
      </c>
      <c r="B33" s="10">
        <v>1925</v>
      </c>
      <c r="C33" s="11" t="s">
        <v>36</v>
      </c>
      <c r="D33" s="12">
        <f>+'[4]FA Continuity 2011'!G33</f>
        <v>163875.62</v>
      </c>
      <c r="E33" s="16">
        <f>+'[5]capital budget'!$M$19</f>
        <v>325000</v>
      </c>
      <c r="F33" s="17"/>
      <c r="G33" s="15">
        <f t="shared" si="0"/>
        <v>488875.62</v>
      </c>
      <c r="H33" s="63"/>
      <c r="I33" s="15">
        <f>+'[4]FA Continuity 2011'!L33</f>
        <v>73711.56</v>
      </c>
      <c r="J33" s="17">
        <f>+'[6]1925 Software '!$K$13</f>
        <v>57762.47333333333</v>
      </c>
      <c r="K33" s="17"/>
      <c r="L33" s="15">
        <f t="shared" si="1"/>
        <v>131474.03333333333</v>
      </c>
      <c r="M33" s="15">
        <f t="shared" si="2"/>
        <v>357401.58666666667</v>
      </c>
      <c r="N33" s="18"/>
      <c r="O33" s="41"/>
    </row>
    <row r="34" spans="1:15" ht="12.75">
      <c r="A34" s="9">
        <v>12</v>
      </c>
      <c r="B34" s="10">
        <v>1925</v>
      </c>
      <c r="C34" s="11" t="s">
        <v>37</v>
      </c>
      <c r="D34" s="12">
        <f>+'[4]FA Continuity 2011'!G34</f>
        <v>123706</v>
      </c>
      <c r="E34" s="16"/>
      <c r="F34" s="17"/>
      <c r="G34" s="15">
        <f t="shared" si="0"/>
        <v>123706</v>
      </c>
      <c r="H34" s="63"/>
      <c r="I34" s="15">
        <f>+'[4]FA Continuity 2011'!L34</f>
        <v>52475.2</v>
      </c>
      <c r="J34" s="17">
        <f>+'[6]1925 Software SM'!$F$13</f>
        <v>15829.111111111111</v>
      </c>
      <c r="K34" s="17"/>
      <c r="L34" s="15">
        <f t="shared" si="1"/>
        <v>68304.3111111111</v>
      </c>
      <c r="M34" s="15">
        <f t="shared" si="2"/>
        <v>55401.68888888889</v>
      </c>
      <c r="N34" s="18"/>
      <c r="O34" s="41"/>
    </row>
    <row r="35" spans="1:15" ht="12.75">
      <c r="A35" s="9">
        <v>10</v>
      </c>
      <c r="B35" s="10">
        <v>1930</v>
      </c>
      <c r="C35" s="11" t="s">
        <v>38</v>
      </c>
      <c r="D35" s="12">
        <f>+'[4]FA Continuity 2011'!G35</f>
        <v>759704.8999999999</v>
      </c>
      <c r="E35" s="19">
        <f>+'[5]capital budget'!$M$20</f>
        <v>55000</v>
      </c>
      <c r="F35" s="17"/>
      <c r="G35" s="15">
        <f t="shared" si="0"/>
        <v>814704.8999999999</v>
      </c>
      <c r="H35" s="63"/>
      <c r="I35" s="15">
        <f>+'[4]FA Continuity 2011'!L35</f>
        <v>244836.7</v>
      </c>
      <c r="J35" s="17">
        <f>+'[6]1930 Transportation'!$K$14+'[6]1930 Transportation'!$K$48</f>
        <v>100463.25818181818</v>
      </c>
      <c r="K35" s="17"/>
      <c r="L35" s="15">
        <f t="shared" si="1"/>
        <v>345299.9581818182</v>
      </c>
      <c r="M35" s="15">
        <f t="shared" si="2"/>
        <v>469404.9418181817</v>
      </c>
      <c r="N35" s="18"/>
      <c r="O35" s="41"/>
    </row>
    <row r="36" spans="1:15" ht="12.75">
      <c r="A36" s="9">
        <v>8</v>
      </c>
      <c r="B36" s="10">
        <v>1935</v>
      </c>
      <c r="C36" s="11" t="s">
        <v>39</v>
      </c>
      <c r="D36" s="12">
        <f>+'[4]FA Continuity 2011'!G36</f>
        <v>0</v>
      </c>
      <c r="E36" s="16"/>
      <c r="F36" s="17"/>
      <c r="G36" s="15">
        <f t="shared" si="0"/>
        <v>0</v>
      </c>
      <c r="H36" s="63"/>
      <c r="I36" s="15">
        <f>+'[4]FA Continuity 2011'!L36</f>
        <v>0</v>
      </c>
      <c r="J36" s="16">
        <f>+P36</f>
        <v>0</v>
      </c>
      <c r="K36" s="17"/>
      <c r="L36" s="15">
        <f t="shared" si="1"/>
        <v>0</v>
      </c>
      <c r="M36" s="15">
        <f t="shared" si="2"/>
        <v>0</v>
      </c>
      <c r="N36" s="18"/>
      <c r="O36" s="41"/>
    </row>
    <row r="37" spans="1:15" ht="12.75">
      <c r="A37" s="9">
        <v>8</v>
      </c>
      <c r="B37" s="10">
        <v>1940</v>
      </c>
      <c r="C37" s="11" t="s">
        <v>40</v>
      </c>
      <c r="D37" s="12">
        <f>+'[4]FA Continuity 2011'!G37</f>
        <v>233729.88</v>
      </c>
      <c r="E37" s="16">
        <f>+'[5]capital budget'!$M$22+'[5]capital budget'!$M$21</f>
        <v>394000</v>
      </c>
      <c r="F37" s="17"/>
      <c r="G37" s="15">
        <f t="shared" si="0"/>
        <v>627729.88</v>
      </c>
      <c r="H37" s="63"/>
      <c r="I37" s="15">
        <f>+'[4]FA Continuity 2011'!L37</f>
        <v>67779.8</v>
      </c>
      <c r="J37" s="17">
        <f>+'[6]1940 Tools Equp'!$O$13</f>
        <v>49133.956119047616</v>
      </c>
      <c r="K37" s="17"/>
      <c r="L37" s="15">
        <f t="shared" si="1"/>
        <v>116913.75611904761</v>
      </c>
      <c r="M37" s="15">
        <f t="shared" si="2"/>
        <v>510816.12388095236</v>
      </c>
      <c r="N37" s="18"/>
      <c r="O37" s="41"/>
    </row>
    <row r="38" spans="1:15" ht="12.75">
      <c r="A38" s="9">
        <v>8</v>
      </c>
      <c r="B38" s="10">
        <v>1945</v>
      </c>
      <c r="C38" s="11" t="s">
        <v>41</v>
      </c>
      <c r="D38" s="12">
        <f>+'[4]FA Continuity 2011'!G38</f>
        <v>18711.5</v>
      </c>
      <c r="E38" s="16"/>
      <c r="F38" s="17"/>
      <c r="G38" s="15">
        <f t="shared" si="0"/>
        <v>18711.5</v>
      </c>
      <c r="H38" s="63"/>
      <c r="I38" s="15">
        <f>+'[4]FA Continuity 2011'!L38</f>
        <v>2806.73</v>
      </c>
      <c r="J38" s="17">
        <f>+'[6]1945 Measurement Equp'!$J$12</f>
        <v>1871.1764705882354</v>
      </c>
      <c r="K38" s="17"/>
      <c r="L38" s="15">
        <f t="shared" si="1"/>
        <v>4677.906470588236</v>
      </c>
      <c r="M38" s="15">
        <f t="shared" si="2"/>
        <v>14033.593529411764</v>
      </c>
      <c r="N38" s="18"/>
      <c r="O38" s="41"/>
    </row>
    <row r="39" spans="1:15" ht="12.75">
      <c r="A39" s="9">
        <v>8</v>
      </c>
      <c r="B39" s="10">
        <v>1950</v>
      </c>
      <c r="C39" s="11" t="s">
        <v>42</v>
      </c>
      <c r="D39" s="12">
        <f>+'[4]FA Continuity 2011'!G39</f>
        <v>0</v>
      </c>
      <c r="E39" s="16"/>
      <c r="F39" s="17"/>
      <c r="G39" s="15">
        <f t="shared" si="0"/>
        <v>0</v>
      </c>
      <c r="H39" s="63"/>
      <c r="I39" s="15">
        <f>+'[4]FA Continuity 2011'!L39</f>
        <v>0</v>
      </c>
      <c r="J39" s="16">
        <f aca="true" t="shared" si="3" ref="J39:J46">+P39</f>
        <v>0</v>
      </c>
      <c r="K39" s="17"/>
      <c r="L39" s="15">
        <f t="shared" si="1"/>
        <v>0</v>
      </c>
      <c r="M39" s="15">
        <f t="shared" si="2"/>
        <v>0</v>
      </c>
      <c r="N39" s="18"/>
      <c r="O39" s="41"/>
    </row>
    <row r="40" spans="1:15" ht="12.75">
      <c r="A40" s="9">
        <v>8</v>
      </c>
      <c r="B40" s="10">
        <v>1955</v>
      </c>
      <c r="C40" s="11" t="s">
        <v>43</v>
      </c>
      <c r="D40" s="12">
        <f>+'[4]FA Continuity 2011'!G40</f>
        <v>0</v>
      </c>
      <c r="E40" s="16"/>
      <c r="F40" s="17"/>
      <c r="G40" s="15">
        <f t="shared" si="0"/>
        <v>0</v>
      </c>
      <c r="H40" s="63"/>
      <c r="I40" s="15">
        <f>+'[4]FA Continuity 2011'!L40</f>
        <v>0</v>
      </c>
      <c r="J40" s="16">
        <f t="shared" si="3"/>
        <v>0</v>
      </c>
      <c r="K40" s="17"/>
      <c r="L40" s="15">
        <f t="shared" si="1"/>
        <v>0</v>
      </c>
      <c r="M40" s="15">
        <f t="shared" si="2"/>
        <v>0</v>
      </c>
      <c r="N40" s="18"/>
      <c r="O40" s="41"/>
    </row>
    <row r="41" spans="1:15" ht="12.75">
      <c r="A41" s="9">
        <v>8</v>
      </c>
      <c r="B41" s="10">
        <v>1960</v>
      </c>
      <c r="C41" s="11" t="s">
        <v>44</v>
      </c>
      <c r="D41" s="12">
        <f>+'[4]FA Continuity 2011'!G41</f>
        <v>0</v>
      </c>
      <c r="E41" s="16"/>
      <c r="F41" s="17"/>
      <c r="G41" s="15">
        <f t="shared" si="0"/>
        <v>0</v>
      </c>
      <c r="H41" s="63"/>
      <c r="I41" s="15">
        <f>+'[4]FA Continuity 2011'!L41</f>
        <v>0</v>
      </c>
      <c r="J41" s="16">
        <f t="shared" si="3"/>
        <v>0</v>
      </c>
      <c r="K41" s="17"/>
      <c r="L41" s="15">
        <f t="shared" si="1"/>
        <v>0</v>
      </c>
      <c r="M41" s="15">
        <f t="shared" si="2"/>
        <v>0</v>
      </c>
      <c r="N41" s="18"/>
      <c r="O41" s="41"/>
    </row>
    <row r="42" spans="1:15" ht="12.75">
      <c r="A42" s="9">
        <v>47</v>
      </c>
      <c r="B42" s="10">
        <v>1970</v>
      </c>
      <c r="C42" s="11" t="s">
        <v>45</v>
      </c>
      <c r="D42" s="12">
        <f>+'[4]FA Continuity 2011'!G42</f>
        <v>0</v>
      </c>
      <c r="E42" s="16"/>
      <c r="F42" s="17"/>
      <c r="G42" s="15">
        <f t="shared" si="0"/>
        <v>0</v>
      </c>
      <c r="H42" s="63"/>
      <c r="I42" s="15">
        <f>+'[4]FA Continuity 2011'!L42</f>
        <v>0</v>
      </c>
      <c r="J42" s="16">
        <f t="shared" si="3"/>
        <v>0</v>
      </c>
      <c r="K42" s="17"/>
      <c r="L42" s="15">
        <f t="shared" si="1"/>
        <v>0</v>
      </c>
      <c r="M42" s="15">
        <f t="shared" si="2"/>
        <v>0</v>
      </c>
      <c r="N42" s="18"/>
      <c r="O42" s="41"/>
    </row>
    <row r="43" spans="1:15" ht="12.75">
      <c r="A43" s="9">
        <v>47</v>
      </c>
      <c r="B43" s="10">
        <v>1975</v>
      </c>
      <c r="C43" s="11" t="s">
        <v>46</v>
      </c>
      <c r="D43" s="12">
        <f>+'[4]FA Continuity 2011'!G43</f>
        <v>0</v>
      </c>
      <c r="E43" s="16"/>
      <c r="F43" s="17"/>
      <c r="G43" s="15">
        <f t="shared" si="0"/>
        <v>0</v>
      </c>
      <c r="H43" s="63"/>
      <c r="I43" s="15">
        <f>+'[4]FA Continuity 2011'!L43</f>
        <v>0</v>
      </c>
      <c r="J43" s="16">
        <f t="shared" si="3"/>
        <v>0</v>
      </c>
      <c r="K43" s="17"/>
      <c r="L43" s="15">
        <f t="shared" si="1"/>
        <v>0</v>
      </c>
      <c r="M43" s="15">
        <f t="shared" si="2"/>
        <v>0</v>
      </c>
      <c r="N43" s="18"/>
      <c r="O43" s="41"/>
    </row>
    <row r="44" spans="1:15" ht="12.75">
      <c r="A44" s="9">
        <v>47</v>
      </c>
      <c r="B44" s="10">
        <v>1980</v>
      </c>
      <c r="C44" s="11" t="s">
        <v>47</v>
      </c>
      <c r="D44" s="12">
        <f>+'[4]FA Continuity 2011'!G44</f>
        <v>0</v>
      </c>
      <c r="E44" s="16"/>
      <c r="F44" s="17"/>
      <c r="G44" s="15">
        <f t="shared" si="0"/>
        <v>0</v>
      </c>
      <c r="H44" s="63"/>
      <c r="I44" s="15">
        <f>+'[4]FA Continuity 2011'!L44</f>
        <v>0</v>
      </c>
      <c r="J44" s="16">
        <f t="shared" si="3"/>
        <v>0</v>
      </c>
      <c r="K44" s="17"/>
      <c r="L44" s="15">
        <f t="shared" si="1"/>
        <v>0</v>
      </c>
      <c r="M44" s="15">
        <f t="shared" si="2"/>
        <v>0</v>
      </c>
      <c r="N44" s="18"/>
      <c r="O44" s="41"/>
    </row>
    <row r="45" spans="1:15" ht="12.75">
      <c r="A45" s="9">
        <v>47</v>
      </c>
      <c r="B45" s="10">
        <v>1985</v>
      </c>
      <c r="C45" s="11" t="s">
        <v>48</v>
      </c>
      <c r="D45" s="12">
        <f>+'[4]FA Continuity 2011'!G45</f>
        <v>0</v>
      </c>
      <c r="E45" s="16"/>
      <c r="F45" s="17"/>
      <c r="G45" s="15">
        <f t="shared" si="0"/>
        <v>0</v>
      </c>
      <c r="H45" s="63"/>
      <c r="I45" s="15">
        <f>+'[4]FA Continuity 2011'!L45</f>
        <v>0</v>
      </c>
      <c r="J45" s="16">
        <f t="shared" si="3"/>
        <v>0</v>
      </c>
      <c r="K45" s="17"/>
      <c r="L45" s="15">
        <f t="shared" si="1"/>
        <v>0</v>
      </c>
      <c r="M45" s="15">
        <f t="shared" si="2"/>
        <v>0</v>
      </c>
      <c r="N45" s="18"/>
      <c r="O45" s="41"/>
    </row>
    <row r="46" spans="1:15" ht="12.75">
      <c r="A46" s="9">
        <v>47</v>
      </c>
      <c r="B46" s="10">
        <v>1990</v>
      </c>
      <c r="C46" s="11" t="s">
        <v>49</v>
      </c>
      <c r="D46" s="12">
        <f>+'[4]FA Continuity 2011'!G46</f>
        <v>0</v>
      </c>
      <c r="E46" s="16"/>
      <c r="F46" s="17"/>
      <c r="G46" s="15">
        <f t="shared" si="0"/>
        <v>0</v>
      </c>
      <c r="H46" s="63"/>
      <c r="I46" s="15">
        <f>+'[4]FA Continuity 2011'!L46</f>
        <v>0</v>
      </c>
      <c r="J46" s="16">
        <f t="shared" si="3"/>
        <v>0</v>
      </c>
      <c r="K46" s="17"/>
      <c r="L46" s="15">
        <f t="shared" si="1"/>
        <v>0</v>
      </c>
      <c r="M46" s="15">
        <f t="shared" si="2"/>
        <v>0</v>
      </c>
      <c r="N46" s="18"/>
      <c r="O46" s="41"/>
    </row>
    <row r="47" spans="1:15" ht="12.75">
      <c r="A47" s="9">
        <v>47</v>
      </c>
      <c r="B47" s="10">
        <v>1995</v>
      </c>
      <c r="C47" s="11" t="s">
        <v>50</v>
      </c>
      <c r="D47" s="12">
        <f>+'[4]FA Continuity 2011'!G47</f>
        <v>-2257659.0300000003</v>
      </c>
      <c r="E47" s="16">
        <v>-100000</v>
      </c>
      <c r="F47" s="17"/>
      <c r="G47" s="15">
        <f t="shared" si="0"/>
        <v>-2357659.0300000003</v>
      </c>
      <c r="H47" s="63"/>
      <c r="I47" s="15">
        <f>+'[4]FA Continuity 2011'!L47</f>
        <v>-439741.75</v>
      </c>
      <c r="J47" s="16">
        <f>+'[6]Contribution 1995'!$Q$22</f>
        <v>-79692.78000000001</v>
      </c>
      <c r="K47" s="17"/>
      <c r="L47" s="15">
        <f t="shared" si="1"/>
        <v>-519434.53</v>
      </c>
      <c r="M47" s="15">
        <f t="shared" si="2"/>
        <v>-1838224.5000000002</v>
      </c>
      <c r="N47" s="18"/>
      <c r="O47" s="41"/>
    </row>
    <row r="48" spans="1:15" ht="12.75">
      <c r="A48" s="9"/>
      <c r="B48" s="10">
        <v>2005</v>
      </c>
      <c r="C48" s="10" t="s">
        <v>51</v>
      </c>
      <c r="D48" s="12">
        <f>+'[4]FA Continuity 2011'!G48</f>
        <v>0</v>
      </c>
      <c r="E48" s="16"/>
      <c r="F48" s="17"/>
      <c r="G48" s="15">
        <f t="shared" si="0"/>
        <v>0</v>
      </c>
      <c r="H48" s="63"/>
      <c r="I48" s="15">
        <f>+'[4]FA Continuity 2011'!L48</f>
        <v>0</v>
      </c>
      <c r="J48" s="16"/>
      <c r="K48" s="17"/>
      <c r="L48" s="15">
        <f t="shared" si="1"/>
        <v>0</v>
      </c>
      <c r="M48" s="15">
        <f t="shared" si="2"/>
        <v>0</v>
      </c>
      <c r="N48" s="18"/>
      <c r="O48" s="41"/>
    </row>
    <row r="49" spans="1:15" ht="12.75">
      <c r="A49" s="9"/>
      <c r="B49" s="20"/>
      <c r="C49" s="21" t="s">
        <v>52</v>
      </c>
      <c r="D49" s="22">
        <f>SUM(D10:D48)</f>
        <v>21245673.3849</v>
      </c>
      <c r="E49" s="22">
        <f>SUM(E10:E48)</f>
        <v>2099000</v>
      </c>
      <c r="F49" s="22">
        <f>SUM(F10:F48)</f>
        <v>0</v>
      </c>
      <c r="G49" s="22">
        <f>SUM(G10:G48)</f>
        <v>23344673.3849</v>
      </c>
      <c r="H49" s="63"/>
      <c r="I49" s="22">
        <f>SUM(I10:I48)</f>
        <v>8287170.413033331</v>
      </c>
      <c r="J49" s="22">
        <f>SUM(J10:J48)</f>
        <v>816208.5459775784</v>
      </c>
      <c r="K49" s="22">
        <f>SUM(K10:K48)</f>
        <v>0</v>
      </c>
      <c r="L49" s="22">
        <f>SUM(L10:L48)</f>
        <v>9103378.959010912</v>
      </c>
      <c r="M49" s="22">
        <f>SUM(M10:M48)</f>
        <v>14241294.42588909</v>
      </c>
      <c r="N49" s="18"/>
      <c r="O49" s="41"/>
    </row>
    <row r="50" spans="1:15" ht="12.75">
      <c r="A50" s="9"/>
      <c r="B50" s="20"/>
      <c r="C50" s="11"/>
      <c r="D50" s="15"/>
      <c r="E50" s="15"/>
      <c r="F50" s="15"/>
      <c r="G50" s="15"/>
      <c r="H50" s="63"/>
      <c r="I50" s="15"/>
      <c r="J50" s="15"/>
      <c r="K50" s="15"/>
      <c r="L50" s="15"/>
      <c r="M50" s="15"/>
      <c r="N50" s="18"/>
      <c r="O50" s="41"/>
    </row>
    <row r="51" spans="1:15" ht="12.75">
      <c r="A51" s="9" t="s">
        <v>53</v>
      </c>
      <c r="B51" s="20"/>
      <c r="C51" s="11" t="s">
        <v>54</v>
      </c>
      <c r="D51" s="15">
        <v>0</v>
      </c>
      <c r="E51" s="23">
        <f>+'[5]capital budget'!$M$26</f>
        <v>100000</v>
      </c>
      <c r="F51" s="23"/>
      <c r="G51" s="15">
        <f>D51+E51-F51</f>
        <v>100000</v>
      </c>
      <c r="H51" s="63"/>
      <c r="I51" s="15">
        <v>0</v>
      </c>
      <c r="J51" s="23"/>
      <c r="K51" s="23"/>
      <c r="L51" s="15">
        <f>I51+J51-K51</f>
        <v>0</v>
      </c>
      <c r="M51" s="15">
        <f>G51-L51</f>
        <v>100000</v>
      </c>
      <c r="N51" s="18"/>
      <c r="O51" s="41"/>
    </row>
    <row r="52" spans="1:15" ht="12.75">
      <c r="A52" s="9"/>
      <c r="B52" s="20"/>
      <c r="C52" s="21" t="s">
        <v>55</v>
      </c>
      <c r="D52" s="22">
        <f>SUM(D49:D51)</f>
        <v>21245673.3849</v>
      </c>
      <c r="E52" s="22">
        <f>SUM(E49:E51)</f>
        <v>2199000</v>
      </c>
      <c r="F52" s="22">
        <f>SUM(F49:F51)</f>
        <v>0</v>
      </c>
      <c r="G52" s="22">
        <f>SUM(G49:G51)</f>
        <v>23444673.3849</v>
      </c>
      <c r="H52" s="63"/>
      <c r="I52" s="22">
        <f>SUM(I49:I51)</f>
        <v>8287170.413033331</v>
      </c>
      <c r="J52" s="22">
        <f>SUM(J49:J51)</f>
        <v>816208.5459775784</v>
      </c>
      <c r="K52" s="22">
        <f>SUM(K49:K51)</f>
        <v>0</v>
      </c>
      <c r="L52" s="22">
        <f>SUM(L49:L51)</f>
        <v>9103378.959010912</v>
      </c>
      <c r="M52" s="22">
        <f>SUM(M49:M51)</f>
        <v>14341294.42588909</v>
      </c>
      <c r="N52" s="18"/>
      <c r="O52" s="41"/>
    </row>
    <row r="53" spans="4:13" ht="12.75">
      <c r="D53" s="24"/>
      <c r="E53" s="24"/>
      <c r="F53" s="24"/>
      <c r="G53" s="24"/>
      <c r="H53" s="25"/>
      <c r="I53" s="25"/>
      <c r="J53" s="25"/>
      <c r="K53" s="25"/>
      <c r="L53" s="25"/>
      <c r="M53" s="25"/>
    </row>
    <row r="54" spans="1:15" ht="12.75">
      <c r="A54" s="6"/>
      <c r="D54" s="24"/>
      <c r="E54" s="24"/>
      <c r="F54" s="24"/>
      <c r="G54" s="24"/>
      <c r="H54" s="56" t="s">
        <v>56</v>
      </c>
      <c r="I54" s="56"/>
      <c r="J54" s="56"/>
      <c r="K54" s="25"/>
      <c r="L54" s="25"/>
      <c r="M54" s="25"/>
      <c r="N54" s="18"/>
      <c r="O54" s="41"/>
    </row>
    <row r="55" spans="1:15" ht="12.75">
      <c r="A55" s="10"/>
      <c r="B55" s="10">
        <f>B33</f>
        <v>1925</v>
      </c>
      <c r="C55" s="11" t="s">
        <v>57</v>
      </c>
      <c r="D55" s="24"/>
      <c r="E55" s="24"/>
      <c r="F55" s="24"/>
      <c r="G55" s="24"/>
      <c r="H55" s="56" t="s">
        <v>57</v>
      </c>
      <c r="I55" s="56"/>
      <c r="J55" s="26"/>
      <c r="K55" s="25"/>
      <c r="L55" s="27"/>
      <c r="M55" s="27"/>
      <c r="N55" s="28"/>
      <c r="O55" s="43"/>
    </row>
    <row r="56" spans="1:15" ht="12.75">
      <c r="A56" s="10"/>
      <c r="B56" s="10">
        <f>B35</f>
        <v>1930</v>
      </c>
      <c r="C56" s="11" t="s">
        <v>39</v>
      </c>
      <c r="D56" s="24"/>
      <c r="E56" s="24"/>
      <c r="F56" s="24"/>
      <c r="G56" s="24"/>
      <c r="H56" s="56" t="s">
        <v>58</v>
      </c>
      <c r="I56" s="56"/>
      <c r="J56" s="26"/>
      <c r="K56" s="25"/>
      <c r="L56" s="25"/>
      <c r="M56" s="25"/>
      <c r="N56" s="28"/>
      <c r="O56" s="43"/>
    </row>
    <row r="57" spans="1:15" ht="13.5" thickBot="1">
      <c r="A57" s="6"/>
      <c r="D57" s="24"/>
      <c r="E57" s="24"/>
      <c r="F57" s="24"/>
      <c r="G57" s="24"/>
      <c r="H57" s="56" t="s">
        <v>59</v>
      </c>
      <c r="I57" s="56"/>
      <c r="J57" s="29">
        <f>J52-J55-J56</f>
        <v>816208.5459775784</v>
      </c>
      <c r="K57" s="25"/>
      <c r="L57"/>
      <c r="M57" s="25"/>
      <c r="N57" s="30"/>
      <c r="O57" s="44"/>
    </row>
    <row r="58" spans="1:15" ht="13.5" thickTop="1">
      <c r="A58" s="6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30"/>
      <c r="O58" s="44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 s="2"/>
    </row>
    <row r="61" spans="1:13" ht="12.75">
      <c r="A61"/>
      <c r="B61"/>
      <c r="C61"/>
      <c r="D61"/>
      <c r="E61"/>
      <c r="F61"/>
      <c r="G61"/>
      <c r="H61"/>
      <c r="I61" t="s">
        <v>60</v>
      </c>
      <c r="J61" s="31">
        <v>1243776</v>
      </c>
      <c r="K61"/>
      <c r="L61"/>
      <c r="M61" s="2"/>
    </row>
    <row r="62" spans="4:13" ht="12.75">
      <c r="D62" s="32"/>
      <c r="E62" s="32"/>
      <c r="F62" s="32"/>
      <c r="G62" s="32"/>
      <c r="H62" s="2"/>
      <c r="I62" s="2"/>
      <c r="J62" s="2"/>
      <c r="K62" s="2"/>
      <c r="L62" s="2"/>
      <c r="M62" s="2"/>
    </row>
    <row r="63" spans="4:13" ht="12.75">
      <c r="D63" s="32"/>
      <c r="E63" s="32"/>
      <c r="F63" s="32"/>
      <c r="G63" s="32"/>
      <c r="H63" s="2"/>
      <c r="I63" s="2" t="s">
        <v>61</v>
      </c>
      <c r="J63" s="2">
        <f>+J61-J57</f>
        <v>427567.4540224216</v>
      </c>
      <c r="K63" s="2"/>
      <c r="L63" s="2"/>
      <c r="M63" s="2"/>
    </row>
    <row r="64" spans="3:13" ht="12.75">
      <c r="C64" s="7"/>
      <c r="D64" s="1"/>
      <c r="E64" s="1"/>
      <c r="F64" s="1"/>
      <c r="G64" s="1"/>
      <c r="H64" s="2"/>
      <c r="I64" s="3"/>
      <c r="J64" s="3"/>
      <c r="K64" s="3"/>
      <c r="L64" s="3"/>
      <c r="M64" s="3"/>
    </row>
    <row r="65" spans="3:13" ht="12.75">
      <c r="C65" s="7"/>
      <c r="D65" s="1"/>
      <c r="E65" s="1"/>
      <c r="F65" s="1"/>
      <c r="G65" s="1"/>
      <c r="H65" s="2"/>
      <c r="I65" s="3"/>
      <c r="J65" s="3"/>
      <c r="K65" s="3"/>
      <c r="L65" s="3"/>
      <c r="M65" s="3"/>
    </row>
    <row r="66" spans="3:13" ht="12.75">
      <c r="C66" s="7"/>
      <c r="D66" s="1"/>
      <c r="E66" s="1"/>
      <c r="F66" s="1"/>
      <c r="G66" s="1"/>
      <c r="H66" s="2"/>
      <c r="I66" s="3"/>
      <c r="J66" s="3"/>
      <c r="K66" s="3"/>
      <c r="L66" s="3"/>
      <c r="M66" s="3"/>
    </row>
    <row r="67" spans="3:13" ht="12.75">
      <c r="C67" s="7"/>
      <c r="D67" s="1"/>
      <c r="E67" s="1"/>
      <c r="F67" s="1"/>
      <c r="G67" s="1"/>
      <c r="H67" s="2"/>
      <c r="I67" s="3"/>
      <c r="J67" s="3"/>
      <c r="K67" s="3"/>
      <c r="L67" s="3"/>
      <c r="M67" s="3"/>
    </row>
  </sheetData>
  <sheetProtection/>
  <mergeCells count="27">
    <mergeCell ref="A5:C5"/>
    <mergeCell ref="A1:M1"/>
    <mergeCell ref="A2:M2"/>
    <mergeCell ref="A3:C3"/>
    <mergeCell ref="F3:J4"/>
    <mergeCell ref="A4:C4"/>
    <mergeCell ref="D6:G6"/>
    <mergeCell ref="I6:L6"/>
    <mergeCell ref="D7:G7"/>
    <mergeCell ref="I7:L7"/>
    <mergeCell ref="A8:A9"/>
    <mergeCell ref="B8:B9"/>
    <mergeCell ref="C8:C9"/>
    <mergeCell ref="D8:D9"/>
    <mergeCell ref="E8:E9"/>
    <mergeCell ref="F8:F9"/>
    <mergeCell ref="G8:G9"/>
    <mergeCell ref="H8:H52"/>
    <mergeCell ref="I8:I9"/>
    <mergeCell ref="J8:J9"/>
    <mergeCell ref="K8:K9"/>
    <mergeCell ref="M8:M9"/>
    <mergeCell ref="H54:J54"/>
    <mergeCell ref="H55:I55"/>
    <mergeCell ref="H56:I56"/>
    <mergeCell ref="H57:I57"/>
    <mergeCell ref="L8:L9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3" r:id="rId1"/>
  <headerFooter alignWithMargins="0">
    <oddFooter>&amp;L&amp;Z&amp;F&amp;F&amp;A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67"/>
  <sheetViews>
    <sheetView zoomScale="80" zoomScaleNormal="80" zoomScalePageLayoutView="0" workbookViewId="0" topLeftCell="A1">
      <pane xSplit="3" ySplit="9" topLeftCell="D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8" sqref="I18"/>
    </sheetView>
  </sheetViews>
  <sheetFormatPr defaultColWidth="9.140625" defaultRowHeight="12.75"/>
  <cols>
    <col min="1" max="1" width="7.140625" style="5" customWidth="1"/>
    <col min="2" max="2" width="7.421875" style="6" customWidth="1"/>
    <col min="3" max="3" width="40.421875" style="4" customWidth="1"/>
    <col min="4" max="4" width="15.7109375" style="4" customWidth="1"/>
    <col min="5" max="5" width="14.8515625" style="4" customWidth="1"/>
    <col min="6" max="6" width="12.8515625" style="4" customWidth="1"/>
    <col min="7" max="7" width="15.7109375" style="4" customWidth="1"/>
    <col min="8" max="8" width="0.85546875" style="4" hidden="1" customWidth="1"/>
    <col min="9" max="9" width="16.8515625" style="4" customWidth="1"/>
    <col min="10" max="11" width="12.7109375" style="4" customWidth="1"/>
    <col min="12" max="13" width="14.00390625" style="4" customWidth="1"/>
    <col min="14" max="14" width="15.28125" style="0" customWidth="1"/>
    <col min="15" max="16" width="15.57421875" style="38" customWidth="1"/>
    <col min="17" max="20" width="9.140625" style="38" customWidth="1"/>
  </cols>
  <sheetData>
    <row r="1" spans="1:13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5"/>
      <c r="B3" s="65"/>
      <c r="C3" s="65"/>
      <c r="D3" s="1"/>
      <c r="E3" s="1"/>
      <c r="F3" s="1"/>
      <c r="G3" s="1"/>
      <c r="H3" s="2"/>
      <c r="I3" s="3"/>
      <c r="J3" s="3"/>
      <c r="K3" s="3"/>
      <c r="L3" s="3"/>
      <c r="M3" s="3"/>
    </row>
    <row r="4" spans="1:13" ht="12.75">
      <c r="A4" s="65" t="s">
        <v>2</v>
      </c>
      <c r="B4" s="65"/>
      <c r="C4" s="65"/>
      <c r="D4" s="1"/>
      <c r="E4" s="1"/>
      <c r="F4" s="1"/>
      <c r="G4" s="57" t="s">
        <v>71</v>
      </c>
      <c r="H4" s="57"/>
      <c r="I4" s="57"/>
      <c r="J4" s="57"/>
      <c r="K4" s="57"/>
      <c r="L4" s="3"/>
      <c r="M4" s="3"/>
    </row>
    <row r="5" spans="1:13" ht="12.75">
      <c r="A5" s="65" t="s">
        <v>3</v>
      </c>
      <c r="B5" s="65"/>
      <c r="C5" s="65"/>
      <c r="D5" s="1"/>
      <c r="E5" s="1"/>
      <c r="F5" s="1"/>
      <c r="G5" s="57"/>
      <c r="H5" s="57"/>
      <c r="I5" s="57"/>
      <c r="J5" s="57"/>
      <c r="K5" s="57"/>
      <c r="L5" s="3"/>
      <c r="M5" s="3"/>
    </row>
    <row r="6" spans="4:13" ht="12.75">
      <c r="D6" s="66" t="s">
        <v>4</v>
      </c>
      <c r="E6" s="66"/>
      <c r="F6" s="66"/>
      <c r="G6" s="66"/>
      <c r="H6" s="2"/>
      <c r="I6" s="66" t="s">
        <v>5</v>
      </c>
      <c r="J6" s="66"/>
      <c r="K6" s="66"/>
      <c r="L6" s="66"/>
      <c r="M6" s="3"/>
    </row>
    <row r="7" spans="3:13" ht="12.75">
      <c r="C7" s="7"/>
      <c r="D7" s="60"/>
      <c r="E7" s="60"/>
      <c r="F7" s="60"/>
      <c r="G7" s="60"/>
      <c r="H7" s="2"/>
      <c r="I7" s="60"/>
      <c r="J7" s="60"/>
      <c r="K7" s="60"/>
      <c r="L7" s="60"/>
      <c r="M7" s="3"/>
    </row>
    <row r="8" spans="1:20" s="8" customFormat="1" ht="12.75">
      <c r="A8" s="61" t="s">
        <v>6</v>
      </c>
      <c r="B8" s="61" t="s">
        <v>7</v>
      </c>
      <c r="C8" s="61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63"/>
      <c r="I8" s="58" t="s">
        <v>9</v>
      </c>
      <c r="J8" s="58" t="s">
        <v>10</v>
      </c>
      <c r="K8" s="58" t="s">
        <v>11</v>
      </c>
      <c r="L8" s="58" t="s">
        <v>12</v>
      </c>
      <c r="M8" s="58" t="s">
        <v>13</v>
      </c>
      <c r="O8" s="39"/>
      <c r="P8" s="39"/>
      <c r="Q8" s="39"/>
      <c r="R8" s="39"/>
      <c r="S8" s="39"/>
      <c r="T8" s="39"/>
    </row>
    <row r="9" spans="1:20" s="8" customFormat="1" ht="12.75">
      <c r="A9" s="62"/>
      <c r="B9" s="62"/>
      <c r="C9" s="62"/>
      <c r="D9" s="59" t="s">
        <v>14</v>
      </c>
      <c r="E9" s="59" t="s">
        <v>10</v>
      </c>
      <c r="F9" s="59"/>
      <c r="G9" s="59"/>
      <c r="H9" s="63"/>
      <c r="I9" s="59" t="s">
        <v>14</v>
      </c>
      <c r="J9" s="59" t="s">
        <v>10</v>
      </c>
      <c r="K9" s="59"/>
      <c r="L9" s="59"/>
      <c r="M9" s="59"/>
      <c r="O9" s="39"/>
      <c r="P9" s="40"/>
      <c r="Q9" s="39"/>
      <c r="R9" s="39"/>
      <c r="S9" s="39"/>
      <c r="T9" s="39"/>
    </row>
    <row r="10" spans="1:20" s="8" customFormat="1" ht="12.75">
      <c r="A10" s="9" t="s">
        <v>15</v>
      </c>
      <c r="B10" s="10">
        <v>1610</v>
      </c>
      <c r="C10" s="11" t="s">
        <v>16</v>
      </c>
      <c r="D10" s="12">
        <f>+'[12]FA Continuity 2011'!G10</f>
        <v>0</v>
      </c>
      <c r="E10" s="51"/>
      <c r="F10" s="52"/>
      <c r="G10" s="15">
        <f>D10+E10-F10</f>
        <v>0</v>
      </c>
      <c r="H10" s="63"/>
      <c r="I10" s="15">
        <f>+'[12]FA Continuity 2011'!L10</f>
        <v>0</v>
      </c>
      <c r="J10" s="16"/>
      <c r="K10" s="17"/>
      <c r="L10" s="15">
        <f>I10+J10-K10</f>
        <v>0</v>
      </c>
      <c r="M10" s="15">
        <f>G10-L10</f>
        <v>0</v>
      </c>
      <c r="O10" s="39"/>
      <c r="P10" s="40"/>
      <c r="Q10" s="39"/>
      <c r="R10" s="39"/>
      <c r="S10" s="39"/>
      <c r="T10" s="39"/>
    </row>
    <row r="11" spans="1:16" ht="12.75">
      <c r="A11" s="9" t="s">
        <v>15</v>
      </c>
      <c r="B11" s="10">
        <v>1805</v>
      </c>
      <c r="C11" s="11" t="s">
        <v>17</v>
      </c>
      <c r="D11" s="12">
        <f>+'[12]FA Continuity 2011'!G11</f>
        <v>219283.87</v>
      </c>
      <c r="E11" s="51"/>
      <c r="F11" s="52"/>
      <c r="G11" s="15">
        <f aca="true" t="shared" si="0" ref="G11:G48">D11+E11-F11</f>
        <v>219283.87</v>
      </c>
      <c r="H11" s="63"/>
      <c r="I11" s="15">
        <f>+'[12]FA Continuity 2011'!L11</f>
        <v>0</v>
      </c>
      <c r="J11" s="16"/>
      <c r="K11" s="17"/>
      <c r="L11" s="15">
        <f aca="true" t="shared" si="1" ref="L11:L48">I11+J11-K11</f>
        <v>0</v>
      </c>
      <c r="M11" s="15">
        <f aca="true" t="shared" si="2" ref="M11:M48">G11-L11</f>
        <v>219283.87</v>
      </c>
      <c r="N11" s="18"/>
      <c r="O11" s="41"/>
      <c r="P11" s="40"/>
    </row>
    <row r="12" spans="1:16" ht="12.75">
      <c r="A12" s="9" t="s">
        <v>18</v>
      </c>
      <c r="B12" s="10">
        <v>1806</v>
      </c>
      <c r="C12" s="11" t="s">
        <v>19</v>
      </c>
      <c r="D12" s="12">
        <f>+'[12]FA Continuity 2011'!G12</f>
        <v>0</v>
      </c>
      <c r="E12" s="51"/>
      <c r="F12" s="52"/>
      <c r="G12" s="15">
        <f t="shared" si="0"/>
        <v>0</v>
      </c>
      <c r="H12" s="63"/>
      <c r="I12" s="15">
        <f>+'[12]FA Continuity 2011'!L12</f>
        <v>0</v>
      </c>
      <c r="J12" s="16"/>
      <c r="K12" s="17"/>
      <c r="L12" s="15">
        <f t="shared" si="1"/>
        <v>0</v>
      </c>
      <c r="M12" s="15">
        <f t="shared" si="2"/>
        <v>0</v>
      </c>
      <c r="N12" s="18"/>
      <c r="O12" s="41"/>
      <c r="P12" s="40"/>
    </row>
    <row r="13" spans="1:16" ht="12.75">
      <c r="A13" s="9">
        <v>47</v>
      </c>
      <c r="B13" s="10">
        <v>1808</v>
      </c>
      <c r="C13" s="11" t="s">
        <v>20</v>
      </c>
      <c r="D13" s="12">
        <f>+'[12]FA Continuity 2011'!G13</f>
        <v>994215.57</v>
      </c>
      <c r="E13" s="51">
        <v>375000</v>
      </c>
      <c r="F13" s="52"/>
      <c r="G13" s="15">
        <f t="shared" si="0"/>
        <v>1369215.5699999998</v>
      </c>
      <c r="H13" s="63"/>
      <c r="I13" s="15">
        <f>+'[12]FA Continuity 2011'!L13</f>
        <v>139981.94</v>
      </c>
      <c r="J13" s="17">
        <f>20445.94+(E13/2/50)+('[12]FA Continuity 2011'!E13/2/50)+'[12]FA Continuity 2011'!E13/50</f>
        <v>26445.94</v>
      </c>
      <c r="K13" s="17"/>
      <c r="L13" s="15">
        <f t="shared" si="1"/>
        <v>166427.88</v>
      </c>
      <c r="M13" s="15">
        <f t="shared" si="2"/>
        <v>1202787.69</v>
      </c>
      <c r="N13" s="18"/>
      <c r="O13" s="41"/>
      <c r="P13" s="40"/>
    </row>
    <row r="14" spans="1:16" ht="12.75">
      <c r="A14" s="9">
        <v>13</v>
      </c>
      <c r="B14" s="10">
        <v>1810</v>
      </c>
      <c r="C14" s="11" t="s">
        <v>21</v>
      </c>
      <c r="D14" s="12">
        <f>+'[12]FA Continuity 2011'!G14</f>
        <v>0</v>
      </c>
      <c r="E14" s="51"/>
      <c r="F14" s="52"/>
      <c r="G14" s="15">
        <f t="shared" si="0"/>
        <v>0</v>
      </c>
      <c r="H14" s="63"/>
      <c r="I14" s="15">
        <f>+'[12]FA Continuity 2011'!L14</f>
        <v>0</v>
      </c>
      <c r="J14" s="16">
        <f>+Q14</f>
        <v>0</v>
      </c>
      <c r="K14" s="17"/>
      <c r="L14" s="15">
        <f t="shared" si="1"/>
        <v>0</v>
      </c>
      <c r="M14" s="15">
        <f t="shared" si="2"/>
        <v>0</v>
      </c>
      <c r="O14" s="41"/>
      <c r="P14" s="40"/>
    </row>
    <row r="15" spans="1:16" ht="12.75">
      <c r="A15" s="9">
        <v>47</v>
      </c>
      <c r="B15" s="10">
        <v>1815</v>
      </c>
      <c r="C15" s="11" t="s">
        <v>22</v>
      </c>
      <c r="D15" s="12">
        <f>+'[12]FA Continuity 2011'!G15</f>
        <v>0</v>
      </c>
      <c r="E15" s="55"/>
      <c r="F15" s="52"/>
      <c r="G15" s="15">
        <f t="shared" si="0"/>
        <v>0</v>
      </c>
      <c r="H15" s="63"/>
      <c r="I15" s="15">
        <f>+'[12]FA Continuity 2011'!L15</f>
        <v>0</v>
      </c>
      <c r="J15" s="16">
        <f>+Q15</f>
        <v>0</v>
      </c>
      <c r="K15" s="17"/>
      <c r="L15" s="15">
        <f t="shared" si="1"/>
        <v>0</v>
      </c>
      <c r="M15" s="15">
        <f t="shared" si="2"/>
        <v>0</v>
      </c>
      <c r="N15" s="18"/>
      <c r="O15" s="41"/>
      <c r="P15" s="40"/>
    </row>
    <row r="16" spans="1:16" ht="12.75">
      <c r="A16" s="9">
        <v>47</v>
      </c>
      <c r="B16" s="10">
        <v>1820</v>
      </c>
      <c r="C16" s="11" t="s">
        <v>23</v>
      </c>
      <c r="D16" s="12">
        <f>+'[12]FA Continuity 2011'!G16</f>
        <v>2762235.0800000005</v>
      </c>
      <c r="E16" s="51"/>
      <c r="F16" s="52"/>
      <c r="G16" s="15">
        <f t="shared" si="0"/>
        <v>2762235.0800000005</v>
      </c>
      <c r="H16" s="63"/>
      <c r="I16" s="15">
        <f>+'[12]FA Continuity 2011'!L16</f>
        <v>1720437.23</v>
      </c>
      <c r="J16" s="17">
        <f>'[13]Victoria St SS 1820'!$G$32+'[13]Substation Equip 1820'!$H$21+'[13]Brook RD N 1820'!$F$23+'[13]Colborne SS 1820'!$E$25+'[13]Cobourg Whsl. Meter 1820'!$E$17+'[13]Colborne Whsl. Meter 1820'!$E$17+(E16/2/30)+('[12]FA Continuity 2011'!E16/2/30)+'[12]FA Continuity 2011'!E16/30</f>
        <v>86502.63000000002</v>
      </c>
      <c r="K16" s="17"/>
      <c r="L16" s="15">
        <f t="shared" si="1"/>
        <v>1806939.86</v>
      </c>
      <c r="M16" s="15">
        <f t="shared" si="2"/>
        <v>955295.2200000004</v>
      </c>
      <c r="O16" s="41"/>
      <c r="P16" s="40"/>
    </row>
    <row r="17" spans="1:16" ht="12.75">
      <c r="A17" s="9">
        <v>47</v>
      </c>
      <c r="B17" s="10">
        <v>1825</v>
      </c>
      <c r="C17" s="11" t="s">
        <v>24</v>
      </c>
      <c r="D17" s="12">
        <f>+'[12]FA Continuity 2011'!G17</f>
        <v>0</v>
      </c>
      <c r="E17" s="51"/>
      <c r="F17" s="52"/>
      <c r="G17" s="15">
        <f t="shared" si="0"/>
        <v>0</v>
      </c>
      <c r="H17" s="63"/>
      <c r="I17" s="15">
        <f>+'[12]FA Continuity 2011'!L17</f>
        <v>0</v>
      </c>
      <c r="J17" s="16">
        <f>+Q17</f>
        <v>0</v>
      </c>
      <c r="K17" s="17"/>
      <c r="L17" s="15">
        <f t="shared" si="1"/>
        <v>0</v>
      </c>
      <c r="M17" s="15">
        <f t="shared" si="2"/>
        <v>0</v>
      </c>
      <c r="N17" s="18"/>
      <c r="O17" s="41"/>
      <c r="P17" s="40"/>
    </row>
    <row r="18" spans="1:16" ht="12.75">
      <c r="A18" s="9">
        <v>47</v>
      </c>
      <c r="B18" s="10">
        <v>1830</v>
      </c>
      <c r="C18" s="11" t="s">
        <v>25</v>
      </c>
      <c r="D18" s="12">
        <f>+'[12]FA Continuity 2011'!G18</f>
        <v>1557311.0200000003</v>
      </c>
      <c r="E18" s="53">
        <f>+'[14]capital budget'!$M$9</f>
        <v>240000</v>
      </c>
      <c r="F18" s="23"/>
      <c r="G18" s="15">
        <f t="shared" si="0"/>
        <v>1797311.0200000003</v>
      </c>
      <c r="H18" s="63"/>
      <c r="I18" s="15">
        <f>+'[12]FA Continuity 2011'!L18</f>
        <v>217740.51</v>
      </c>
      <c r="J18" s="17">
        <f>44292.53+(E18/2/25)+('[12]FA Continuity 2011'!E18/2/25)+'[12]FA Continuity 2011'!E18/25</f>
        <v>76092.53</v>
      </c>
      <c r="K18" s="17"/>
      <c r="L18" s="15">
        <f t="shared" si="1"/>
        <v>293833.04000000004</v>
      </c>
      <c r="M18" s="15">
        <f t="shared" si="2"/>
        <v>1503477.9800000002</v>
      </c>
      <c r="N18" s="18"/>
      <c r="O18" s="41"/>
      <c r="P18" s="40"/>
    </row>
    <row r="19" spans="1:16" ht="12.75">
      <c r="A19" s="9">
        <v>47</v>
      </c>
      <c r="B19" s="10">
        <v>1835</v>
      </c>
      <c r="C19" s="11" t="s">
        <v>26</v>
      </c>
      <c r="D19" s="12">
        <f>+'[12]FA Continuity 2011'!G19</f>
        <v>4213753.779999999</v>
      </c>
      <c r="E19" s="53">
        <f>+'[14]capital budget'!$M$10</f>
        <v>209000</v>
      </c>
      <c r="F19" s="23"/>
      <c r="G19" s="15">
        <f t="shared" si="0"/>
        <v>4422753.779999999</v>
      </c>
      <c r="H19" s="63"/>
      <c r="I19" s="15">
        <f>+'[12]FA Continuity 2011'!L19</f>
        <v>1036322.75</v>
      </c>
      <c r="J19" s="17">
        <f>'[13]OH Conductors 1835 (1)'!$Q$23+'[13]Feeders 1835 (3)'!$J$21+'[13]Subtransmission Colborne 1835'!$F$23+(E19/2/25)+('[12]FA Continuity 2011'!E19/2/25)+'[12]FA Continuity 2011'!E19/25</f>
        <v>284134.6788</v>
      </c>
      <c r="K19" s="17"/>
      <c r="L19" s="15">
        <f t="shared" si="1"/>
        <v>1320457.4287999999</v>
      </c>
      <c r="M19" s="15">
        <f t="shared" si="2"/>
        <v>3102296.3511999995</v>
      </c>
      <c r="N19" s="18"/>
      <c r="O19" s="41"/>
      <c r="P19" s="40"/>
    </row>
    <row r="20" spans="1:16" ht="12.75">
      <c r="A20" s="9">
        <v>47</v>
      </c>
      <c r="B20" s="10">
        <v>1840</v>
      </c>
      <c r="C20" s="11" t="s">
        <v>27</v>
      </c>
      <c r="D20" s="12">
        <f>+'[12]FA Continuity 2011'!G20</f>
        <v>1228943.19</v>
      </c>
      <c r="E20" s="53">
        <f>+'[14]capital budget'!$M$11</f>
        <v>160000</v>
      </c>
      <c r="F20" s="23"/>
      <c r="G20" s="15">
        <f t="shared" si="0"/>
        <v>1388943.19</v>
      </c>
      <c r="H20" s="63"/>
      <c r="I20" s="15">
        <f>+'[12]FA Continuity 2011'!L20</f>
        <v>216942.86</v>
      </c>
      <c r="J20" s="17">
        <f>'[13]UG Conduit 1840'!$M$22+(E20/2/25)+('[12]FA Continuity 2011'!E20/2/25)+'[12]FA Continuity 2011'!E20/25</f>
        <v>60128.4504</v>
      </c>
      <c r="K20" s="17"/>
      <c r="L20" s="15">
        <f t="shared" si="1"/>
        <v>277071.31039999996</v>
      </c>
      <c r="M20" s="15">
        <f t="shared" si="2"/>
        <v>1111871.8796</v>
      </c>
      <c r="N20" s="18"/>
      <c r="O20" s="41"/>
      <c r="P20" s="40"/>
    </row>
    <row r="21" spans="1:16" ht="12.75">
      <c r="A21" s="9">
        <v>47</v>
      </c>
      <c r="B21" s="10">
        <v>1845</v>
      </c>
      <c r="C21" s="11" t="s">
        <v>28</v>
      </c>
      <c r="D21" s="12">
        <f>+'[12]FA Continuity 2011'!G21</f>
        <v>3066153.88</v>
      </c>
      <c r="E21" s="53"/>
      <c r="F21" s="23"/>
      <c r="G21" s="15">
        <f t="shared" si="0"/>
        <v>3066153.88</v>
      </c>
      <c r="H21" s="63"/>
      <c r="I21" s="15">
        <f>+'[12]FA Continuity 2011'!L21</f>
        <v>1941432.4200000002</v>
      </c>
      <c r="J21" s="17">
        <f>'[13]UG Conductors 1845'!$L$21+(E21/2/25)+('[12]FA Continuity 2011'!E21/2/25)+'[12]FA Continuity 2011'!E21/25</f>
        <v>121477.6084</v>
      </c>
      <c r="K21" s="17"/>
      <c r="L21" s="15">
        <f t="shared" si="1"/>
        <v>2062910.0284000002</v>
      </c>
      <c r="M21" s="15">
        <f t="shared" si="2"/>
        <v>1003243.8515999997</v>
      </c>
      <c r="N21" s="18"/>
      <c r="O21" s="41"/>
      <c r="P21" s="40"/>
    </row>
    <row r="22" spans="1:16" ht="12.75">
      <c r="A22" s="9">
        <v>47</v>
      </c>
      <c r="B22" s="10">
        <v>1850</v>
      </c>
      <c r="C22" s="11" t="s">
        <v>29</v>
      </c>
      <c r="D22" s="12">
        <f>+'[12]FA Continuity 2011'!G22</f>
        <v>5351048.92</v>
      </c>
      <c r="E22" s="53">
        <f>+'[14]capital budget'!$M$12</f>
        <v>192000</v>
      </c>
      <c r="F22" s="23"/>
      <c r="G22" s="15">
        <f t="shared" si="0"/>
        <v>5543048.92</v>
      </c>
      <c r="H22" s="63"/>
      <c r="I22" s="15">
        <f>+'[12]FA Continuity 2011'!L22</f>
        <v>2408630.51</v>
      </c>
      <c r="J22" s="17">
        <f>'[13]Distribution Transformers 1850'!$Q$24+(E22/2/25)+('[12]FA Continuity 2011'!E22/2/25)+'[12]FA Continuity 2011'!E22/25</f>
        <v>216251.53279999996</v>
      </c>
      <c r="K22" s="17"/>
      <c r="L22" s="15">
        <f t="shared" si="1"/>
        <v>2624882.0428</v>
      </c>
      <c r="M22" s="15">
        <f t="shared" si="2"/>
        <v>2918166.8772</v>
      </c>
      <c r="N22" s="18"/>
      <c r="O22" s="41"/>
      <c r="P22" s="40"/>
    </row>
    <row r="23" spans="1:16" ht="12.75">
      <c r="A23" s="9">
        <v>47</v>
      </c>
      <c r="B23" s="10">
        <v>1855</v>
      </c>
      <c r="C23" s="11" t="s">
        <v>30</v>
      </c>
      <c r="D23" s="12">
        <f>+'[12]FA Continuity 2011'!G23</f>
        <v>599529.14</v>
      </c>
      <c r="E23" s="53">
        <f>+'[14]capital budget'!$M$14</f>
        <v>24000</v>
      </c>
      <c r="F23" s="23"/>
      <c r="G23" s="15">
        <f t="shared" si="0"/>
        <v>623529.14</v>
      </c>
      <c r="H23" s="63"/>
      <c r="I23" s="15">
        <f>+'[12]FA Continuity 2011'!L23</f>
        <v>164187.34</v>
      </c>
      <c r="J23" s="17">
        <f>'[13]UG Services 1852'!$M$18+'[13]Overhead Services 1855'!$M$22+(E23/2/25)+('[12]FA Continuity 2011'!E23/2/25)+'[12]FA Continuity 2011'!E23/25</f>
        <v>25775.3788</v>
      </c>
      <c r="K23" s="17"/>
      <c r="L23" s="15">
        <f t="shared" si="1"/>
        <v>189962.7188</v>
      </c>
      <c r="M23" s="15">
        <f t="shared" si="2"/>
        <v>433566.4212</v>
      </c>
      <c r="N23" s="18"/>
      <c r="O23" s="41"/>
      <c r="P23" s="40"/>
    </row>
    <row r="24" spans="1:16" ht="12.75">
      <c r="A24" s="9">
        <v>47</v>
      </c>
      <c r="B24" s="10">
        <v>1860</v>
      </c>
      <c r="C24" s="11" t="s">
        <v>31</v>
      </c>
      <c r="D24" s="12">
        <f>+'[12]FA Continuity 2011'!G24</f>
        <v>225726.14489999996</v>
      </c>
      <c r="E24" s="53">
        <v>50000</v>
      </c>
      <c r="F24" s="23"/>
      <c r="G24" s="15">
        <f t="shared" si="0"/>
        <v>275726.14489999996</v>
      </c>
      <c r="H24" s="63"/>
      <c r="I24" s="15">
        <f>+'[12]FA Continuity 2011'!L24</f>
        <v>157637.57969999994</v>
      </c>
      <c r="J24" s="17">
        <f>'[13]METERS 1860'!$T$21+(E24/2/25)+('[12]FA Continuity 2011'!E24/2/25)+'[12]FA Continuity 2011'!E24/25</f>
        <v>37185.02559999999</v>
      </c>
      <c r="K24" s="17"/>
      <c r="L24" s="15">
        <f t="shared" si="1"/>
        <v>194822.60529999994</v>
      </c>
      <c r="M24" s="15">
        <f t="shared" si="2"/>
        <v>80903.53960000002</v>
      </c>
      <c r="N24" s="18"/>
      <c r="O24" s="41"/>
      <c r="P24" s="40"/>
    </row>
    <row r="25" spans="1:16" ht="12.75">
      <c r="A25" s="9">
        <v>47</v>
      </c>
      <c r="B25" s="10">
        <v>1860</v>
      </c>
      <c r="C25" s="11" t="s">
        <v>32</v>
      </c>
      <c r="D25" s="12">
        <f>+'[12]FA Continuity 2011'!G25</f>
        <v>1822179</v>
      </c>
      <c r="E25" s="53"/>
      <c r="F25" s="23"/>
      <c r="G25" s="15">
        <f t="shared" si="0"/>
        <v>1822179</v>
      </c>
      <c r="H25" s="63"/>
      <c r="I25" s="15">
        <f>+'[12]FA Continuity 2011'!L25</f>
        <v>243757.83333333334</v>
      </c>
      <c r="J25" s="17">
        <f>G25/15</f>
        <v>121478.6</v>
      </c>
      <c r="K25" s="17"/>
      <c r="L25" s="15">
        <f t="shared" si="1"/>
        <v>365236.43333333335</v>
      </c>
      <c r="M25" s="15">
        <f t="shared" si="2"/>
        <v>1456942.5666666667</v>
      </c>
      <c r="N25" s="18"/>
      <c r="O25" s="41"/>
      <c r="P25" s="40"/>
    </row>
    <row r="26" spans="1:16" ht="12.75">
      <c r="A26" s="9" t="s">
        <v>15</v>
      </c>
      <c r="B26" s="10">
        <v>1865</v>
      </c>
      <c r="C26" s="11" t="s">
        <v>33</v>
      </c>
      <c r="D26" s="12">
        <f>+'[12]FA Continuity 2011'!G26</f>
        <v>0</v>
      </c>
      <c r="E26" s="53"/>
      <c r="F26" s="23"/>
      <c r="G26" s="15">
        <f t="shared" si="0"/>
        <v>0</v>
      </c>
      <c r="H26" s="63"/>
      <c r="I26" s="15">
        <f>+'[12]FA Continuity 2011'!L26</f>
        <v>0</v>
      </c>
      <c r="J26" s="53">
        <f>+Q26</f>
        <v>0</v>
      </c>
      <c r="K26" s="17"/>
      <c r="L26" s="15">
        <f t="shared" si="1"/>
        <v>0</v>
      </c>
      <c r="M26" s="15">
        <f t="shared" si="2"/>
        <v>0</v>
      </c>
      <c r="N26" s="18"/>
      <c r="O26" s="41"/>
      <c r="P26" s="40"/>
    </row>
    <row r="27" spans="1:16" ht="12.75">
      <c r="A27" s="9" t="s">
        <v>15</v>
      </c>
      <c r="B27" s="10">
        <v>1905</v>
      </c>
      <c r="C27" s="11" t="s">
        <v>17</v>
      </c>
      <c r="D27" s="12">
        <f>+'[12]FA Continuity 2011'!G27</f>
        <v>0</v>
      </c>
      <c r="E27" s="53"/>
      <c r="F27" s="23"/>
      <c r="G27" s="15">
        <f t="shared" si="0"/>
        <v>0</v>
      </c>
      <c r="H27" s="63"/>
      <c r="I27" s="15">
        <f>+'[12]FA Continuity 2011'!L27</f>
        <v>0</v>
      </c>
      <c r="J27" s="53">
        <f>+Q27</f>
        <v>0</v>
      </c>
      <c r="K27" s="17"/>
      <c r="L27" s="15">
        <f t="shared" si="1"/>
        <v>0</v>
      </c>
      <c r="M27" s="15">
        <f t="shared" si="2"/>
        <v>0</v>
      </c>
      <c r="N27" s="18"/>
      <c r="O27" s="41"/>
      <c r="P27" s="40"/>
    </row>
    <row r="28" spans="1:16" ht="12.75">
      <c r="A28" s="9" t="s">
        <v>18</v>
      </c>
      <c r="B28" s="10">
        <v>1906</v>
      </c>
      <c r="C28" s="11" t="s">
        <v>19</v>
      </c>
      <c r="D28" s="12">
        <f>+'[12]FA Continuity 2011'!G28</f>
        <v>0</v>
      </c>
      <c r="E28" s="53"/>
      <c r="F28" s="23"/>
      <c r="G28" s="15">
        <f t="shared" si="0"/>
        <v>0</v>
      </c>
      <c r="H28" s="63"/>
      <c r="I28" s="15">
        <f>+'[12]FA Continuity 2011'!L28</f>
        <v>0</v>
      </c>
      <c r="J28" s="53">
        <f>+Q28</f>
        <v>0</v>
      </c>
      <c r="K28" s="17"/>
      <c r="L28" s="15">
        <f t="shared" si="1"/>
        <v>0</v>
      </c>
      <c r="M28" s="15">
        <f t="shared" si="2"/>
        <v>0</v>
      </c>
      <c r="N28" s="18"/>
      <c r="O28" s="41"/>
      <c r="P28" s="40"/>
    </row>
    <row r="29" spans="1:16" ht="12.75">
      <c r="A29" s="9">
        <v>47</v>
      </c>
      <c r="B29" s="10">
        <v>1908</v>
      </c>
      <c r="C29" s="11" t="s">
        <v>20</v>
      </c>
      <c r="D29" s="12">
        <f>+'[12]FA Continuity 2011'!G29</f>
        <v>0</v>
      </c>
      <c r="E29" s="53"/>
      <c r="F29" s="23"/>
      <c r="G29" s="15">
        <f t="shared" si="0"/>
        <v>0</v>
      </c>
      <c r="H29" s="63"/>
      <c r="I29" s="15">
        <f>+'[12]FA Continuity 2011'!L29</f>
        <v>0</v>
      </c>
      <c r="J29" s="53">
        <f>+Q29</f>
        <v>0</v>
      </c>
      <c r="K29" s="17"/>
      <c r="L29" s="15">
        <f t="shared" si="1"/>
        <v>0</v>
      </c>
      <c r="M29" s="15">
        <f t="shared" si="2"/>
        <v>0</v>
      </c>
      <c r="N29" s="18"/>
      <c r="O29" s="41"/>
      <c r="P29" s="40"/>
    </row>
    <row r="30" spans="1:16" ht="12.75">
      <c r="A30" s="9">
        <v>13</v>
      </c>
      <c r="B30" s="10">
        <v>1910</v>
      </c>
      <c r="C30" s="11" t="s">
        <v>21</v>
      </c>
      <c r="D30" s="12">
        <f>+'[12]FA Continuity 2011'!G30</f>
        <v>0</v>
      </c>
      <c r="E30" s="53"/>
      <c r="F30" s="23"/>
      <c r="G30" s="15">
        <f t="shared" si="0"/>
        <v>0</v>
      </c>
      <c r="H30" s="63"/>
      <c r="I30" s="15">
        <f>+'[12]FA Continuity 2011'!L30</f>
        <v>0</v>
      </c>
      <c r="J30" s="53">
        <f>+Q30</f>
        <v>0</v>
      </c>
      <c r="K30" s="17"/>
      <c r="L30" s="15">
        <f t="shared" si="1"/>
        <v>0</v>
      </c>
      <c r="M30" s="15">
        <f t="shared" si="2"/>
        <v>0</v>
      </c>
      <c r="N30" s="18"/>
      <c r="O30" s="41"/>
      <c r="P30" s="40"/>
    </row>
    <row r="31" spans="1:16" ht="12.75">
      <c r="A31" s="9">
        <v>8</v>
      </c>
      <c r="B31" s="10">
        <v>1915</v>
      </c>
      <c r="C31" s="11" t="s">
        <v>34</v>
      </c>
      <c r="D31" s="12">
        <f>+'[12]FA Continuity 2011'!G31</f>
        <v>82025.63</v>
      </c>
      <c r="E31" s="53">
        <f>+'[14]capital budget'!$M$17</f>
        <v>25000</v>
      </c>
      <c r="F31" s="23"/>
      <c r="G31" s="15">
        <f t="shared" si="0"/>
        <v>107025.63</v>
      </c>
      <c r="H31" s="63"/>
      <c r="I31" s="15">
        <f>+'[12]FA Continuity 2011'!L31</f>
        <v>14286.310000000001</v>
      </c>
      <c r="J31" s="17">
        <f>'[13]Elec Office Furniture 1915'!$J$23+(E31/2/10)+('[12]FA Continuity 2011'!E31/2/10)+'[12]FA Continuity 2011'!E31/10</f>
        <v>10702.550000000001</v>
      </c>
      <c r="K31" s="17"/>
      <c r="L31" s="15">
        <f t="shared" si="1"/>
        <v>24988.86</v>
      </c>
      <c r="M31" s="15">
        <f t="shared" si="2"/>
        <v>82036.77</v>
      </c>
      <c r="N31" s="18"/>
      <c r="O31" s="41"/>
      <c r="P31" s="40"/>
    </row>
    <row r="32" spans="1:16" ht="12.75">
      <c r="A32" s="9">
        <v>10</v>
      </c>
      <c r="B32" s="10">
        <v>1920</v>
      </c>
      <c r="C32" s="11" t="s">
        <v>35</v>
      </c>
      <c r="D32" s="12">
        <f>+'[12]FA Continuity 2011'!G32</f>
        <v>81199.28999999998</v>
      </c>
      <c r="E32" s="53">
        <f>+'[14]capital budget'!$M$18</f>
        <v>150000</v>
      </c>
      <c r="F32" s="23"/>
      <c r="G32" s="15">
        <f t="shared" si="0"/>
        <v>231199.28999999998</v>
      </c>
      <c r="H32" s="63"/>
      <c r="I32" s="15">
        <f>+'[12]FA Continuity 2011'!L32</f>
        <v>23944.889999999992</v>
      </c>
      <c r="J32" s="17">
        <f>'[13]Computer Equip. 1920 1925'!$P$24+(E32/2/5)+('[12]FA Continuity 2011'!E32/2/5)+'[12]FA Continuity 2011'!E32/5</f>
        <v>34551.28</v>
      </c>
      <c r="K32" s="17"/>
      <c r="L32" s="15">
        <f t="shared" si="1"/>
        <v>58496.16999999999</v>
      </c>
      <c r="M32" s="15">
        <f t="shared" si="2"/>
        <v>172703.12</v>
      </c>
      <c r="N32" s="18"/>
      <c r="O32" s="41"/>
      <c r="P32" s="40"/>
    </row>
    <row r="33" spans="1:16" ht="12.75">
      <c r="A33" s="9">
        <v>12</v>
      </c>
      <c r="B33" s="10">
        <v>1925</v>
      </c>
      <c r="C33" s="11" t="s">
        <v>36</v>
      </c>
      <c r="D33" s="12">
        <f>+'[12]FA Continuity 2011'!G33</f>
        <v>163875.62</v>
      </c>
      <c r="E33" s="53">
        <v>325000</v>
      </c>
      <c r="F33" s="23"/>
      <c r="G33" s="15">
        <f t="shared" si="0"/>
        <v>488875.62</v>
      </c>
      <c r="H33" s="63"/>
      <c r="I33" s="15">
        <f>+'[12]FA Continuity 2011'!L33</f>
        <v>73711.56</v>
      </c>
      <c r="J33" s="17">
        <f>'[13]Computer Sofware 1925'!$G$17+(E33/2/5)+('[12]FA Continuity 2011'!E33/2/5)+'[12]FA Continuity 2011'!E33/5</f>
        <v>64877.76</v>
      </c>
      <c r="K33" s="17"/>
      <c r="L33" s="15">
        <f t="shared" si="1"/>
        <v>138589.32</v>
      </c>
      <c r="M33" s="15">
        <f t="shared" si="2"/>
        <v>350286.3</v>
      </c>
      <c r="N33" s="18"/>
      <c r="O33" s="41"/>
      <c r="P33" s="40"/>
    </row>
    <row r="34" spans="1:16" ht="12.75">
      <c r="A34" s="9">
        <v>12</v>
      </c>
      <c r="B34" s="10">
        <v>1925</v>
      </c>
      <c r="C34" s="11" t="s">
        <v>69</v>
      </c>
      <c r="D34" s="12">
        <f>+'[12]FA Continuity 2011'!G34</f>
        <v>123706</v>
      </c>
      <c r="E34" s="53"/>
      <c r="F34" s="23"/>
      <c r="G34" s="15">
        <f t="shared" si="0"/>
        <v>123706</v>
      </c>
      <c r="H34" s="63"/>
      <c r="I34" s="15">
        <f>+'[12]FA Continuity 2011'!L34</f>
        <v>52475.2</v>
      </c>
      <c r="J34" s="17">
        <f>G34/5</f>
        <v>24741.2</v>
      </c>
      <c r="K34" s="17"/>
      <c r="L34" s="15">
        <f t="shared" si="1"/>
        <v>77216.4</v>
      </c>
      <c r="M34" s="15">
        <f t="shared" si="2"/>
        <v>46489.600000000006</v>
      </c>
      <c r="N34" s="18"/>
      <c r="O34" s="41"/>
      <c r="P34" s="40"/>
    </row>
    <row r="35" spans="1:16" ht="12.75">
      <c r="A35" s="9">
        <v>10</v>
      </c>
      <c r="B35" s="10">
        <v>1930</v>
      </c>
      <c r="C35" s="11" t="s">
        <v>38</v>
      </c>
      <c r="D35" s="12">
        <f>+'[12]FA Continuity 2011'!G35</f>
        <v>759704.8999999999</v>
      </c>
      <c r="E35" s="53">
        <v>55000</v>
      </c>
      <c r="F35" s="23"/>
      <c r="G35" s="15">
        <f t="shared" si="0"/>
        <v>814704.8999999999</v>
      </c>
      <c r="H35" s="63"/>
      <c r="I35" s="15">
        <f>+'[12]FA Continuity 2011'!L35</f>
        <v>244836.7</v>
      </c>
      <c r="J35" s="17">
        <f>'[13]Trucks 1930'!$I$20+(E35/2/8)+('[12]FA Continuity 2011'!E35/2/8)+'[12]FA Continuity 2011'!E35/8</f>
        <v>98400.73999999999</v>
      </c>
      <c r="K35" s="17"/>
      <c r="L35" s="15">
        <f t="shared" si="1"/>
        <v>343237.44</v>
      </c>
      <c r="M35" s="15">
        <f t="shared" si="2"/>
        <v>471467.4599999999</v>
      </c>
      <c r="N35" s="18"/>
      <c r="O35" s="41"/>
      <c r="P35" s="40"/>
    </row>
    <row r="36" spans="1:16" ht="12.75">
      <c r="A36" s="9">
        <v>8</v>
      </c>
      <c r="B36" s="10">
        <v>1935</v>
      </c>
      <c r="C36" s="11" t="s">
        <v>39</v>
      </c>
      <c r="D36" s="12">
        <f>+'[12]FA Continuity 2011'!G36</f>
        <v>0</v>
      </c>
      <c r="E36" s="53"/>
      <c r="F36" s="23"/>
      <c r="G36" s="15">
        <f t="shared" si="0"/>
        <v>0</v>
      </c>
      <c r="H36" s="63"/>
      <c r="I36" s="15">
        <f>+'[12]FA Continuity 2011'!L36</f>
        <v>0</v>
      </c>
      <c r="J36" s="53">
        <f>+Q36</f>
        <v>0</v>
      </c>
      <c r="K36" s="17"/>
      <c r="L36" s="15">
        <f t="shared" si="1"/>
        <v>0</v>
      </c>
      <c r="M36" s="15">
        <f t="shared" si="2"/>
        <v>0</v>
      </c>
      <c r="N36" s="18"/>
      <c r="O36" s="41"/>
      <c r="P36" s="40"/>
    </row>
    <row r="37" spans="1:16" ht="12.75">
      <c r="A37" s="9">
        <v>8</v>
      </c>
      <c r="B37" s="10">
        <v>1940</v>
      </c>
      <c r="C37" s="11" t="s">
        <v>40</v>
      </c>
      <c r="D37" s="12">
        <f>+'[12]FA Continuity 2011'!G37</f>
        <v>233729.88</v>
      </c>
      <c r="E37" s="53">
        <v>394000</v>
      </c>
      <c r="F37" s="23"/>
      <c r="G37" s="15">
        <f t="shared" si="0"/>
        <v>627729.88</v>
      </c>
      <c r="H37" s="63"/>
      <c r="I37" s="15">
        <f>+'[12]FA Continuity 2011'!L37</f>
        <v>67779.8</v>
      </c>
      <c r="J37" s="17">
        <f>'[13]Tools 1940-1941,1960'!$P$22+(E37/2/10)+('[12]FA Continuity 2011'!E37/2/10)+'[12]FA Continuity 2011'!E37/10</f>
        <v>45489.61</v>
      </c>
      <c r="K37" s="17"/>
      <c r="L37" s="15">
        <f t="shared" si="1"/>
        <v>113269.41</v>
      </c>
      <c r="M37" s="15">
        <f t="shared" si="2"/>
        <v>514460.47</v>
      </c>
      <c r="N37" s="18"/>
      <c r="O37" s="41"/>
      <c r="P37" s="40"/>
    </row>
    <row r="38" spans="1:16" ht="12.75">
      <c r="A38" s="9">
        <v>8</v>
      </c>
      <c r="B38" s="10">
        <v>1945</v>
      </c>
      <c r="C38" s="11" t="s">
        <v>41</v>
      </c>
      <c r="D38" s="12">
        <f>+'[12]FA Continuity 2011'!G38</f>
        <v>18711.5</v>
      </c>
      <c r="E38" s="53"/>
      <c r="F38" s="23"/>
      <c r="G38" s="15">
        <f t="shared" si="0"/>
        <v>18711.5</v>
      </c>
      <c r="H38" s="63"/>
      <c r="I38" s="15">
        <f>+'[12]FA Continuity 2011'!L38</f>
        <v>2806.73</v>
      </c>
      <c r="J38" s="17">
        <f>'[13]Measure Equip-1945'!$P$12+(E38/2/10)+('[12]FA Continuity 2011'!E38/2/10)+'[12]FA Continuity 2011'!E38/10</f>
        <v>1871.15</v>
      </c>
      <c r="K38" s="17"/>
      <c r="L38" s="15">
        <f t="shared" si="1"/>
        <v>4677.88</v>
      </c>
      <c r="M38" s="15">
        <f t="shared" si="2"/>
        <v>14033.619999999999</v>
      </c>
      <c r="N38" s="18"/>
      <c r="O38" s="41"/>
      <c r="P38" s="40"/>
    </row>
    <row r="39" spans="1:16" ht="12.75">
      <c r="A39" s="9">
        <v>8</v>
      </c>
      <c r="B39" s="10">
        <v>1950</v>
      </c>
      <c r="C39" s="11" t="s">
        <v>42</v>
      </c>
      <c r="D39" s="12">
        <f>+'[12]FA Continuity 2011'!G39</f>
        <v>0</v>
      </c>
      <c r="E39" s="53"/>
      <c r="F39" s="23"/>
      <c r="G39" s="15">
        <f t="shared" si="0"/>
        <v>0</v>
      </c>
      <c r="H39" s="63"/>
      <c r="I39" s="15">
        <f>+'[12]FA Continuity 2011'!L39</f>
        <v>0</v>
      </c>
      <c r="J39" s="53">
        <f aca="true" t="shared" si="3" ref="J39:J46">+Q39</f>
        <v>0</v>
      </c>
      <c r="K39" s="17"/>
      <c r="L39" s="15">
        <f t="shared" si="1"/>
        <v>0</v>
      </c>
      <c r="M39" s="15">
        <f t="shared" si="2"/>
        <v>0</v>
      </c>
      <c r="N39" s="18"/>
      <c r="O39" s="41"/>
      <c r="P39" s="40"/>
    </row>
    <row r="40" spans="1:16" ht="12.75">
      <c r="A40" s="9">
        <v>8</v>
      </c>
      <c r="B40" s="10">
        <v>1955</v>
      </c>
      <c r="C40" s="11" t="s">
        <v>43</v>
      </c>
      <c r="D40" s="12">
        <f>+'[12]FA Continuity 2011'!G40</f>
        <v>0</v>
      </c>
      <c r="E40" s="53"/>
      <c r="F40" s="23"/>
      <c r="G40" s="15">
        <f t="shared" si="0"/>
        <v>0</v>
      </c>
      <c r="H40" s="63"/>
      <c r="I40" s="15">
        <f>+'[12]FA Continuity 2011'!L40</f>
        <v>0</v>
      </c>
      <c r="J40" s="53">
        <f t="shared" si="3"/>
        <v>0</v>
      </c>
      <c r="K40" s="17"/>
      <c r="L40" s="15">
        <f t="shared" si="1"/>
        <v>0</v>
      </c>
      <c r="M40" s="15">
        <f t="shared" si="2"/>
        <v>0</v>
      </c>
      <c r="N40" s="18"/>
      <c r="O40" s="41"/>
      <c r="P40" s="40"/>
    </row>
    <row r="41" spans="1:16" ht="12.75">
      <c r="A41" s="9">
        <v>8</v>
      </c>
      <c r="B41" s="10">
        <v>1960</v>
      </c>
      <c r="C41" s="11" t="s">
        <v>44</v>
      </c>
      <c r="D41" s="12">
        <f>+'[12]FA Continuity 2011'!G41</f>
        <v>0</v>
      </c>
      <c r="E41" s="53"/>
      <c r="F41" s="23"/>
      <c r="G41" s="15">
        <f t="shared" si="0"/>
        <v>0</v>
      </c>
      <c r="H41" s="63"/>
      <c r="I41" s="15">
        <f>+'[12]FA Continuity 2011'!L41</f>
        <v>0</v>
      </c>
      <c r="J41" s="53">
        <f t="shared" si="3"/>
        <v>0</v>
      </c>
      <c r="K41" s="17"/>
      <c r="L41" s="15">
        <f t="shared" si="1"/>
        <v>0</v>
      </c>
      <c r="M41" s="15">
        <f t="shared" si="2"/>
        <v>0</v>
      </c>
      <c r="N41" s="18"/>
      <c r="O41" s="41"/>
      <c r="P41" s="40"/>
    </row>
    <row r="42" spans="1:16" ht="12.75">
      <c r="A42" s="9">
        <v>47</v>
      </c>
      <c r="B42" s="10">
        <v>1970</v>
      </c>
      <c r="C42" s="11" t="s">
        <v>45</v>
      </c>
      <c r="D42" s="12">
        <f>+'[12]FA Continuity 2011'!G42</f>
        <v>0</v>
      </c>
      <c r="E42" s="53"/>
      <c r="F42" s="23"/>
      <c r="G42" s="15">
        <f t="shared" si="0"/>
        <v>0</v>
      </c>
      <c r="H42" s="63"/>
      <c r="I42" s="15">
        <f>+'[12]FA Continuity 2011'!L42</f>
        <v>0</v>
      </c>
      <c r="J42" s="53">
        <f t="shared" si="3"/>
        <v>0</v>
      </c>
      <c r="K42" s="17"/>
      <c r="L42" s="15">
        <f t="shared" si="1"/>
        <v>0</v>
      </c>
      <c r="M42" s="15">
        <f t="shared" si="2"/>
        <v>0</v>
      </c>
      <c r="N42" s="18"/>
      <c r="O42" s="41"/>
      <c r="P42" s="40"/>
    </row>
    <row r="43" spans="1:16" ht="12.75">
      <c r="A43" s="9">
        <v>47</v>
      </c>
      <c r="B43" s="10">
        <v>1975</v>
      </c>
      <c r="C43" s="11" t="s">
        <v>46</v>
      </c>
      <c r="D43" s="12">
        <f>+'[12]FA Continuity 2011'!G43</f>
        <v>0</v>
      </c>
      <c r="E43" s="53"/>
      <c r="F43" s="23"/>
      <c r="G43" s="15">
        <f t="shared" si="0"/>
        <v>0</v>
      </c>
      <c r="H43" s="63"/>
      <c r="I43" s="15">
        <f>+'[12]FA Continuity 2011'!L43</f>
        <v>0</v>
      </c>
      <c r="J43" s="53">
        <f t="shared" si="3"/>
        <v>0</v>
      </c>
      <c r="K43" s="17"/>
      <c r="L43" s="15">
        <f t="shared" si="1"/>
        <v>0</v>
      </c>
      <c r="M43" s="15">
        <f t="shared" si="2"/>
        <v>0</v>
      </c>
      <c r="N43" s="18"/>
      <c r="O43" s="41"/>
      <c r="P43" s="40"/>
    </row>
    <row r="44" spans="1:16" ht="12.75">
      <c r="A44" s="9">
        <v>47</v>
      </c>
      <c r="B44" s="10">
        <v>1980</v>
      </c>
      <c r="C44" s="11" t="s">
        <v>47</v>
      </c>
      <c r="D44" s="12">
        <f>+'[12]FA Continuity 2011'!G44</f>
        <v>0</v>
      </c>
      <c r="E44" s="53"/>
      <c r="F44" s="23"/>
      <c r="G44" s="15">
        <f t="shared" si="0"/>
        <v>0</v>
      </c>
      <c r="H44" s="63"/>
      <c r="I44" s="15">
        <f>+'[12]FA Continuity 2011'!L44</f>
        <v>0</v>
      </c>
      <c r="J44" s="53">
        <f t="shared" si="3"/>
        <v>0</v>
      </c>
      <c r="K44" s="17"/>
      <c r="L44" s="15">
        <f t="shared" si="1"/>
        <v>0</v>
      </c>
      <c r="M44" s="15">
        <f t="shared" si="2"/>
        <v>0</v>
      </c>
      <c r="N44" s="18"/>
      <c r="O44" s="41"/>
      <c r="P44" s="40"/>
    </row>
    <row r="45" spans="1:16" ht="12.75">
      <c r="A45" s="9">
        <v>47</v>
      </c>
      <c r="B45" s="10">
        <v>1985</v>
      </c>
      <c r="C45" s="11" t="s">
        <v>48</v>
      </c>
      <c r="D45" s="12">
        <f>+'[12]FA Continuity 2011'!G45</f>
        <v>0</v>
      </c>
      <c r="E45" s="53"/>
      <c r="F45" s="23"/>
      <c r="G45" s="15">
        <f t="shared" si="0"/>
        <v>0</v>
      </c>
      <c r="H45" s="63"/>
      <c r="I45" s="15">
        <f>+'[12]FA Continuity 2011'!L45</f>
        <v>0</v>
      </c>
      <c r="J45" s="53">
        <f t="shared" si="3"/>
        <v>0</v>
      </c>
      <c r="K45" s="17"/>
      <c r="L45" s="15">
        <f t="shared" si="1"/>
        <v>0</v>
      </c>
      <c r="M45" s="15">
        <f t="shared" si="2"/>
        <v>0</v>
      </c>
      <c r="N45" s="18"/>
      <c r="O45" s="41"/>
      <c r="P45" s="40"/>
    </row>
    <row r="46" spans="1:16" ht="12.75">
      <c r="A46" s="9">
        <v>47</v>
      </c>
      <c r="B46" s="10">
        <v>1990</v>
      </c>
      <c r="C46" s="11" t="s">
        <v>49</v>
      </c>
      <c r="D46" s="12">
        <f>+'[12]FA Continuity 2011'!G46</f>
        <v>0</v>
      </c>
      <c r="E46" s="53"/>
      <c r="F46" s="23"/>
      <c r="G46" s="15">
        <f t="shared" si="0"/>
        <v>0</v>
      </c>
      <c r="H46" s="63"/>
      <c r="I46" s="15">
        <f>+'[12]FA Continuity 2011'!L46</f>
        <v>0</v>
      </c>
      <c r="J46" s="53">
        <f t="shared" si="3"/>
        <v>0</v>
      </c>
      <c r="K46" s="17"/>
      <c r="L46" s="15">
        <f t="shared" si="1"/>
        <v>0</v>
      </c>
      <c r="M46" s="15">
        <f t="shared" si="2"/>
        <v>0</v>
      </c>
      <c r="N46" s="18"/>
      <c r="O46" s="41"/>
      <c r="P46" s="40"/>
    </row>
    <row r="47" spans="1:16" ht="12.75">
      <c r="A47" s="9">
        <v>47</v>
      </c>
      <c r="B47" s="10">
        <v>1995</v>
      </c>
      <c r="C47" s="11" t="s">
        <v>50</v>
      </c>
      <c r="D47" s="12">
        <f>+'[12]FA Continuity 2011'!G47</f>
        <v>-2257659.0300000003</v>
      </c>
      <c r="E47" s="53">
        <v>-100000</v>
      </c>
      <c r="F47" s="23"/>
      <c r="G47" s="15">
        <f t="shared" si="0"/>
        <v>-2357659.0300000003</v>
      </c>
      <c r="H47" s="63"/>
      <c r="I47" s="15">
        <f>+'[12]FA Continuity 2011'!L47</f>
        <v>-439741.75</v>
      </c>
      <c r="J47" s="53">
        <f>+'[13]Contribution 1995'!$P$22+(E47/2/25)+'[12]FA Continuity 2011'!E47/2/25+'[12]FA Continuity 2011'!E47/25</f>
        <v>-81692.78000000001</v>
      </c>
      <c r="K47" s="17"/>
      <c r="L47" s="15">
        <f t="shared" si="1"/>
        <v>-521434.53</v>
      </c>
      <c r="M47" s="15">
        <f t="shared" si="2"/>
        <v>-1836224.5000000002</v>
      </c>
      <c r="N47" s="18"/>
      <c r="O47" s="41"/>
      <c r="P47" s="40"/>
    </row>
    <row r="48" spans="1:16" ht="12.75">
      <c r="A48" s="9"/>
      <c r="B48" s="10">
        <v>2005</v>
      </c>
      <c r="C48" s="10" t="s">
        <v>51</v>
      </c>
      <c r="D48" s="12">
        <f>+'[12]FA Continuity 2011'!G48</f>
        <v>0</v>
      </c>
      <c r="E48" s="53"/>
      <c r="F48" s="23"/>
      <c r="G48" s="15">
        <f t="shared" si="0"/>
        <v>0</v>
      </c>
      <c r="H48" s="63"/>
      <c r="I48" s="15">
        <f>+'[12]FA Continuity 2011'!L48</f>
        <v>0</v>
      </c>
      <c r="J48" s="53"/>
      <c r="K48" s="17"/>
      <c r="L48" s="15">
        <f t="shared" si="1"/>
        <v>0</v>
      </c>
      <c r="M48" s="15">
        <f t="shared" si="2"/>
        <v>0</v>
      </c>
      <c r="N48" s="18"/>
      <c r="O48" s="41"/>
      <c r="P48" s="40"/>
    </row>
    <row r="49" spans="1:16" ht="12.75">
      <c r="A49" s="9"/>
      <c r="B49" s="20"/>
      <c r="C49" s="21" t="s">
        <v>52</v>
      </c>
      <c r="D49" s="22">
        <f>SUM(D10:D48)</f>
        <v>21245673.3849</v>
      </c>
      <c r="E49" s="22">
        <f>SUM(E10:E48)</f>
        <v>2099000</v>
      </c>
      <c r="F49" s="22">
        <f>SUM(F10:F48)</f>
        <v>0</v>
      </c>
      <c r="G49" s="22">
        <f>SUM(G10:G48)</f>
        <v>23344673.3849</v>
      </c>
      <c r="H49" s="63"/>
      <c r="I49" s="22">
        <f>SUM(I10:I48)</f>
        <v>8287170.413033331</v>
      </c>
      <c r="J49" s="22">
        <f>SUM(J10:J48)</f>
        <v>1254413.8848</v>
      </c>
      <c r="K49" s="22">
        <f>SUM(K10:K48)</f>
        <v>0</v>
      </c>
      <c r="L49" s="22">
        <f>SUM(L10:L48)</f>
        <v>9541584.297833335</v>
      </c>
      <c r="M49" s="22">
        <f>SUM(M10:M48)</f>
        <v>13803089.087066663</v>
      </c>
      <c r="N49" s="18"/>
      <c r="O49" s="41"/>
      <c r="P49" s="40"/>
    </row>
    <row r="50" spans="1:16" ht="12.75">
      <c r="A50" s="9"/>
      <c r="B50" s="20"/>
      <c r="C50" s="11"/>
      <c r="D50" s="15"/>
      <c r="E50" s="15"/>
      <c r="F50" s="15"/>
      <c r="G50" s="15"/>
      <c r="H50" s="63"/>
      <c r="I50" s="15"/>
      <c r="J50" s="15"/>
      <c r="K50" s="15"/>
      <c r="L50" s="15"/>
      <c r="M50" s="15"/>
      <c r="N50" s="18"/>
      <c r="O50" s="41"/>
      <c r="P50" s="40"/>
    </row>
    <row r="51" spans="1:16" ht="12.75">
      <c r="A51" s="9" t="s">
        <v>53</v>
      </c>
      <c r="B51" s="20"/>
      <c r="C51" s="11" t="s">
        <v>54</v>
      </c>
      <c r="D51" s="15">
        <v>0</v>
      </c>
      <c r="E51" s="23">
        <v>100000</v>
      </c>
      <c r="F51" s="23"/>
      <c r="G51" s="15">
        <f>D51+E51-F51</f>
        <v>100000</v>
      </c>
      <c r="H51" s="63"/>
      <c r="I51" s="15">
        <v>0</v>
      </c>
      <c r="J51" s="23"/>
      <c r="K51" s="23"/>
      <c r="L51" s="15">
        <f>I51+J51-K51</f>
        <v>0</v>
      </c>
      <c r="M51" s="15">
        <f>G51-L51</f>
        <v>100000</v>
      </c>
      <c r="N51" s="18"/>
      <c r="O51" s="41"/>
      <c r="P51" s="40"/>
    </row>
    <row r="52" spans="1:16" ht="12.75">
      <c r="A52" s="9"/>
      <c r="B52" s="20"/>
      <c r="C52" s="21" t="s">
        <v>55</v>
      </c>
      <c r="D52" s="22">
        <f>SUM(D49:D51)</f>
        <v>21245673.3849</v>
      </c>
      <c r="E52" s="22">
        <f>SUM(E49:E51)</f>
        <v>2199000</v>
      </c>
      <c r="F52" s="22">
        <f>SUM(F49:F51)</f>
        <v>0</v>
      </c>
      <c r="G52" s="22">
        <f>SUM(G49:G51)</f>
        <v>23444673.3849</v>
      </c>
      <c r="H52" s="63"/>
      <c r="I52" s="22">
        <f>SUM(I49:I51)</f>
        <v>8287170.413033331</v>
      </c>
      <c r="J52" s="22">
        <f>SUM(J49:J51)</f>
        <v>1254413.8848</v>
      </c>
      <c r="K52" s="22">
        <f>SUM(K49:K51)</f>
        <v>0</v>
      </c>
      <c r="L52" s="22">
        <f>SUM(L49:L51)</f>
        <v>9541584.297833335</v>
      </c>
      <c r="M52" s="22">
        <f>SUM(M49:M51)</f>
        <v>13903089.087066663</v>
      </c>
      <c r="N52" s="18"/>
      <c r="O52" s="41"/>
      <c r="P52" s="40"/>
    </row>
    <row r="53" spans="4:16" ht="12.75">
      <c r="D53" s="24"/>
      <c r="E53" s="24"/>
      <c r="F53" s="24"/>
      <c r="G53" s="24"/>
      <c r="H53" s="25"/>
      <c r="I53" s="25"/>
      <c r="J53" s="25"/>
      <c r="K53" s="25"/>
      <c r="L53" s="25"/>
      <c r="M53" s="25"/>
      <c r="P53" s="42"/>
    </row>
    <row r="54" spans="1:16" ht="12.75">
      <c r="A54" s="6"/>
      <c r="D54" s="24"/>
      <c r="E54" s="24"/>
      <c r="F54" s="24"/>
      <c r="G54" s="24"/>
      <c r="H54" s="56" t="s">
        <v>56</v>
      </c>
      <c r="I54" s="56"/>
      <c r="J54" s="56"/>
      <c r="K54" s="25"/>
      <c r="L54" s="25"/>
      <c r="M54" s="25"/>
      <c r="N54" s="18"/>
      <c r="O54" s="41"/>
      <c r="P54" s="42"/>
    </row>
    <row r="55" spans="1:16" ht="12.75">
      <c r="A55" s="10"/>
      <c r="B55" s="10">
        <f>B33</f>
        <v>1925</v>
      </c>
      <c r="C55" s="11" t="s">
        <v>57</v>
      </c>
      <c r="D55" s="24"/>
      <c r="E55" s="24"/>
      <c r="F55" s="24"/>
      <c r="G55" s="24"/>
      <c r="H55" s="56" t="s">
        <v>57</v>
      </c>
      <c r="I55" s="56"/>
      <c r="J55" s="26"/>
      <c r="K55" s="25"/>
      <c r="L55" s="27"/>
      <c r="M55" s="27"/>
      <c r="N55" s="28"/>
      <c r="O55" s="43"/>
      <c r="P55" s="42"/>
    </row>
    <row r="56" spans="1:15" ht="12.75">
      <c r="A56" s="10"/>
      <c r="B56" s="10">
        <f>B35</f>
        <v>1930</v>
      </c>
      <c r="C56" s="11" t="s">
        <v>39</v>
      </c>
      <c r="D56" s="24"/>
      <c r="E56" s="24"/>
      <c r="F56" s="24"/>
      <c r="G56" s="24"/>
      <c r="H56" s="56" t="s">
        <v>58</v>
      </c>
      <c r="I56" s="56"/>
      <c r="J56" s="26"/>
      <c r="K56" s="25"/>
      <c r="L56" s="25"/>
      <c r="M56" s="25"/>
      <c r="N56" s="28"/>
      <c r="O56" s="43"/>
    </row>
    <row r="57" spans="1:15" ht="13.5" thickBot="1">
      <c r="A57" s="6"/>
      <c r="D57" s="24"/>
      <c r="E57" s="24"/>
      <c r="F57" s="24"/>
      <c r="G57" s="24"/>
      <c r="H57" s="56" t="s">
        <v>59</v>
      </c>
      <c r="I57" s="56"/>
      <c r="J57" s="29">
        <f>J52-J55-J56</f>
        <v>1254413.8848</v>
      </c>
      <c r="K57" s="25"/>
      <c r="L57"/>
      <c r="M57" s="25"/>
      <c r="N57" s="30"/>
      <c r="O57" s="44"/>
    </row>
    <row r="58" spans="1:15" ht="13.5" thickTop="1">
      <c r="A58" s="6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30"/>
      <c r="O58" s="44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 s="2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 s="2"/>
    </row>
    <row r="62" spans="4:13" ht="12.75">
      <c r="D62" s="32"/>
      <c r="E62" s="32"/>
      <c r="F62" s="32"/>
      <c r="G62" s="32"/>
      <c r="H62" s="2"/>
      <c r="I62" s="2"/>
      <c r="J62" s="2"/>
      <c r="K62" s="2"/>
      <c r="L62" s="2"/>
      <c r="M62" s="2"/>
    </row>
    <row r="63" spans="4:13" ht="12.75">
      <c r="D63" s="32"/>
      <c r="E63" s="32"/>
      <c r="F63" s="32"/>
      <c r="G63" s="32"/>
      <c r="H63" s="2"/>
      <c r="I63" s="2"/>
      <c r="J63" s="2"/>
      <c r="K63" s="2"/>
      <c r="L63" s="2"/>
      <c r="M63" s="2"/>
    </row>
    <row r="64" spans="3:13" ht="12.75">
      <c r="C64" s="7"/>
      <c r="D64" s="1"/>
      <c r="E64" s="1"/>
      <c r="F64" s="1"/>
      <c r="G64" s="1"/>
      <c r="H64" s="2"/>
      <c r="I64" s="3"/>
      <c r="J64" s="3"/>
      <c r="K64" s="3"/>
      <c r="L64" s="3"/>
      <c r="M64" s="3"/>
    </row>
    <row r="65" spans="3:13" ht="12.75">
      <c r="C65" s="7"/>
      <c r="D65" s="1"/>
      <c r="E65" s="1"/>
      <c r="F65" s="1"/>
      <c r="G65" s="1"/>
      <c r="H65" s="2"/>
      <c r="I65" s="3"/>
      <c r="J65" s="3"/>
      <c r="K65" s="3"/>
      <c r="L65" s="3"/>
      <c r="M65" s="3"/>
    </row>
    <row r="66" spans="3:13" ht="12.75">
      <c r="C66" s="7"/>
      <c r="D66" s="1"/>
      <c r="E66" s="1"/>
      <c r="F66" s="1"/>
      <c r="G66" s="1"/>
      <c r="H66" s="2"/>
      <c r="I66" s="3"/>
      <c r="J66" s="3"/>
      <c r="K66" s="3"/>
      <c r="L66" s="3"/>
      <c r="M66" s="3"/>
    </row>
    <row r="67" spans="3:13" ht="12.75">
      <c r="C67" s="7"/>
      <c r="D67" s="1"/>
      <c r="E67" s="1"/>
      <c r="F67" s="1"/>
      <c r="G67" s="1"/>
      <c r="H67" s="2"/>
      <c r="I67" s="3"/>
      <c r="J67" s="3"/>
      <c r="K67" s="3"/>
      <c r="L67" s="3"/>
      <c r="M67" s="3"/>
    </row>
  </sheetData>
  <sheetProtection/>
  <mergeCells count="27">
    <mergeCell ref="A1:M1"/>
    <mergeCell ref="A2:M2"/>
    <mergeCell ref="A3:C3"/>
    <mergeCell ref="A4:C4"/>
    <mergeCell ref="A5:C5"/>
    <mergeCell ref="A8:A9"/>
    <mergeCell ref="B8:B9"/>
    <mergeCell ref="C8:C9"/>
    <mergeCell ref="D8:D9"/>
    <mergeCell ref="E8:E9"/>
    <mergeCell ref="L8:L9"/>
    <mergeCell ref="M8:M9"/>
    <mergeCell ref="H54:J54"/>
    <mergeCell ref="D7:G7"/>
    <mergeCell ref="I7:L7"/>
    <mergeCell ref="F8:F9"/>
    <mergeCell ref="G8:G9"/>
    <mergeCell ref="H8:H52"/>
    <mergeCell ref="H55:I55"/>
    <mergeCell ref="H56:I56"/>
    <mergeCell ref="H57:I57"/>
    <mergeCell ref="G4:K5"/>
    <mergeCell ref="I8:I9"/>
    <mergeCell ref="J8:J9"/>
    <mergeCell ref="K8:K9"/>
    <mergeCell ref="D6:G6"/>
    <mergeCell ref="I6:L6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 Ashby</dc:creator>
  <cp:keywords/>
  <dc:description/>
  <cp:lastModifiedBy>Jenn Theoret</cp:lastModifiedBy>
  <dcterms:created xsi:type="dcterms:W3CDTF">2012-03-19T18:49:12Z</dcterms:created>
  <dcterms:modified xsi:type="dcterms:W3CDTF">2012-03-28T13:34:39Z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-1466289542</vt:i4>
  </property>
  <property fmtid="{D5CDD505-2E9C-101B-9397-08002B2CF9AE}" pid="3" name="_NewReviewCycle">
    <vt:lpwstr/>
  </property>
  <property fmtid="{D5CDD505-2E9C-101B-9397-08002B2CF9AE}" pid="4" name="_EmailSubject">
    <vt:lpwstr>Lakefront - Board staff 2nd round IR#75 [IFRS (#1)]</vt:lpwstr>
  </property>
  <property fmtid="{D5CDD505-2E9C-101B-9397-08002B2CF9AE}" pid="5" name="_AuthorEmail">
    <vt:lpwstr>jtheoret@lusi.on.ca</vt:lpwstr>
  </property>
  <property fmtid="{D5CDD505-2E9C-101B-9397-08002B2CF9AE}" pid="6" name="_AuthorEmailDisplayName">
    <vt:lpwstr>Jennifer Theoret</vt:lpwstr>
  </property>
</Properties>
</file>