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<sst xmlns="http://schemas.openxmlformats.org/spreadsheetml/2006/main" count="882" uniqueCount="509">
  <si>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</si>
  <si>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</si>
  <si>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</si>
  <si>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</si>
  <si>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</si>
  <si>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</si>
  <si>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</si>
  <si>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</si>
  <si>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</si>
  <si>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</si>
  <si>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</si>
  <si>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</si>
  <si>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</si>
  <si>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</si>
  <si>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</si>
  <si>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</si>
  <si>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</si>
  <si>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</si>
  <si>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</si>
  <si>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</si>
  <si>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</si>
  <si>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</si>
  <si>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</si>
  <si>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</si>
  <si>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</si>
  <si>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</si>
  <si>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</si>
  <si>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</si>
  <si>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</si>
  <si>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</si>
  <si>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</si>
  <si>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</si>
  <si>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</si>
  <si>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</si>
  <si>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</si>
  <si>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</si>
  <si>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</si>
  <si>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</si>
  <si>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</si>
  <si>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</si>
  <si>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</si>
  <si>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</si>
  <si>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</si>
  <si>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</si>
  <si>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</si>
  <si>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</si>
  <si>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</si>
  <si>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</si>
  <si>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</si>
  <si>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</si>
  <si>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</si>
  <si>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</si>
  <si>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</si>
  <si>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</si>
  <si>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</si>
  <si>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</si>
  <si>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</si>
  <si>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</si>
  <si>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</si>
  <si>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</si>
  <si>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</si>
  <si>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</si>
  <si>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</si>
  <si>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</si>
  <si>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</si>
  <si>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</si>
  <si>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</si>
  <si>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</si>
  <si>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</si>
  <si>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</si>
  <si>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</si>
  <si>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</si>
  <si>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</si>
  <si>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</si>
  <si>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</si>
  <si>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</si>
  <si>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</si>
  <si>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</si>
  <si>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</si>
  <si>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</si>
  <si>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</si>
  <si>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</si>
  <si>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</si>
  <si>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</si>
  <si>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</si>
  <si>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</si>
  <si>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</si>
  <si>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</si>
  <si>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</si>
  <si>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</si>
  <si>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</si>
  <si>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</si>
  <si>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</si>
  <si>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</si>
  <si>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</si>
  <si>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</si>
  <si>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</si>
  <si>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</si>
  <si>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</si>
  <si>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</si>
  <si>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</si>
  <si>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</si>
  <si>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</si>
  <si>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</si>
  <si>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</si>
  <si>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</si>
  <si>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</si>
  <si>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</si>
  <si>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</si>
  <si>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</si>
  <si>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</si>
  <si>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</si>
  <si>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</si>
  <si>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</si>
  <si>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</si>
  <si>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</si>
  <si>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</si>
  <si>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</si>
  <si>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</si>
  <si>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</si>
  <si>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</si>
  <si>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</si>
  <si>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</si>
  <si>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</si>
  <si>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</si>
  <si>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</si>
  <si>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</si>
  <si>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</si>
  <si>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</si>
  <si>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</si>
  <si>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</si>
  <si>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</si>
  <si>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</si>
  <si>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</si>
  <si>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</si>
  <si>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</si>
  <si>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</si>
  <si>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</si>
  <si>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</si>
  <si>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</si>
  <si>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</si>
  <si>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</si>
  <si>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</si>
  <si>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</si>
  <si>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</si>
  <si>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</si>
  <si>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</si>
  <si>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</si>
  <si>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</si>
  <si>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</si>
  <si>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</si>
  <si>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</si>
  <si>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</si>
  <si>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</si>
  <si>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</si>
  <si>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</si>
  <si>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</si>
  <si>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</si>
  <si>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</si>
  <si>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</si>
  <si>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</si>
  <si>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</si>
  <si>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</si>
  <si>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</si>
  <si>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</si>
  <si>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</si>
  <si>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</si>
  <si>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</si>
  <si>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</si>
  <si>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</si>
  <si>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</si>
  <si>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</si>
  <si>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</si>
  <si>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</si>
  <si>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</si>
  <si>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</si>
  <si>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</si>
  <si>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</si>
  <si>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</si>
  <si>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</si>
  <si>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</si>
  <si>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</si>
  <si>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</si>
  <si>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</si>
  <si>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</si>
  <si>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</si>
  <si>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</si>
  <si>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</si>
  <si>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</si>
  <si>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</si>
  <si>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</si>
  <si>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</si>
  <si>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</si>
  <si>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</si>
  <si>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</si>
  <si>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</si>
  <si>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</si>
  <si>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</si>
  <si>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</si>
  <si>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</si>
  <si>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</si>
  <si>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</si>
  <si>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</si>
  <si>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</si>
  <si>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</si>
  <si>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</si>
  <si>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</si>
  <si>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</si>
  <si>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</si>
  <si>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</si>
  <si>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</si>
  <si>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</si>
  <si>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</si>
  <si>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</si>
  <si>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</si>
  <si>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</si>
  <si>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</si>
  <si>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</si>
  <si>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</si>
  <si>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</si>
  <si>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</si>
  <si>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</si>
  <si>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</si>
  <si>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</si>
  <si>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</si>
  <si>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</si>
  <si>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</si>
  <si>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</si>
  <si>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</si>
  <si>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</si>
  <si>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</si>
  <si>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</si>
  <si>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</si>
  <si>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</si>
  <si>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</si>
  <si>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</si>
  <si>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</si>
  <si>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</si>
  <si>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</si>
  <si>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</si>
  <si>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</si>
  <si>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</si>
  <si>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</si>
  <si>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</si>
  <si>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</si>
  <si>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</si>
  <si>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</si>
  <si>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</si>
  <si>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</si>
  <si>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</si>
  <si>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</si>
  <si>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</si>
  <si>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</si>
  <si>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</si>
  <si>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</si>
  <si>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</si>
  <si>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</si>
  <si>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</si>
  <si>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</si>
  <si>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</si>
  <si>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</si>
  <si>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</si>
  <si>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</si>
  <si>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</si>
  <si>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</si>
  <si>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</si>
  <si>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</si>
  <si>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</si>
  <si>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</si>
  <si>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</si>
  <si>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</si>
  <si>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</si>
  <si>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</si>
  <si>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</si>
  <si>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</si>
  <si>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</si>
  <si>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</si>
  <si>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</si>
  <si>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</si>
  <si>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</si>
  <si>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</si>
  <si>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</si>
  <si>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</si>
  <si>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</si>
  <si>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</si>
  <si>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</si>
  <si>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</si>
  <si>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</si>
  <si>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</si>
  <si>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</si>
  <si>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</si>
  <si>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</si>
  <si>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</si>
  <si>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</si>
  <si>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</si>
  <si>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</si>
  <si>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</si>
  <si>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</si>
  <si>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</si>
  <si>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</si>
  <si>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</si>
  <si>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</si>
  <si>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</si>
  <si>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</si>
  <si>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</si>
  <si>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</si>
  <si>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</si>
  <si>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</si>
  <si>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</si>
  <si>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</si>
  <si>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</si>
  <si>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</si>
  <si>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</si>
  <si>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</si>
  <si>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</si>
  <si>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</si>
  <si>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</si>
  <si>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</si>
  <si>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</si>
  <si>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</si>
  <si>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</si>
  <si>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</si>
  <si>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</si>
  <si>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</si>
  <si>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</si>
  <si>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</si>
  <si>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</si>
  <si>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</si>
  <si>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</si>
  <si>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</si>
  <si>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</si>
  <si>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</si>
  <si>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</si>
  <si>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</si>
  <si>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</si>
  <si>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</si>
  <si>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</si>
  <si>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</si>
  <si>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</si>
  <si>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</si>
  <si>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</si>
  <si>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</si>
  <si>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</si>
  <si>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</si>
  <si>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</si>
  <si>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</si>
  <si>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</si>
  <si>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</si>
  <si>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</si>
  <si>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</si>
  <si>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</si>
  <si>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</si>
  <si>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</si>
  <si>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</si>
  <si>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</si>
  <si>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</si>
  <si>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</si>
  <si>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</si>
  <si>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</si>
  <si>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</si>
  <si>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</si>
  <si>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</si>
  <si>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</si>
  <si>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</si>
  <si>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</si>
  <si>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</si>
  <si>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</si>
  <si>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</si>
  <si>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</si>
  <si>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</si>
  <si>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</si>
  <si>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</si>
  <si>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</si>
  <si>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</si>
  <si>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</si>
  <si>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</si>
  <si>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</si>
  <si>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</si>
  <si>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</si>
  <si>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</si>
  <si>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</si>
  <si>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</si>
  <si>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</si>
  <si>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</si>
  <si>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</si>
  <si>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</si>
  <si>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</si>
  <si>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</si>
  <si>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</si>
  <si>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</si>
  <si>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</si>
  <si>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</si>
  <si>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</si>
  <si>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</si>
  <si>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</si>
  <si>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</si>
  <si>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</si>
  <si>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</si>
  <si>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</si>
  <si>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</si>
  <si>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</si>
  <si>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</si>
  <si>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</si>
  <si>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</si>
  <si>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</si>
  <si>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</si>
  <si>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</si>
  <si>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</si>
  <si>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</si>
  <si>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</si>
  <si>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</si>
  <si>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</si>
  <si>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</si>
  <si>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</si>
  <si>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</si>
  <si>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</si>
  <si>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</si>
  <si>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</si>
  <si>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</si>
  <si>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</si>
  <si>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</si>
  <si>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</si>
  <si>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</si>
  <si>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</si>
  <si>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</si>
  <si>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</si>
  <si>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</si>
  <si>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</si>
  <si>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</si>
  <si>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</si>
  <si>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</si>
  <si>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</si>
  <si>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</si>
  <si>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</si>
  <si>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</si>
  <si>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</si>
  <si>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</si>
  <si>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</si>
  <si>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</si>
  <si>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</si>
  <si>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</si>
  <si>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</si>
  <si>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</si>
  <si>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</si>
  <si>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</si>
  <si>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</si>
  <si>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</si>
  <si>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</si>
  <si>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</si>
  <si>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</si>
  <si>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</si>
  <si>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</si>
  <si>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</si>
  <si>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</si>
  <si>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</si>
  <si>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</si>
  <si>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</si>
  <si>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</si>
  <si>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</si>
  <si>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</si>
  <si>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</si>
  <si>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</si>
  <si>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</si>
  <si>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</si>
  <si>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</si>
  <si>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</si>
  <si>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</si>
  <si>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</si>
  <si>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</si>
  <si>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</si>
  <si>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</si>
  <si>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</si>
  <si>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</si>
  <si>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</si>
  <si>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</si>
  <si>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</si>
  <si>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</si>
  <si>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</si>
  <si>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</si>
  <si>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</si>
  <si>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</si>
  <si>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</si>
  <si>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</si>
  <si>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</si>
  <si>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</si>
  <si>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</si>
  <si>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</si>
  <si>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</si>
  <si>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</si>
  <si>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</si>
  <si>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</si>
  <si>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</si>
  <si>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</si>
  <si>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</si>
  <si>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</si>
  <si>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</si>
  <si>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</si>
  <si>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</si>
  <si>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</si>
  <si>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</si>
  <si>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Reassessment</t>
  </si>
  <si>
    <t>Statement of Adjustments</t>
  </si>
  <si>
    <t>Actual Interest Paid</t>
  </si>
  <si>
    <t>Utility Name: St. Catharines Hydro Utility Services Inc.</t>
  </si>
  <si>
    <t>Y</t>
  </si>
  <si>
    <t>N</t>
  </si>
  <si>
    <t>,</t>
  </si>
  <si>
    <t xml:space="preserve">   Power cost subsidy denied by OEB, including interest</t>
  </si>
  <si>
    <t xml:space="preserve">PILs TAXES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</si>
</sst>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9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45" borderId="0" xfId="0" applyNumberFormat="1" applyFill="1" applyAlignment="1">
      <alignment/>
    </xf>
    <xf numFmtId="3" fontId="0" fillId="45" borderId="56" xfId="0" applyNumberFormat="1" applyFill="1" applyBorder="1" applyAlignment="1" applyProtection="1">
      <alignment/>
      <protection/>
    </xf>
    <xf numFmtId="3" fontId="0" fillId="45" borderId="0" xfId="0" applyNumberFormat="1" applyFill="1" applyAlignment="1" applyProtection="1">
      <alignment/>
      <protection/>
    </xf>
    <xf numFmtId="3" fontId="0" fillId="45" borderId="59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508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503</v>
      </c>
      <c r="C3" s="8"/>
      <c r="D3" s="455" t="s">
        <v>447</v>
      </c>
      <c r="E3" s="8"/>
      <c r="F3" s="8"/>
      <c r="G3" s="8"/>
      <c r="H3" s="8"/>
    </row>
    <row r="4" spans="1:8" ht="12.75">
      <c r="A4" s="2" t="s">
        <v>481</v>
      </c>
      <c r="C4" s="8"/>
      <c r="D4" s="454" t="s">
        <v>442</v>
      </c>
      <c r="E4" s="429"/>
      <c r="H4" s="8"/>
    </row>
    <row r="5" spans="1:8" ht="12.75">
      <c r="A5" s="52"/>
      <c r="C5" s="8"/>
      <c r="D5" s="453" t="s">
        <v>443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2" t="s">
        <v>504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2" t="s">
        <v>505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2" t="s">
        <v>506</v>
      </c>
    </row>
    <row r="18" spans="1:4" ht="15" customHeight="1">
      <c r="A18" s="390" t="s">
        <v>315</v>
      </c>
      <c r="C18" s="8"/>
      <c r="D18" s="8"/>
    </row>
    <row r="19" spans="1:4" ht="15" customHeight="1">
      <c r="A19" s="500" t="s">
        <v>316</v>
      </c>
      <c r="B19" s="8" t="s">
        <v>313</v>
      </c>
      <c r="C19" s="8" t="s">
        <v>64</v>
      </c>
      <c r="D19" s="493" t="s">
        <v>504</v>
      </c>
    </row>
    <row r="20" spans="1:4" ht="13.5" thickBot="1">
      <c r="A20" s="501"/>
      <c r="B20" s="8" t="s">
        <v>314</v>
      </c>
      <c r="C20" s="8" t="s">
        <v>64</v>
      </c>
      <c r="D20" s="492" t="s">
        <v>504</v>
      </c>
    </row>
    <row r="21" spans="1:4" ht="12.75">
      <c r="A21" s="500" t="s">
        <v>312</v>
      </c>
      <c r="B21" s="8" t="s">
        <v>313</v>
      </c>
      <c r="C21" s="8"/>
      <c r="D21" s="424">
        <v>1</v>
      </c>
    </row>
    <row r="22" spans="1:4" ht="12.75">
      <c r="A22" s="500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482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64127964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5492560.1166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5492560.1166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1830853</v>
      </c>
      <c r="E47" s="388">
        <f aca="true" t="shared" si="0" ref="E47:E53">D47</f>
        <v>1830853</v>
      </c>
      <c r="H47" s="40"/>
      <c r="J47" s="5"/>
      <c r="K47" s="5"/>
    </row>
    <row r="48" spans="1:11" ht="12.75">
      <c r="A48" t="s">
        <v>290</v>
      </c>
      <c r="D48" s="427">
        <v>1830853</v>
      </c>
      <c r="E48" s="388">
        <f>D48</f>
        <v>1830853</v>
      </c>
      <c r="F48" s="22"/>
      <c r="H48" s="40"/>
      <c r="J48" s="5"/>
      <c r="K48" s="5"/>
    </row>
    <row r="49" spans="1:11" ht="12.75">
      <c r="A49" t="s">
        <v>291</v>
      </c>
      <c r="D49" s="428"/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462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3661706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32063982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3167921.4216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32063982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2324638.695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774879.4074722708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1549758.8149445415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1549758.8149445415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2324638.695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8386458333333333" bottom="0.35433070866141736" header="0.1968503937007874" footer="0"/>
  <pageSetup fitToHeight="1" fitToWidth="1" horizontalDpi="600" verticalDpi="600" orientation="portrait" scale="83" r:id="rId1"/>
  <headerFooter alignWithMargins="0">
    <oddHeader>&amp;R&amp;8Horizon Utilities Corporation
Disposition of Account 1562 Deferred PILS
EB-2012-0005
Appendix C-3-3
Filed:  March 28, 2012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Layout" zoomScaleNormal="90" workbookViewId="0" topLeftCell="A1">
      <selection activeCell="E10" sqref="E1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St. Catharines Hydro Utility Services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3661706</v>
      </c>
      <c r="D16" s="17"/>
      <c r="E16" s="267">
        <f>G16-C16</f>
        <v>602056</v>
      </c>
      <c r="F16" s="3"/>
      <c r="G16" s="267">
        <f>TAXREC!E50</f>
        <v>4263762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3496843</v>
      </c>
      <c r="D20" s="18"/>
      <c r="E20" s="267">
        <f>G20-C20</f>
        <v>500479</v>
      </c>
      <c r="F20" s="6"/>
      <c r="G20" s="267">
        <f>TAXREC!E61</f>
        <v>3997322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143260</v>
      </c>
      <c r="D24" s="18"/>
      <c r="E24" s="267">
        <f>G24-C24</f>
        <v>-143260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2" t="s">
        <v>395</v>
      </c>
      <c r="B30" s="127"/>
      <c r="C30" s="259"/>
      <c r="D30" s="18"/>
      <c r="E30" s="267">
        <f>G30-C30</f>
        <v>1805491</v>
      </c>
      <c r="F30" s="6"/>
      <c r="G30" s="267">
        <f>TAXREC!E66</f>
        <v>1805491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2446091</v>
      </c>
      <c r="D33" s="132"/>
      <c r="E33" s="267">
        <f aca="true" t="shared" si="0" ref="E33:E42">G33-C33</f>
        <v>1553361</v>
      </c>
      <c r="F33" s="6"/>
      <c r="G33" s="267">
        <f>TAXREC!E97+TAXREC!E98</f>
        <v>3999452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70204</v>
      </c>
      <c r="F34" s="6"/>
      <c r="G34" s="267">
        <f>TAXREC!E99</f>
        <v>70204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1549758.8149445415</v>
      </c>
      <c r="D37" s="132"/>
      <c r="E37" s="267">
        <f t="shared" si="0"/>
        <v>-29429.814944541547</v>
      </c>
      <c r="F37" s="6"/>
      <c r="G37" s="267">
        <f>TAXREC!E51</f>
        <v>1520329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395</v>
      </c>
      <c r="B48" s="127"/>
      <c r="C48" s="259"/>
      <c r="D48" s="132"/>
      <c r="E48" s="267">
        <f>G48-C48</f>
        <v>318597</v>
      </c>
      <c r="F48" s="6"/>
      <c r="G48" s="251">
        <f>TAXREC!E108</f>
        <v>318597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3305959.1850554585</v>
      </c>
      <c r="D50" s="102"/>
      <c r="E50" s="263">
        <f>E16+SUM(E20:E30)-SUM(E33:E48)</f>
        <v>852033.8149445415</v>
      </c>
      <c r="F50" s="432" t="s">
        <v>367</v>
      </c>
      <c r="G50" s="263">
        <f>G16+SUM(G20:G30)-SUM(G33:G48)</f>
        <v>4157993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-0.019999978739742907</v>
      </c>
      <c r="F53" s="114"/>
      <c r="G53" s="473">
        <f>TAXREC!E151</f>
        <v>0.3662000212602571</v>
      </c>
      <c r="H53" s="151"/>
      <c r="I53" s="470" t="s">
        <v>475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1276761.437268418</v>
      </c>
      <c r="D55" s="102"/>
      <c r="E55" s="267">
        <f>G55-C55</f>
        <v>245895.56273158197</v>
      </c>
      <c r="F55" s="432" t="s">
        <v>368</v>
      </c>
      <c r="G55" s="264">
        <f>TAXREC!E144</f>
        <v>1522657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1276761.437268418</v>
      </c>
      <c r="D60" s="133"/>
      <c r="E60" s="269">
        <f>+E55-E58</f>
        <v>245895.56273158197</v>
      </c>
      <c r="F60" s="432" t="s">
        <v>368</v>
      </c>
      <c r="G60" s="269">
        <f>+G55-G58</f>
        <v>1522657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64127964</v>
      </c>
      <c r="D66" s="102"/>
      <c r="E66" s="267">
        <f>G66-C66</f>
        <v>9373089</v>
      </c>
      <c r="F66" s="6"/>
      <c r="G66" s="475">
        <v>73501053</v>
      </c>
      <c r="H66" s="151"/>
      <c r="I66" s="476" t="s">
        <v>476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-1047721</v>
      </c>
      <c r="F67" s="6"/>
      <c r="G67" s="267">
        <v>3952279</v>
      </c>
      <c r="H67" s="151"/>
      <c r="I67" s="476" t="s">
        <v>476</v>
      </c>
      <c r="J67" s="477" t="s">
        <v>477</v>
      </c>
    </row>
    <row r="68" spans="1:8" ht="12.75">
      <c r="A68" s="152" t="s">
        <v>42</v>
      </c>
      <c r="B68" s="125"/>
      <c r="C68" s="264">
        <f>IF((C66-C67)&gt;0,C66-C67,0)</f>
        <v>59127964</v>
      </c>
      <c r="D68" s="102"/>
      <c r="E68" s="267">
        <f>SUM(E66:E67)</f>
        <v>8325368</v>
      </c>
      <c r="F68" s="114"/>
      <c r="G68" s="264">
        <f>G66-G67</f>
        <v>69548774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177383.892</v>
      </c>
      <c r="D72" s="101"/>
      <c r="E72" s="267">
        <f>+G72-C72</f>
        <v>31262.430000000022</v>
      </c>
      <c r="F72" s="478"/>
      <c r="G72" s="264">
        <f>IF(G68&gt;0,G68*G70,0)*REGINFO!$B$6/REGINFO!$B$7</f>
        <v>208646.32200000001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64127964</v>
      </c>
      <c r="D75" s="102"/>
      <c r="E75" s="267">
        <f>+G75-C75</f>
        <v>9788369</v>
      </c>
      <c r="F75" s="6"/>
      <c r="G75" s="475">
        <v>73916333</v>
      </c>
      <c r="H75" s="151"/>
      <c r="I75" s="476" t="s">
        <v>476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Rates'!C58</f>
        <v>10000000</v>
      </c>
      <c r="H76" s="151"/>
      <c r="I76" s="476" t="s">
        <v>476</v>
      </c>
    </row>
    <row r="77" spans="1:8" ht="12.75">
      <c r="A77" s="152" t="s">
        <v>42</v>
      </c>
      <c r="B77" s="125"/>
      <c r="C77" s="264">
        <f>IF((C75-C76)&gt;0,C75-C76,0)</f>
        <v>54127964</v>
      </c>
      <c r="D77" s="19"/>
      <c r="E77" s="267">
        <f>SUM(E75:E76)</f>
        <v>9788369</v>
      </c>
      <c r="F77" s="114"/>
      <c r="G77" s="264">
        <f>G75-G76</f>
        <v>63916333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121787.91899999998</v>
      </c>
      <c r="D81" s="102"/>
      <c r="E81" s="267">
        <f>+G81-C81</f>
        <v>22023.830250000014</v>
      </c>
      <c r="F81" s="6"/>
      <c r="G81" s="264">
        <f>G77*G79*B9/B10</f>
        <v>143811.74925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37026.74287262114</v>
      </c>
      <c r="D82" s="102"/>
      <c r="E82" s="267">
        <f>+G82-C82</f>
        <v>-37026.74287262114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84761.17612737884</v>
      </c>
      <c r="D84" s="16"/>
      <c r="E84" s="267">
        <f>E81-E82</f>
        <v>59050.57312262115</v>
      </c>
      <c r="F84" s="103"/>
      <c r="G84" s="264">
        <f>G81-G82</f>
        <v>143811.74925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2042818.299629469</v>
      </c>
      <c r="D90" s="20"/>
      <c r="E90" s="139"/>
      <c r="F90" s="431" t="s">
        <v>483</v>
      </c>
      <c r="G90" s="270">
        <f>TAXREC!E156</f>
        <v>1522657</v>
      </c>
      <c r="H90" s="151"/>
    </row>
    <row r="91" spans="1:8" ht="12.75">
      <c r="A91" s="158" t="s">
        <v>370</v>
      </c>
      <c r="B91" s="127">
        <v>23</v>
      </c>
      <c r="C91" s="264">
        <f>C84/(1-C88)</f>
        <v>135617.88180380614</v>
      </c>
      <c r="D91" s="20"/>
      <c r="E91" s="139"/>
      <c r="F91" s="431" t="s">
        <v>483</v>
      </c>
      <c r="G91" s="270">
        <f>TAXREC!E158</f>
        <v>97242</v>
      </c>
      <c r="H91" s="151"/>
    </row>
    <row r="92" spans="1:8" ht="12.75">
      <c r="A92" s="158" t="s">
        <v>348</v>
      </c>
      <c r="B92" s="127">
        <v>24</v>
      </c>
      <c r="C92" s="264">
        <f>C72</f>
        <v>177383.892</v>
      </c>
      <c r="D92" s="20"/>
      <c r="E92" s="139"/>
      <c r="F92" s="431" t="s">
        <v>483</v>
      </c>
      <c r="G92" s="270">
        <f>TAXREC!E157</f>
        <v>208646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484</v>
      </c>
      <c r="B95" s="125">
        <v>25</v>
      </c>
      <c r="C95" s="269">
        <f>SUM(C90:C93)</f>
        <v>2355820.073433275</v>
      </c>
      <c r="D95" s="6"/>
      <c r="E95" s="139"/>
      <c r="F95" s="431" t="s">
        <v>483</v>
      </c>
      <c r="G95" s="414">
        <f>SUM(G90:G94)</f>
        <v>1828545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-143260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70204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493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-213464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231</v>
      </c>
      <c r="E122" s="469">
        <f>+'Tax Rates'!F52</f>
        <v>0.36619999999999997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-78170.5168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-78170.5168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-121194.59968992247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3305959.1850554585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1210642.253567309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1210642.253567309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1276761.437268418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-66119.18370110914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64127964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59127964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177383.892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177383.892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64127964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54127964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121787.91899999998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37026.74287262114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84761.17612737884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84761.17612737884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0.355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-102510.36232730099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-102510.36232730099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492</v>
      </c>
      <c r="B183" s="130"/>
      <c r="C183" s="112"/>
      <c r="D183" s="119" t="s">
        <v>187</v>
      </c>
      <c r="E183" s="485">
        <f>E132</f>
        <v>-121194.59968992247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-223704.96201722347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2324638.695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1549758.8149445415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774879.8800554583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1520329</v>
      </c>
      <c r="F201" s="3"/>
      <c r="G201" s="489"/>
      <c r="H201" s="164"/>
    </row>
    <row r="202" spans="1:8" ht="12.75">
      <c r="A202" s="155" t="s">
        <v>502</v>
      </c>
      <c r="B202" s="127"/>
      <c r="C202" s="112"/>
      <c r="D202" s="120"/>
      <c r="E202" s="488">
        <f>E193</f>
        <v>2324638.695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494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774879.8800554583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386458333333333" bottom="0.35433070866141736" header="0.1968503937007874" footer="0"/>
  <pageSetup fitToHeight="3" horizontalDpi="600" verticalDpi="600" orientation="portrait" scale="83" r:id="rId1"/>
  <headerFooter alignWithMargins="0">
    <oddHeader>&amp;R&amp;8Horizon Utilities Corporation
Disposition of Account 1562 Deferred PILS
EB-2012-0005
Appendix C-3-3
Filed:  March 28, 2012</oddHeader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St. Catharines Hydro Utility Services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80160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4" t="s">
        <v>504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94" t="s">
        <v>505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494" t="s">
        <v>505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94" t="s">
        <v>505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106156470</v>
      </c>
      <c r="D32" s="286"/>
      <c r="E32" s="284">
        <f>C32-D32</f>
        <v>106156470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517517</v>
      </c>
      <c r="D33" s="286"/>
      <c r="E33" s="284">
        <f>C33-D33</f>
        <v>517517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916221</v>
      </c>
      <c r="D34" s="286"/>
      <c r="E34" s="284">
        <f>C34-D34</f>
        <v>916221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89043752</v>
      </c>
      <c r="D39" s="286"/>
      <c r="E39" s="284">
        <f>C39-D39</f>
        <v>89043752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1333144</v>
      </c>
      <c r="D40" s="286"/>
      <c r="E40" s="284">
        <f aca="true" t="shared" si="0" ref="E40:E48">C40-D40</f>
        <v>1333144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2588313</v>
      </c>
      <c r="D41" s="286"/>
      <c r="E41" s="284">
        <f t="shared" si="0"/>
        <v>2588313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4543469</v>
      </c>
      <c r="D42" s="286"/>
      <c r="E42" s="284">
        <f t="shared" si="0"/>
        <v>4543469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3997322</v>
      </c>
      <c r="D43" s="286"/>
      <c r="E43" s="284">
        <f t="shared" si="0"/>
        <v>3997322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208430</v>
      </c>
      <c r="D44" s="286"/>
      <c r="E44" s="284">
        <f t="shared" si="0"/>
        <v>208430</v>
      </c>
      <c r="F44" s="11"/>
      <c r="G44" s="11"/>
      <c r="H44" s="6"/>
      <c r="I44" s="6"/>
    </row>
    <row r="45" spans="1:11" ht="12.75">
      <c r="A45" s="416" t="s">
        <v>498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95" t="s">
        <v>507</v>
      </c>
      <c r="B46" s="23" t="s">
        <v>188</v>
      </c>
      <c r="C46" s="285">
        <v>1612016</v>
      </c>
      <c r="D46" s="286"/>
      <c r="E46" s="284">
        <f t="shared" si="0"/>
        <v>1612016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4263762</v>
      </c>
      <c r="D50" s="281">
        <f>SUM(D31:D36)-SUM(D39:D49)</f>
        <v>0</v>
      </c>
      <c r="E50" s="281">
        <f>SUM(E31:E35)-SUM(E39:E48)</f>
        <v>4263762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1520329</v>
      </c>
      <c r="D51" s="285"/>
      <c r="E51" s="282">
        <f>+C51-D51</f>
        <v>1520329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374998</v>
      </c>
      <c r="D52" s="285"/>
      <c r="E52" s="283">
        <f>+C52-D52</f>
        <v>374998</v>
      </c>
      <c r="F52" s="8"/>
      <c r="G52" s="416" t="s">
        <v>496</v>
      </c>
    </row>
    <row r="53" spans="1:6" ht="12.75">
      <c r="A53" s="2" t="s">
        <v>131</v>
      </c>
      <c r="B53" s="8" t="s">
        <v>189</v>
      </c>
      <c r="C53" s="281">
        <f>C50-C51-C52</f>
        <v>2368435</v>
      </c>
      <c r="D53" s="281">
        <f>D50-D51-D52</f>
        <v>0</v>
      </c>
      <c r="E53" s="281">
        <f>E50-E51-E52</f>
        <v>2368435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374998</v>
      </c>
      <c r="D59" s="287">
        <f>D52</f>
        <v>0</v>
      </c>
      <c r="E59" s="272">
        <f>+C59-D59</f>
        <v>374998</v>
      </c>
      <c r="F59" s="8"/>
      <c r="G59" s="416" t="s">
        <v>497</v>
      </c>
    </row>
    <row r="60" spans="1:7" ht="12.75">
      <c r="A60" s="4" t="s">
        <v>327</v>
      </c>
      <c r="B60" s="8" t="s">
        <v>187</v>
      </c>
      <c r="C60" s="318"/>
      <c r="D60" s="318"/>
      <c r="E60" s="272">
        <f>+C60-D60</f>
        <v>0</v>
      </c>
      <c r="F60" s="8"/>
      <c r="G60" t="s">
        <v>501</v>
      </c>
    </row>
    <row r="61" spans="1:7" ht="12.75">
      <c r="A61" t="s">
        <v>4</v>
      </c>
      <c r="B61" s="8" t="s">
        <v>187</v>
      </c>
      <c r="C61" s="287">
        <f>C43</f>
        <v>3997322</v>
      </c>
      <c r="D61" s="287">
        <f>D43</f>
        <v>0</v>
      </c>
      <c r="E61" s="272">
        <f>+C61-D61</f>
        <v>3997322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395</v>
      </c>
      <c r="B66" s="8"/>
      <c r="C66" s="447">
        <f>'TAXREC 3 No True-up'!C47</f>
        <v>1805491</v>
      </c>
      <c r="D66" s="447">
        <f>'TAXREC 3 No True-up'!D47</f>
        <v>0</v>
      </c>
      <c r="E66" s="272">
        <f>+C66-D66</f>
        <v>1805491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6177811</v>
      </c>
      <c r="D70" s="272">
        <f>SUM(D59:D68)</f>
        <v>0</v>
      </c>
      <c r="E70" s="272">
        <f>SUM(E59:E68)</f>
        <v>6177811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6177811</v>
      </c>
      <c r="D82" s="251">
        <f>D70+D80</f>
        <v>0</v>
      </c>
      <c r="E82" s="251">
        <f>E70+E80</f>
        <v>6177811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3999452</v>
      </c>
      <c r="D97" s="294"/>
      <c r="E97" s="272">
        <f>+C97-D97</f>
        <v>3999452</v>
      </c>
      <c r="F97" s="8"/>
      <c r="G97" s="45" t="s">
        <v>500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70204</v>
      </c>
      <c r="D99" s="294"/>
      <c r="E99" s="272">
        <f>+C99-D99</f>
        <v>70204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395</v>
      </c>
      <c r="B108" s="8"/>
      <c r="C108" s="254">
        <f>'TAXREC 3 No True-up'!C73</f>
        <v>318597</v>
      </c>
      <c r="D108" s="254">
        <f>'TAXREC 3 No True-up'!D73</f>
        <v>0</v>
      </c>
      <c r="E108" s="272">
        <f t="shared" si="5"/>
        <v>318597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4388253</v>
      </c>
      <c r="D113" s="251">
        <f>SUM(D97:D111)</f>
        <v>0</v>
      </c>
      <c r="E113" s="251">
        <f>SUM(E97:E111)</f>
        <v>4388253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4388253</v>
      </c>
      <c r="D122" s="251">
        <f>D113+D120</f>
        <v>0</v>
      </c>
      <c r="E122" s="251">
        <f>+E113+E120</f>
        <v>4388253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4157993</v>
      </c>
      <c r="D134" s="251">
        <f>D53+D82-D122</f>
        <v>0</v>
      </c>
      <c r="E134" s="251">
        <f>E53+E82-E122</f>
        <v>4157993</v>
      </c>
      <c r="F134" s="8"/>
      <c r="G134" s="45"/>
      <c r="H134" s="45"/>
      <c r="I134" s="30">
        <f>C134</f>
        <v>4157993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87">
        <f>I134-I135</f>
        <v>1841487</v>
      </c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4157993</v>
      </c>
      <c r="D139" s="252">
        <f>D134-D136-D137-D138</f>
        <v>0</v>
      </c>
      <c r="E139" s="252">
        <f>E134-E136-E137-E138</f>
        <v>4157993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1002908</v>
      </c>
      <c r="D142" s="298"/>
      <c r="E142" s="252">
        <f>C142-D142</f>
        <v>1002908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519749</v>
      </c>
      <c r="D143" s="298"/>
      <c r="E143" s="292">
        <f>C143-D143</f>
        <v>519749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1522657</v>
      </c>
      <c r="D144" s="252">
        <f>D142+D143</f>
        <v>0</v>
      </c>
      <c r="E144" s="252">
        <f>E142+E143</f>
        <v>1522657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1522657</v>
      </c>
      <c r="D146" s="252">
        <f>D144-D145</f>
        <v>0</v>
      </c>
      <c r="E146" s="252">
        <f>E144-E145</f>
        <v>1522657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0.24120002126025705</v>
      </c>
      <c r="D149" s="5"/>
      <c r="E149" s="406">
        <f>C149</f>
        <v>0.24120002126025705</v>
      </c>
      <c r="F149" s="8"/>
      <c r="G149" s="484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v>0.125</v>
      </c>
      <c r="D150" s="491"/>
      <c r="E150" s="406">
        <f>C150</f>
        <v>0.125</v>
      </c>
      <c r="F150" s="8"/>
      <c r="G150" s="484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0.3662000212602571</v>
      </c>
      <c r="D151" s="5"/>
      <c r="E151" s="406">
        <f>SUM(E149:E150)</f>
        <v>0.3662000212602571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480</v>
      </c>
      <c r="B155" s="8"/>
    </row>
    <row r="156" spans="1:5" ht="12.75">
      <c r="A156" t="s">
        <v>219</v>
      </c>
      <c r="B156" s="86" t="s">
        <v>187</v>
      </c>
      <c r="C156" s="251">
        <f>C146</f>
        <v>1522657</v>
      </c>
      <c r="D156" s="251">
        <f>D146</f>
        <v>0</v>
      </c>
      <c r="E156" s="251">
        <f>E146</f>
        <v>1522657</v>
      </c>
    </row>
    <row r="157" spans="1:5" ht="12.75">
      <c r="A157" t="s">
        <v>20</v>
      </c>
      <c r="B157" s="86" t="s">
        <v>187</v>
      </c>
      <c r="C157" s="480">
        <v>208646</v>
      </c>
      <c r="D157" s="251"/>
      <c r="E157" s="251">
        <f>C157+D157</f>
        <v>208646</v>
      </c>
    </row>
    <row r="158" spans="1:5" ht="12.75">
      <c r="A158" t="s">
        <v>218</v>
      </c>
      <c r="B158" s="86" t="s">
        <v>187</v>
      </c>
      <c r="C158" s="480">
        <v>97242</v>
      </c>
      <c r="D158" s="251"/>
      <c r="E158" s="251">
        <f>C158+D158</f>
        <v>97242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1828545</v>
      </c>
      <c r="D160" s="251">
        <f>D156+D157+D158</f>
        <v>0</v>
      </c>
      <c r="E160" s="251">
        <f>E156+E157+E158</f>
        <v>1828545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386458333333333" bottom="0.35433070866141736" header="0.1968503937007874" footer="0"/>
  <pageSetup fitToHeight="2" horizontalDpi="600" verticalDpi="600" orientation="portrait" scale="83" r:id="rId1"/>
  <headerFooter alignWithMargins="0">
    <oddHeader>&amp;R&amp;8Horizon Utilities Corporation
Disposition of Account 1562 Deferred PILS
EB-2012-0005
Appendix C-3-3
Filed:  March 28, 2012</oddHeader>
    <oddFooter>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St. Catharines Hydro Utility Services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8386458333333333" bottom="0.35433070866141736" header="0.1968503937007874" footer="0"/>
  <pageSetup horizontalDpi="600" verticalDpi="600" orientation="portrait" scale="83" r:id="rId1"/>
  <headerFooter alignWithMargins="0">
    <oddHeader>&amp;R&amp;8Horizon Utilities Corporation
Disposition of Account 1562 Deferred PILS
EB-2012-0005
Appendix C-3-3
Filed:  March 28, 2012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St. Catharines Hydro Utility Services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80160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478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479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8386458333333333" bottom="0.35433070866141736" header="0.1968503937007874" footer="0"/>
  <pageSetup fitToHeight="2" horizontalDpi="600" verticalDpi="600" orientation="portrait" scale="83" r:id="rId1"/>
  <headerFooter alignWithMargins="0">
    <oddHeader>&amp;R&amp;8Horizon Utilities Corporation
Disposition of Account 1562 Deferred PILS
EB-2012-0005
Appendix C-3-3
Filed:  March 28, 2012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385</v>
      </c>
      <c r="E3" s="92"/>
    </row>
    <row r="4" spans="1:6" ht="15.75">
      <c r="A4" s="464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St. Catharines Hydro Utility Services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>
        <v>4202</v>
      </c>
      <c r="D32" s="295"/>
      <c r="E32" s="313">
        <f t="shared" si="0"/>
        <v>4202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/>
      <c r="D35" s="295"/>
      <c r="E35" s="313">
        <f t="shared" si="0"/>
        <v>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67" t="s">
        <v>458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393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81" t="s">
        <v>387</v>
      </c>
      <c r="B41" t="s">
        <v>187</v>
      </c>
      <c r="C41" s="295">
        <v>1801289</v>
      </c>
      <c r="D41" s="295"/>
      <c r="E41" s="313">
        <f t="shared" si="0"/>
        <v>1801289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499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1805491</v>
      </c>
      <c r="D47" s="251">
        <f>SUM(D19:D46)</f>
        <v>0</v>
      </c>
      <c r="E47" s="251">
        <f>SUM(E19:E46)</f>
        <v>1805491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8" t="s">
        <v>394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8" t="s">
        <v>387</v>
      </c>
      <c r="B66" s="8" t="s">
        <v>188</v>
      </c>
      <c r="C66" s="294">
        <f>20602+115323+182672</f>
        <v>318597</v>
      </c>
      <c r="D66" s="294"/>
      <c r="E66" s="251">
        <f t="shared" si="2"/>
        <v>318597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318597</v>
      </c>
      <c r="D73" s="251">
        <f>SUM(D51:D72)</f>
        <v>0</v>
      </c>
      <c r="E73" s="251">
        <f>SUM(E51:E72)</f>
        <v>318597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8386458333333333" bottom="0.35433070866141736" header="0.1968503937007874" footer="0"/>
  <pageSetup horizontalDpi="600" verticalDpi="600" orientation="portrait" scale="83" r:id="rId1"/>
  <headerFooter alignWithMargins="0">
    <oddHeader>&amp;R&amp;8Horizon Utilities Corporation
Disposition of Account 1562 Deferred PILS
EB-2012-0005
Appendix C-3-3
Filed:  March 28, 2012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tabSelected="1" view="pageLayout" workbookViewId="0" topLeftCell="A1">
      <selection activeCell="E10" sqref="E1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St. Catharines Hydro Utility Services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8" t="s">
        <v>486</v>
      </c>
      <c r="B8" s="509"/>
      <c r="C8" s="509"/>
      <c r="D8" s="509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468</v>
      </c>
      <c r="B10" s="327"/>
      <c r="C10" s="376" t="s">
        <v>111</v>
      </c>
      <c r="D10" s="376"/>
      <c r="E10" s="376" t="s">
        <v>111</v>
      </c>
      <c r="F10" s="377" t="s">
        <v>491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473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474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2" t="s">
        <v>495</v>
      </c>
      <c r="B23" s="503"/>
      <c r="C23" s="503"/>
      <c r="D23" s="503"/>
      <c r="E23" s="503"/>
      <c r="F23" s="503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487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/>
      <c r="E28" s="370" t="s">
        <v>111</v>
      </c>
      <c r="F28" s="371" t="s">
        <v>491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2003</v>
      </c>
      <c r="C32" s="328">
        <v>0.1312</v>
      </c>
      <c r="D32" s="328"/>
      <c r="E32" s="329"/>
      <c r="F32" s="329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2003</v>
      </c>
      <c r="C33" s="330">
        <v>0.06</v>
      </c>
      <c r="D33" s="330"/>
      <c r="E33" s="331"/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2003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2003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2003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488</v>
      </c>
      <c r="B39" s="407" t="s">
        <v>473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489</v>
      </c>
      <c r="B40" s="408" t="s">
        <v>474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4" t="s">
        <v>335</v>
      </c>
      <c r="B41" s="503"/>
      <c r="C41" s="503"/>
      <c r="D41" s="503"/>
      <c r="E41" s="503"/>
      <c r="F41" s="50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5"/>
      <c r="B42" s="505"/>
      <c r="C42" s="505"/>
      <c r="D42" s="505"/>
      <c r="E42" s="505"/>
      <c r="F42" s="50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490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472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/>
      <c r="E50" s="353">
        <v>0</v>
      </c>
      <c r="F50" s="353">
        <v>0.2412</v>
      </c>
      <c r="G50" s="194"/>
      <c r="H50" s="490">
        <v>0.2412</v>
      </c>
      <c r="I50" s="490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</v>
      </c>
      <c r="F51" s="355">
        <v>0.125</v>
      </c>
      <c r="G51" s="194"/>
      <c r="H51" s="490">
        <v>0.125</v>
      </c>
      <c r="I51" s="490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</v>
      </c>
      <c r="F52" s="333">
        <f>SUM(F50:F51)</f>
        <v>0.36619999999999997</v>
      </c>
      <c r="G52" s="194"/>
      <c r="H52" s="490">
        <f>+H51+H50</f>
        <v>0.36619999999999997</v>
      </c>
      <c r="I52" s="490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473</v>
      </c>
      <c r="C57" s="362">
        <v>4686438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474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2" t="s">
        <v>351</v>
      </c>
      <c r="B59" s="506"/>
      <c r="C59" s="506"/>
      <c r="D59" s="506"/>
      <c r="E59" s="506"/>
      <c r="F59" s="50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7"/>
      <c r="B60" s="507"/>
      <c r="C60" s="507"/>
      <c r="D60" s="507"/>
      <c r="E60" s="507"/>
      <c r="F60" s="50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8386458333333333" bottom="0.35433070866141736" header="0.1968503937007874" footer="0"/>
  <pageSetup horizontalDpi="600" verticalDpi="600" orientation="portrait" scale="83" r:id="rId1"/>
  <headerFooter alignWithMargins="0">
    <oddHeader>&amp;R&amp;8Horizon Utilities Corporation
Disposition of Account 1562 Deferred PILS
EB-2012-0005
Appendix C-3-3
Filed:  March 28, 2012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St. Catharines Hydro Utility Services Inc.</v>
      </c>
      <c r="O3" s="417" t="str">
        <f>REGINFO!E1</f>
        <v>Version 2009.1</v>
      </c>
    </row>
    <row r="4" spans="1:15" ht="12.75">
      <c r="A4" s="2" t="str">
        <f>REGINFO!A4</f>
        <v>Reporting period:  2003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640019</v>
      </c>
      <c r="F11" s="420"/>
      <c r="G11" s="397">
        <f>E22</f>
        <v>978189</v>
      </c>
      <c r="H11" s="420"/>
      <c r="I11" s="397">
        <f>G22</f>
        <v>1092868</v>
      </c>
      <c r="J11" s="391"/>
      <c r="K11" s="498">
        <f>I22</f>
        <v>3383814.0379827768</v>
      </c>
      <c r="L11" s="391"/>
      <c r="M11" s="498">
        <f>K22</f>
        <v>3972717.7879827768</v>
      </c>
      <c r="N11" s="391"/>
      <c r="O11" s="498">
        <f>C11</f>
        <v>0</v>
      </c>
    </row>
    <row r="12" spans="1:15" ht="27" customHeight="1">
      <c r="A12" s="81" t="s">
        <v>398</v>
      </c>
      <c r="B12" s="66" t="s">
        <v>190</v>
      </c>
      <c r="C12" s="396">
        <v>636144</v>
      </c>
      <c r="D12" s="392"/>
      <c r="E12" s="396">
        <v>2355615</v>
      </c>
      <c r="F12" s="95"/>
      <c r="G12" s="419">
        <f>C12+E12</f>
        <v>2991759</v>
      </c>
      <c r="H12" s="95"/>
      <c r="I12" s="419">
        <f>(E12/12*9)+(G12/12*3)</f>
        <v>2514651</v>
      </c>
      <c r="J12" s="392"/>
      <c r="K12" s="496">
        <f>E12/12*3</f>
        <v>588903.75</v>
      </c>
      <c r="L12" s="392"/>
      <c r="M12" s="496">
        <f>K13/9*12/4</f>
        <v>0</v>
      </c>
      <c r="N12" s="392"/>
      <c r="O12" s="498">
        <f aca="true" t="shared" si="0" ref="O12:O20">SUM(C12:N12)</f>
        <v>9087072.75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496"/>
      <c r="L13" s="392"/>
      <c r="M13" s="496"/>
      <c r="N13" s="392"/>
      <c r="O13" s="498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>
        <v>230726</v>
      </c>
      <c r="F14" s="95"/>
      <c r="G14" s="396"/>
      <c r="H14" s="95"/>
      <c r="I14" s="396"/>
      <c r="J14" s="392"/>
      <c r="K14" s="496"/>
      <c r="L14" s="392"/>
      <c r="M14" s="496"/>
      <c r="N14" s="392"/>
      <c r="O14" s="498">
        <f t="shared" si="0"/>
        <v>230726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>
        <v>143929</v>
      </c>
      <c r="H15" s="95"/>
      <c r="I15" s="396">
        <f>TAXCALC!E132</f>
        <v>-121194.59968992247</v>
      </c>
      <c r="J15" s="392"/>
      <c r="K15" s="496"/>
      <c r="L15" s="392"/>
      <c r="M15" s="496">
        <f>TAXCALC!E132</f>
        <v>-121194.59968992247</v>
      </c>
      <c r="N15" s="392"/>
      <c r="O15" s="498">
        <f t="shared" si="0"/>
        <v>-98460.19937984494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496"/>
      <c r="L16" s="392"/>
      <c r="M16" s="496"/>
      <c r="N16" s="392"/>
      <c r="O16" s="498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>
        <v>0</v>
      </c>
      <c r="F17" s="95"/>
      <c r="G17" s="396">
        <v>0</v>
      </c>
      <c r="H17" s="95"/>
      <c r="I17" s="396">
        <f>TAXCALC!E181</f>
        <v>-102510.36232730099</v>
      </c>
      <c r="J17" s="392"/>
      <c r="K17" s="496"/>
      <c r="L17" s="392"/>
      <c r="M17" s="496">
        <f>TAXCALC!E181</f>
        <v>-102510.36232730099</v>
      </c>
      <c r="N17" s="392"/>
      <c r="O17" s="498">
        <f t="shared" si="0"/>
        <v>-205020.72465460197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496"/>
      <c r="L18" s="392"/>
      <c r="M18" s="496"/>
      <c r="N18" s="392"/>
      <c r="O18" s="498">
        <f t="shared" si="0"/>
        <v>0</v>
      </c>
    </row>
    <row r="19" spans="1:15" ht="24" customHeight="1">
      <c r="A19" s="433" t="s">
        <v>404</v>
      </c>
      <c r="B19" s="66" t="s">
        <v>190</v>
      </c>
      <c r="C19" s="396">
        <v>3875</v>
      </c>
      <c r="D19" s="392"/>
      <c r="E19" s="396">
        <v>77401</v>
      </c>
      <c r="F19" s="95"/>
      <c r="G19" s="396">
        <v>66572</v>
      </c>
      <c r="H19" s="95"/>
      <c r="I19" s="496"/>
      <c r="J19" s="392"/>
      <c r="K19" s="496"/>
      <c r="L19" s="392"/>
      <c r="M19" s="496"/>
      <c r="N19" s="392"/>
      <c r="O19" s="498">
        <f t="shared" si="0"/>
        <v>147848</v>
      </c>
    </row>
    <row r="20" spans="1:15" ht="24.75" customHeight="1">
      <c r="A20" s="81" t="s">
        <v>471</v>
      </c>
      <c r="B20" s="66" t="s">
        <v>188</v>
      </c>
      <c r="C20" s="419">
        <v>0</v>
      </c>
      <c r="D20" s="392"/>
      <c r="E20" s="396">
        <v>-2325572</v>
      </c>
      <c r="F20" s="95"/>
      <c r="G20" s="396">
        <v>-3087581</v>
      </c>
      <c r="H20" s="95"/>
      <c r="I20" s="496"/>
      <c r="J20" s="392"/>
      <c r="K20" s="496"/>
      <c r="L20" s="392"/>
      <c r="M20" s="496"/>
      <c r="N20" s="392"/>
      <c r="O20" s="498">
        <f t="shared" si="0"/>
        <v>-5413153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640019</v>
      </c>
      <c r="D22" s="420"/>
      <c r="E22" s="398">
        <f>SUM(E11:E20)</f>
        <v>978189</v>
      </c>
      <c r="F22" s="420"/>
      <c r="G22" s="398">
        <f>SUM(G11:G20)</f>
        <v>1092868</v>
      </c>
      <c r="H22" s="420"/>
      <c r="I22" s="497">
        <f>SUM(I11:I20)</f>
        <v>3383814.0379827768</v>
      </c>
      <c r="J22" s="391"/>
      <c r="K22" s="497">
        <f>SUM(K11:K20)</f>
        <v>3972717.7879827768</v>
      </c>
      <c r="L22" s="391"/>
      <c r="M22" s="497">
        <f>SUM(M11:M21)</f>
        <v>3749012.8259655535</v>
      </c>
      <c r="N22" s="391"/>
      <c r="O22" s="499">
        <f>SUM(O11:O20)</f>
        <v>3749012.8259655535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4"/>
      <c r="B25" s="435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4" t="s">
        <v>405</v>
      </c>
      <c r="B26" s="435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1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13" t="s">
        <v>409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1"/>
      <c r="Q33" s="421"/>
      <c r="R33" s="421"/>
      <c r="S33" s="421"/>
    </row>
    <row r="34" spans="1:19" ht="12.75">
      <c r="A34" s="512" t="s">
        <v>410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1"/>
      <c r="Q34" s="421"/>
      <c r="R34" s="421"/>
      <c r="S34" s="421"/>
    </row>
    <row r="35" spans="1:19" ht="12.75">
      <c r="A35" s="512" t="s">
        <v>431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1"/>
      <c r="Q35" s="421"/>
      <c r="R35" s="421"/>
      <c r="S35" s="421"/>
    </row>
    <row r="36" spans="1:19" ht="12.75">
      <c r="A36" s="512" t="s">
        <v>411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12" t="s">
        <v>460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8386458333333333" bottom="0.35433070866141736" header="0.1968503937007874" footer="0"/>
  <pageSetup horizontalDpi="600" verticalDpi="600" orientation="portrait" scale="83" r:id="rId1"/>
  <headerFooter alignWithMargins="0">
    <oddHeader>&amp;R&amp;8Horizon Utilities Corporation
Disposition of Account 1562 Deferred PILS
EB-2012-0005
Appendix C-3-3
Filed:  March 28, 2012</oddHeader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Alexander, Bobbi-Anne</cp:lastModifiedBy>
  <cp:lastPrinted>2011-09-13T16:29:45Z</cp:lastPrinted>
  <dcterms:created xsi:type="dcterms:W3CDTF">2001-11-07T16:15:53Z</dcterms:created>
  <dcterms:modified xsi:type="dcterms:W3CDTF">2012-03-20T16:11:42Z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