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'TAXREC'!$A$1:$F$162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Basilio, John</author>
  </authors>
  <commentList>
    <comment ref="E1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Adjusted -$206 to agree to RAM Model per SCHUIS WPs</t>
        </r>
      </text>
    </comment>
  </commentList>
</comments>
</file>

<file path=xl/sharedStrings.xml><?xml version="1.0" encoding="utf-8"?>
<sst xmlns="http://schemas.openxmlformats.org/spreadsheetml/2006/main" count="880" uniqueCount="503">
  <si>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</si>
  <si>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</si>
  <si>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</si>
  <si>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</si>
  <si>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</si>
  <si>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</si>
  <si>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</si>
  <si>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</si>
  <si>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</si>
  <si>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</si>
  <si>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</si>
  <si>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</si>
  <si>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</si>
  <si>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</si>
  <si>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</si>
  <si>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</si>
  <si>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</si>
  <si>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</si>
  <si>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</si>
  <si>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</si>
  <si>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</si>
  <si>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</si>
  <si>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</si>
  <si>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</si>
  <si>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</si>
  <si>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</si>
  <si>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</si>
  <si>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</si>
  <si>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</si>
  <si>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</si>
  <si>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</si>
  <si>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</si>
  <si>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</si>
  <si>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</si>
  <si>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</si>
  <si>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</si>
  <si>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</si>
  <si>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</si>
  <si>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</si>
  <si>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</si>
  <si>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</si>
  <si>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</si>
  <si>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</si>
  <si>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</si>
  <si>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</si>
  <si>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</si>
  <si>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</si>
  <si>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</si>
  <si>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</si>
  <si>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</si>
  <si>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</si>
  <si>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</si>
  <si>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</si>
  <si>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</si>
  <si>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</si>
  <si>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</si>
  <si>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</si>
  <si>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</si>
  <si>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</si>
  <si>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</si>
  <si>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</si>
  <si>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</si>
  <si>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</si>
  <si>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</si>
  <si>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</si>
  <si>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</si>
  <si>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</si>
  <si>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</si>
  <si>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</si>
  <si>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</si>
  <si>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</si>
  <si>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</si>
  <si>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</si>
  <si>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</si>
  <si>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</si>
  <si>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</si>
  <si>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</si>
  <si>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</si>
  <si>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</si>
  <si>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</si>
  <si>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</si>
  <si>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</si>
  <si>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</si>
  <si>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</si>
  <si>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</si>
  <si>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</si>
  <si>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</si>
  <si>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</si>
  <si>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</si>
  <si>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</si>
  <si>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</si>
  <si>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</si>
  <si>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</si>
  <si>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</si>
  <si>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</si>
  <si>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</si>
  <si>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</si>
  <si>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</si>
  <si>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</si>
  <si>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</si>
  <si>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</si>
  <si>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</si>
  <si>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</si>
  <si>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</si>
  <si>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</si>
  <si>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</si>
  <si>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</si>
  <si>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</si>
  <si>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</si>
  <si>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</si>
  <si>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</si>
  <si>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</si>
  <si>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</si>
  <si>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</si>
  <si>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</si>
  <si>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</si>
  <si>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</si>
  <si>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</si>
  <si>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</si>
  <si>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</si>
  <si>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</si>
  <si>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</si>
  <si>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</si>
  <si>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</si>
  <si>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</si>
  <si>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</si>
  <si>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</si>
  <si>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</si>
  <si>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</si>
  <si>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</si>
  <si>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</si>
  <si>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</si>
  <si>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</si>
  <si>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</si>
  <si>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</si>
  <si>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</si>
  <si>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</si>
  <si>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</si>
  <si>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</si>
  <si>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</si>
  <si>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</si>
  <si>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</si>
  <si>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</si>
  <si>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</si>
  <si>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</si>
  <si>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</si>
  <si>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</si>
  <si>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</si>
  <si>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</si>
  <si>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</si>
  <si>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</si>
  <si>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</si>
  <si>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</si>
  <si>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</si>
  <si>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</si>
  <si>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</si>
  <si>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</si>
  <si>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</si>
  <si>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</si>
  <si>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</si>
  <si>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</si>
  <si>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</si>
  <si>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</si>
  <si>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</si>
  <si>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</si>
  <si>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</si>
  <si>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</si>
  <si>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</si>
  <si>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</si>
  <si>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</si>
  <si>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</si>
  <si>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</si>
  <si>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</si>
  <si>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</si>
  <si>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</si>
  <si>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</si>
  <si>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</si>
  <si>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</si>
  <si>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</si>
  <si>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</si>
  <si>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</si>
  <si>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</si>
  <si>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</si>
  <si>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</si>
  <si>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</si>
  <si>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</si>
  <si>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</si>
  <si>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</si>
  <si>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</si>
  <si>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</si>
  <si>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</si>
  <si>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</si>
  <si>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</si>
  <si>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</si>
  <si>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</si>
  <si>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</si>
  <si>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</si>
  <si>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</si>
  <si>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</si>
  <si>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</si>
  <si>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</si>
  <si>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</si>
  <si>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</si>
  <si>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</si>
  <si>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</si>
  <si>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</si>
  <si>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</si>
  <si>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</si>
  <si>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</si>
  <si>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</si>
  <si>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</si>
  <si>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</si>
  <si>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</si>
  <si>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</si>
  <si>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</si>
  <si>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</si>
  <si>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</si>
  <si>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</si>
  <si>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</si>
  <si>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</si>
  <si>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</si>
  <si>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</si>
  <si>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</si>
  <si>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</si>
  <si>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</si>
  <si>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</si>
  <si>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</si>
  <si>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</si>
  <si>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</si>
  <si>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</si>
  <si>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</si>
  <si>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</si>
  <si>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</si>
  <si>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</si>
  <si>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</si>
  <si>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</si>
  <si>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</si>
  <si>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</si>
  <si>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</si>
  <si>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</si>
  <si>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</si>
  <si>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</si>
  <si>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</si>
  <si>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</si>
  <si>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</si>
  <si>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</si>
  <si>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</si>
  <si>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</si>
  <si>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</si>
  <si>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</si>
  <si>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</si>
  <si>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</si>
  <si>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</si>
  <si>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</si>
  <si>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</si>
  <si>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</si>
  <si>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</si>
  <si>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</si>
  <si>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</si>
  <si>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</si>
  <si>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</si>
  <si>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</si>
  <si>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</si>
  <si>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</si>
  <si>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</si>
  <si>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</si>
  <si>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</si>
  <si>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</si>
  <si>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</si>
  <si>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</si>
  <si>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</si>
  <si>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</si>
  <si>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</si>
  <si>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</si>
  <si>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</si>
  <si>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</si>
  <si>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</si>
  <si>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</si>
  <si>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</si>
  <si>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</si>
  <si>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</si>
  <si>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</si>
  <si>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</si>
  <si>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</si>
  <si>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</si>
  <si>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</si>
  <si>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</si>
  <si>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</si>
  <si>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</si>
  <si>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</si>
  <si>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</si>
  <si>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</si>
  <si>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</si>
  <si>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</si>
  <si>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</si>
  <si>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</si>
  <si>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</si>
  <si>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</si>
  <si>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</si>
  <si>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</si>
  <si>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</si>
  <si>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</si>
  <si>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</si>
  <si>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</si>
  <si>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</si>
  <si>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</si>
  <si>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</si>
  <si>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</si>
  <si>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</si>
  <si>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</si>
  <si>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</si>
  <si>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</si>
  <si>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</si>
  <si>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</si>
  <si>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</si>
  <si>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</si>
  <si>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</si>
  <si>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</si>
  <si>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</si>
  <si>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</si>
  <si>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</si>
  <si>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</si>
  <si>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</si>
  <si>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</si>
  <si>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</si>
  <si>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</si>
  <si>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</si>
  <si>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</si>
  <si>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</si>
  <si>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</si>
  <si>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</si>
  <si>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</si>
  <si>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</si>
  <si>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</si>
  <si>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</si>
  <si>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</si>
  <si>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</si>
  <si>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</si>
  <si>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</si>
  <si>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</si>
  <si>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</si>
  <si>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</si>
  <si>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</si>
  <si>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</si>
  <si>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</si>
  <si>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</si>
  <si>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</si>
  <si>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</si>
  <si>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</si>
  <si>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</si>
  <si>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</si>
  <si>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</si>
  <si>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</si>
  <si>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</si>
  <si>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</si>
  <si>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</si>
  <si>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</si>
  <si>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</si>
  <si>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</si>
  <si>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</si>
  <si>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</si>
  <si>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</si>
  <si>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</si>
  <si>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</si>
  <si>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</si>
  <si>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</si>
  <si>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</si>
  <si>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</si>
  <si>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</si>
  <si>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</si>
  <si>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</si>
  <si>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</si>
  <si>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</si>
  <si>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</si>
  <si>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</si>
  <si>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</si>
  <si>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</si>
  <si>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</si>
  <si>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</si>
  <si>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</si>
  <si>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</si>
  <si>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</si>
  <si>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</si>
  <si>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</si>
  <si>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</si>
  <si>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</si>
  <si>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</si>
  <si>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</si>
  <si>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</si>
  <si>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</si>
  <si>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</si>
  <si>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</si>
  <si>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</si>
  <si>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</si>
  <si>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</si>
  <si>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</si>
  <si>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</si>
  <si>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</si>
  <si>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</si>
  <si>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</si>
  <si>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</si>
  <si>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</si>
  <si>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</si>
  <si>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</si>
  <si>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</si>
  <si>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</si>
  <si>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</si>
  <si>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</si>
  <si>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</si>
  <si>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</si>
  <si>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</si>
  <si>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</si>
  <si>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</si>
  <si>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</si>
  <si>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</si>
  <si>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</si>
  <si>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</si>
  <si>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</si>
  <si>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</si>
  <si>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</si>
  <si>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</si>
  <si>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</si>
  <si>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</si>
  <si>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</si>
  <si>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</si>
  <si>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</si>
  <si>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</si>
  <si>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</si>
  <si>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</si>
  <si>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</si>
  <si>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</si>
  <si>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</si>
  <si>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</si>
  <si>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</si>
  <si>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</si>
  <si>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</si>
  <si>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</si>
  <si>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</si>
  <si>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</si>
  <si>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</si>
  <si>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</si>
  <si>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</si>
  <si>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</si>
  <si>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</si>
  <si>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</si>
  <si>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</si>
  <si>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</si>
  <si>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</si>
  <si>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</si>
  <si>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</si>
  <si>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</si>
  <si>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</si>
  <si>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</si>
  <si>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</si>
  <si>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</si>
  <si>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</si>
  <si>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</si>
  <si>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</si>
  <si>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</si>
  <si>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</si>
  <si>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</si>
  <si>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</si>
  <si>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</si>
  <si>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</si>
  <si>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</si>
  <si>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</si>
  <si>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</si>
  <si>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</si>
  <si>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</si>
  <si>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</si>
  <si>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</si>
  <si>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</si>
  <si>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</si>
  <si>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</si>
  <si>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</si>
  <si>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</si>
  <si>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</si>
  <si>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</si>
  <si>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</si>
  <si>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</si>
  <si>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</si>
  <si>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</si>
  <si>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</si>
  <si>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</si>
  <si>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</si>
  <si>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</si>
  <si>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</si>
  <si>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</si>
  <si>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</si>
  <si>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</si>
  <si>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</si>
  <si>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</si>
  <si>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</si>
  <si>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</si>
  <si>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</si>
  <si>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</si>
  <si>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</si>
  <si>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Utility Name: St. Catharines Hydro Utility Services Inc.</t>
  </si>
  <si>
    <t>Y</t>
  </si>
  <si>
    <t>N</t>
  </si>
  <si>
    <t xml:space="preserve">PILs TAXES </t>
  </si>
  <si>
    <t xml:space="preserve">  Charitable Donations</t>
  </si>
  <si>
    <t>In Deductions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</si>
</sst>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9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3" fontId="0" fillId="44" borderId="0" xfId="0" applyNumberFormat="1" applyFill="1" applyAlignment="1">
      <alignment/>
    </xf>
    <xf numFmtId="3" fontId="0" fillId="44" borderId="56" xfId="0" applyNumberFormat="1" applyFill="1" applyBorder="1" applyAlignment="1" applyProtection="1">
      <alignment/>
      <protection/>
    </xf>
    <xf numFmtId="3" fontId="0" fillId="44" borderId="0" xfId="0" applyNumberFormat="1" applyFill="1" applyAlignment="1" applyProtection="1">
      <alignment/>
      <protection/>
    </xf>
    <xf numFmtId="3" fontId="0" fillId="44" borderId="59" xfId="0" applyNumberFormat="1" applyFill="1" applyBorder="1" applyAlignment="1" applyProtection="1">
      <alignment/>
      <protection/>
    </xf>
    <xf numFmtId="3" fontId="0" fillId="44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500</v>
      </c>
      <c r="C1" s="8"/>
      <c r="E1" s="2" t="s">
        <v>464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5" t="s">
        <v>450</v>
      </c>
      <c r="E3" s="8"/>
      <c r="F3" s="8"/>
      <c r="G3" s="8"/>
      <c r="H3" s="8"/>
    </row>
    <row r="4" spans="1:8" ht="12.75">
      <c r="A4" s="2" t="s">
        <v>478</v>
      </c>
      <c r="C4" s="8"/>
      <c r="D4" s="454" t="s">
        <v>445</v>
      </c>
      <c r="E4" s="429"/>
      <c r="H4" s="8"/>
    </row>
    <row r="5" spans="1:8" ht="12.75">
      <c r="A5" s="52"/>
      <c r="C5" s="8"/>
      <c r="D5" s="453" t="s">
        <v>446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499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499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6" t="s">
        <v>316</v>
      </c>
      <c r="B19" s="8" t="s">
        <v>313</v>
      </c>
      <c r="C19" s="8" t="s">
        <v>64</v>
      </c>
      <c r="D19" s="389" t="s">
        <v>498</v>
      </c>
    </row>
    <row r="20" spans="1:4" ht="13.5" thickBot="1">
      <c r="A20" s="497"/>
      <c r="B20" s="8" t="s">
        <v>314</v>
      </c>
      <c r="C20" s="8" t="s">
        <v>64</v>
      </c>
      <c r="D20" s="258"/>
    </row>
    <row r="21" spans="1:4" ht="12.75">
      <c r="A21" s="496" t="s">
        <v>312</v>
      </c>
      <c r="B21" s="8" t="s">
        <v>313</v>
      </c>
      <c r="C21" s="8"/>
      <c r="D21" s="424">
        <v>1</v>
      </c>
    </row>
    <row r="22" spans="1:4" ht="12.75">
      <c r="A22" s="496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64127964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5492560.1166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5492560.1166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1830853</v>
      </c>
      <c r="E47" s="388">
        <f aca="true" t="shared" si="0" ref="E47:E53">D47</f>
        <v>1830853</v>
      </c>
      <c r="H47" s="40"/>
      <c r="J47" s="5"/>
      <c r="K47" s="5"/>
    </row>
    <row r="48" spans="1:11" ht="12.75">
      <c r="A48" t="s">
        <v>290</v>
      </c>
      <c r="D48" s="427">
        <v>1830853</v>
      </c>
      <c r="E48" s="388">
        <f>D48</f>
        <v>1830853</v>
      </c>
      <c r="F48" s="22"/>
      <c r="H48" s="40"/>
      <c r="J48" s="5"/>
      <c r="K48" s="5"/>
    </row>
    <row r="49" spans="1:11" ht="12.75">
      <c r="A49" t="s">
        <v>291</v>
      </c>
      <c r="D49" s="428"/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442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465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3661706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32063982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3167921.4216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32063982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2324638.695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774879.4074722708</v>
      </c>
      <c r="F64" s="5"/>
      <c r="H64" s="32"/>
      <c r="J64" s="5"/>
      <c r="K64" s="5"/>
    </row>
    <row r="65" spans="1:11" ht="12.75">
      <c r="A65" s="33" t="s">
        <v>381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1549758.8149445415</v>
      </c>
      <c r="F66" s="5"/>
      <c r="H66" s="32"/>
      <c r="J66" s="5"/>
      <c r="K66" s="5"/>
    </row>
    <row r="67" spans="1:11" ht="12.75">
      <c r="A67" s="33" t="s">
        <v>382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1549758.8149445415</v>
      </c>
      <c r="F68" s="5"/>
      <c r="H68" s="32"/>
      <c r="J68" s="5"/>
    </row>
    <row r="69" spans="1:10" ht="12.75">
      <c r="A69" s="33" t="s">
        <v>383</v>
      </c>
      <c r="B69" s="5"/>
      <c r="C69" s="5"/>
      <c r="D69" s="5"/>
      <c r="F69" s="5"/>
      <c r="H69" s="32"/>
      <c r="J69" s="5"/>
    </row>
    <row r="70" spans="1:10" ht="12.75">
      <c r="A70" s="45" t="s">
        <v>451</v>
      </c>
      <c r="B70" s="5"/>
      <c r="C70" s="5"/>
      <c r="D70" s="253">
        <f>D62</f>
        <v>2324638.695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C-3-2
Filed:  March 28, 2012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view="pageLayout" zoomScaleNormal="90" workbookViewId="0" topLeftCell="A1">
      <selection activeCell="G2" sqref="G2"/>
    </sheetView>
  </sheetViews>
  <sheetFormatPr defaultColWidth="9.140625" defaultRowHeight="12.75"/>
  <cols>
    <col min="1" max="1" width="61.4218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467</v>
      </c>
      <c r="H1" s="210"/>
    </row>
    <row r="2" spans="1:8" ht="12.75">
      <c r="A2" s="211" t="s">
        <v>466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468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St. Catharines Hydro Utility Services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60">
        <v>3661707</v>
      </c>
      <c r="D16" s="17"/>
      <c r="E16" s="268">
        <f>G16-C16</f>
        <v>470627</v>
      </c>
      <c r="F16" s="3"/>
      <c r="G16" s="268">
        <f>TAXREC!E50</f>
        <v>4132334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3496843</v>
      </c>
      <c r="D20" s="18"/>
      <c r="E20" s="268">
        <f>G20-C20</f>
        <v>506178</v>
      </c>
      <c r="F20" s="6"/>
      <c r="G20" s="268">
        <f>TAXREC!E61</f>
        <v>4003021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376185</v>
      </c>
      <c r="F21" s="6"/>
      <c r="G21" s="268">
        <f>TAXREC!E62</f>
        <v>376185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>
        <v>143260</v>
      </c>
      <c r="D24" s="18"/>
      <c r="E24" s="268">
        <f>G24-C24</f>
        <v>-143260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84" t="s">
        <v>398</v>
      </c>
      <c r="B30" s="127"/>
      <c r="C30" s="260"/>
      <c r="D30" s="18"/>
      <c r="E30" s="268">
        <f>G30-C30</f>
        <v>673058</v>
      </c>
      <c r="F30" s="6"/>
      <c r="G30" s="268">
        <f>TAXREC!E66</f>
        <v>673058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2446091</v>
      </c>
      <c r="D33" s="132"/>
      <c r="E33" s="268">
        <f aca="true" t="shared" si="0" ref="E33:E42">G33-C33</f>
        <v>1717876</v>
      </c>
      <c r="F33" s="6"/>
      <c r="G33" s="268">
        <f>TAXREC!E97+TAXREC!E98</f>
        <v>4163967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v>1549759</v>
      </c>
      <c r="D37" s="132"/>
      <c r="E37" s="268">
        <f t="shared" si="0"/>
        <v>-355647</v>
      </c>
      <c r="F37" s="6"/>
      <c r="G37" s="268">
        <f>TAXREC!E51</f>
        <v>1194112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4" t="s">
        <v>398</v>
      </c>
      <c r="B48" s="127"/>
      <c r="C48" s="260"/>
      <c r="D48" s="132"/>
      <c r="E48" s="268">
        <f>G48-C48</f>
        <v>1318539</v>
      </c>
      <c r="F48" s="6"/>
      <c r="G48" s="251">
        <f>TAXREC!E108</f>
        <v>1318539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4">
        <f>C16+SUM(C20:C30)-SUM(C33:C48)</f>
        <v>3305960</v>
      </c>
      <c r="D50" s="102"/>
      <c r="E50" s="264">
        <f>E16+SUM(E20:E30)-SUM(E33:E48)</f>
        <v>-797980</v>
      </c>
      <c r="F50" s="432" t="s">
        <v>370</v>
      </c>
      <c r="G50" s="264">
        <f>G16+SUM(G20:G30)-SUM(G33:G48)</f>
        <v>2507980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0</v>
      </c>
      <c r="F53" s="114"/>
      <c r="G53" s="473">
        <f>TAXREC!E152</f>
        <v>0.3862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1276761.7519999999</v>
      </c>
      <c r="D55" s="102"/>
      <c r="E55" s="268">
        <f>G55-C55</f>
        <v>-753111.7519999999</v>
      </c>
      <c r="F55" s="432" t="s">
        <v>371</v>
      </c>
      <c r="G55" s="265">
        <f>TAXREC!E145</f>
        <v>523650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2" t="s">
        <v>371</v>
      </c>
      <c r="G58" s="271">
        <f>TAXREC!E146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1276761.7519999999</v>
      </c>
      <c r="D60" s="133"/>
      <c r="E60" s="270">
        <f>+E55-E58</f>
        <v>-753111.7519999999</v>
      </c>
      <c r="F60" s="432" t="s">
        <v>371</v>
      </c>
      <c r="G60" s="270">
        <f>+G55-G58</f>
        <v>523650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64127964</v>
      </c>
      <c r="D66" s="102"/>
      <c r="E66" s="268">
        <f>G66-C66</f>
        <v>10814458</v>
      </c>
      <c r="F66" s="6"/>
      <c r="G66" s="475">
        <v>74942422</v>
      </c>
      <c r="H66" s="151"/>
      <c r="I66" s="476" t="s">
        <v>477</v>
      </c>
    </row>
    <row r="67" spans="1:10" ht="12.75">
      <c r="A67" s="152" t="s">
        <v>364</v>
      </c>
      <c r="B67" s="125">
        <v>16</v>
      </c>
      <c r="C67" s="261">
        <f>IF(C66&gt;0,'Tax Rates'!C21,0)</f>
        <v>5000000</v>
      </c>
      <c r="D67" s="102"/>
      <c r="E67" s="268">
        <f>G67-C67</f>
        <v>-894342</v>
      </c>
      <c r="F67" s="6"/>
      <c r="G67" s="475">
        <v>4105658</v>
      </c>
      <c r="H67" s="151"/>
      <c r="I67" s="476" t="s">
        <v>477</v>
      </c>
      <c r="J67" s="477"/>
    </row>
    <row r="68" spans="1:8" ht="12.75">
      <c r="A68" s="152" t="s">
        <v>42</v>
      </c>
      <c r="B68" s="125"/>
      <c r="C68" s="265">
        <f>IF((C66-C67)&gt;0,C66-C67,0)</f>
        <v>59127964</v>
      </c>
      <c r="D68" s="102"/>
      <c r="E68" s="268">
        <f>SUM(E66:E67)</f>
        <v>9920116</v>
      </c>
      <c r="F68" s="114"/>
      <c r="G68" s="265">
        <f>G66-G67</f>
        <v>70836764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177383.892</v>
      </c>
      <c r="D72" s="101"/>
      <c r="E72" s="268">
        <f>+G72-C72</f>
        <v>35126.40000000005</v>
      </c>
      <c r="F72" s="478"/>
      <c r="G72" s="265">
        <f>IF(G68&gt;0,G68*G70,0)*REGINFO!$B$6/REGINFO!$B$7</f>
        <v>212510.29200000004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64127964</v>
      </c>
      <c r="D75" s="102"/>
      <c r="E75" s="268">
        <f>+G75-C75</f>
        <v>11137395</v>
      </c>
      <c r="F75" s="6"/>
      <c r="G75" s="475">
        <v>75265359</v>
      </c>
      <c r="H75" s="151"/>
      <c r="I75" s="476" t="s">
        <v>477</v>
      </c>
    </row>
    <row r="76" spans="1:9" ht="12.75">
      <c r="A76" s="152" t="s">
        <v>364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475">
        <f>'Tax Rates'!C58</f>
        <v>10000000</v>
      </c>
      <c r="H76" s="151"/>
      <c r="I76" s="476" t="s">
        <v>477</v>
      </c>
    </row>
    <row r="77" spans="1:8" ht="12.75">
      <c r="A77" s="152" t="s">
        <v>42</v>
      </c>
      <c r="B77" s="125"/>
      <c r="C77" s="265">
        <f>IF((C75-C76)&gt;0,C75-C76,0)</f>
        <v>54127964</v>
      </c>
      <c r="D77" s="19"/>
      <c r="E77" s="268">
        <f>SUM(E75:E76)</f>
        <v>11137395</v>
      </c>
      <c r="F77" s="114"/>
      <c r="G77" s="265">
        <f>G75-G76</f>
        <v>65265359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121787.91899999998</v>
      </c>
      <c r="D81" s="102"/>
      <c r="E81" s="268">
        <f>+G81-C81</f>
        <v>25059.13875</v>
      </c>
      <c r="F81" s="6"/>
      <c r="G81" s="265">
        <f>G77*G79*B9/B10</f>
        <v>146847.05774999998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37026.752</v>
      </c>
      <c r="D82" s="102"/>
      <c r="E82" s="268">
        <f>+G82-C82</f>
        <v>-8937.376</v>
      </c>
      <c r="F82" s="6"/>
      <c r="G82" s="301">
        <f>IF(G77&gt;0,IF(G60&gt;0,G50*'Tax Rates'!C20,0),0)</f>
        <v>28089.376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84761.16699999999</v>
      </c>
      <c r="D84" s="16"/>
      <c r="E84" s="268">
        <f>E81-E82</f>
        <v>33996.51475</v>
      </c>
      <c r="F84" s="103"/>
      <c r="G84" s="265">
        <f>G81-G82</f>
        <v>118757.68174999997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372</v>
      </c>
      <c r="B90" s="127">
        <v>22</v>
      </c>
      <c r="C90" s="265">
        <f>C60/(1-C88)</f>
        <v>2042818.8031999997</v>
      </c>
      <c r="D90" s="20"/>
      <c r="E90" s="139"/>
      <c r="F90" s="431" t="s">
        <v>488</v>
      </c>
      <c r="G90" s="271">
        <f>TAXREC!E157</f>
        <v>523650</v>
      </c>
      <c r="H90" s="151"/>
    </row>
    <row r="91" spans="1:8" ht="12.75">
      <c r="A91" s="158" t="s">
        <v>373</v>
      </c>
      <c r="B91" s="127">
        <v>23</v>
      </c>
      <c r="C91" s="265">
        <f>C84/(1-C88)</f>
        <v>135617.86719999998</v>
      </c>
      <c r="D91" s="20"/>
      <c r="E91" s="139"/>
      <c r="F91" s="431" t="s">
        <v>488</v>
      </c>
      <c r="G91" s="271">
        <f>+TAXREC!E159</f>
        <v>131256</v>
      </c>
      <c r="H91" s="151"/>
    </row>
    <row r="92" spans="1:8" ht="12.75">
      <c r="A92" s="158" t="s">
        <v>352</v>
      </c>
      <c r="B92" s="127">
        <v>24</v>
      </c>
      <c r="C92" s="265">
        <f>C72</f>
        <v>177383.892</v>
      </c>
      <c r="D92" s="20"/>
      <c r="E92" s="139"/>
      <c r="F92" s="431" t="s">
        <v>488</v>
      </c>
      <c r="G92" s="271">
        <f>TAXREC!E158</f>
        <v>212510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489</v>
      </c>
      <c r="B95" s="125">
        <v>25</v>
      </c>
      <c r="C95" s="270">
        <f>SUM(C90:C93)</f>
        <v>2355820.5623999997</v>
      </c>
      <c r="D95" s="6"/>
      <c r="E95" s="139"/>
      <c r="F95" s="431" t="s">
        <v>488</v>
      </c>
      <c r="G95" s="414">
        <f>SUM(G90:G94)</f>
        <v>867416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376185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-143260</v>
      </c>
      <c r="F105" s="37"/>
      <c r="G105" s="201"/>
      <c r="H105" s="164"/>
    </row>
    <row r="106" spans="1:8" ht="12.75">
      <c r="A106" s="158" t="s">
        <v>366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502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232925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491</v>
      </c>
      <c r="B122" s="127"/>
      <c r="C122" s="112"/>
      <c r="D122" s="3" t="s">
        <v>231</v>
      </c>
      <c r="E122" s="469">
        <f>+'Tax Rates'!F52</f>
        <v>0.3862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89955.635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89955.635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9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356</v>
      </c>
      <c r="B132" s="130"/>
      <c r="C132" s="112"/>
      <c r="D132" s="3"/>
      <c r="E132" s="264">
        <f>E128/(1-E130)</f>
        <v>143929.016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3305960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9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1276761.7519999999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TAXREC!E146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1276761.7519999999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1276761.7519999999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64127964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59127964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177383.892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177383.892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64127964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54127964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121787.91899999998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37026.752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84761.16699999999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351</v>
      </c>
      <c r="B172" s="130"/>
      <c r="C172" s="112"/>
      <c r="D172" s="118" t="s">
        <v>188</v>
      </c>
      <c r="E172" s="306">
        <f>C84</f>
        <v>84761.16699999999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3">
        <f>E132</f>
        <v>143929.016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3">
        <f>E181+E183</f>
        <v>143929.016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2324638.695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1549758.8149445415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9">
        <f>E193-E194</f>
        <v>774879.8800554583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7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7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1194112</v>
      </c>
      <c r="F201" s="3"/>
      <c r="G201" s="487"/>
      <c r="H201" s="164"/>
    </row>
    <row r="202" spans="1:8" ht="12.75">
      <c r="A202" s="155" t="s">
        <v>347</v>
      </c>
      <c r="B202" s="127"/>
      <c r="C202" s="112"/>
      <c r="D202" s="120"/>
      <c r="E202" s="309">
        <f>REGINFO!D62</f>
        <v>2324638.695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774879.8800554583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C-3-2
Filed:  March 28, 2012</oddHeader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4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/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St. Catharines Hydro Utility Services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9" t="s">
        <v>499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9" t="s">
        <v>499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489" t="s">
        <v>498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89" t="s">
        <v>499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328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326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327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119000260</v>
      </c>
      <c r="D32" s="287"/>
      <c r="E32" s="285">
        <f>C32-D32</f>
        <v>119000260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728191</v>
      </c>
      <c r="D33" s="287"/>
      <c r="E33" s="285">
        <f>C33-D33</f>
        <v>728191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486905</v>
      </c>
      <c r="D34" s="287"/>
      <c r="E34" s="285">
        <f>C34-D34</f>
        <v>486905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103821354</v>
      </c>
      <c r="D39" s="287"/>
      <c r="E39" s="285">
        <f>C39-D39</f>
        <v>103821354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1740588</v>
      </c>
      <c r="D40" s="287"/>
      <c r="E40" s="285">
        <f aca="true" t="shared" si="0" ref="E40:E48">C40-D40</f>
        <v>1740588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>
        <v>2163824</v>
      </c>
      <c r="D41" s="287"/>
      <c r="E41" s="285">
        <f t="shared" si="0"/>
        <v>2163824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v>4141725</v>
      </c>
      <c r="D42" s="287"/>
      <c r="E42" s="285">
        <f t="shared" si="0"/>
        <v>4141725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4003021</v>
      </c>
      <c r="D43" s="287"/>
      <c r="E43" s="285">
        <f t="shared" si="0"/>
        <v>4003021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212510</v>
      </c>
      <c r="D44" s="287"/>
      <c r="E44" s="285">
        <f t="shared" si="0"/>
        <v>212510</v>
      </c>
      <c r="F44" s="11"/>
      <c r="G44" s="11"/>
      <c r="H44" s="6"/>
      <c r="I44" s="6"/>
    </row>
    <row r="45" spans="1:11" ht="12.75">
      <c r="A45" s="4" t="s">
        <v>495</v>
      </c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4132334</v>
      </c>
      <c r="D50" s="282">
        <f>SUM(D31:D36)-SUM(D39:D49)</f>
        <v>0</v>
      </c>
      <c r="E50" s="282">
        <f>SUM(E31:E35)-SUM(E39:E48)</f>
        <v>4132334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1194112</v>
      </c>
      <c r="D51" s="286"/>
      <c r="E51" s="283">
        <f>+C51-D51</f>
        <v>1194112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v>1262113</v>
      </c>
      <c r="D52" s="286"/>
      <c r="E52" s="284">
        <f>+C52-D52</f>
        <v>1262113</v>
      </c>
      <c r="F52" s="8"/>
    </row>
    <row r="53" spans="1:6" ht="12.75">
      <c r="A53" s="2" t="s">
        <v>131</v>
      </c>
      <c r="B53" s="8" t="s">
        <v>189</v>
      </c>
      <c r="C53" s="282">
        <f>C50-C51-C52</f>
        <v>1676109</v>
      </c>
      <c r="D53" s="282">
        <f>D50-D51-D52</f>
        <v>0</v>
      </c>
      <c r="E53" s="282">
        <f>E50-E51-E52</f>
        <v>1676109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1262113</v>
      </c>
      <c r="D59" s="288">
        <f>D52</f>
        <v>0</v>
      </c>
      <c r="E59" s="273">
        <f>+C59-D59</f>
        <v>1262113</v>
      </c>
      <c r="F59" s="8"/>
    </row>
    <row r="60" spans="1:6" ht="12.75">
      <c r="A60" s="4" t="s">
        <v>329</v>
      </c>
      <c r="B60" s="8" t="s">
        <v>187</v>
      </c>
      <c r="C60" s="318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9">
        <f>C43</f>
        <v>4003021</v>
      </c>
      <c r="D61" s="288">
        <f>D43</f>
        <v>0</v>
      </c>
      <c r="E61" s="273">
        <f>+C61-D61</f>
        <v>4003021</v>
      </c>
      <c r="F61" s="8"/>
      <c r="G61" s="416"/>
    </row>
    <row r="62" spans="1:6" ht="12.75">
      <c r="A62" t="s">
        <v>6</v>
      </c>
      <c r="B62" s="8" t="s">
        <v>187</v>
      </c>
      <c r="C62" s="318">
        <v>376185</v>
      </c>
      <c r="D62" s="288">
        <v>0</v>
      </c>
      <c r="E62" s="273">
        <f>+C62-D62</f>
        <v>376185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447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7" t="s">
        <v>398</v>
      </c>
      <c r="B66" s="8"/>
      <c r="C66" s="447">
        <f>'TAXREC 3 No True-up'!C47</f>
        <v>673058</v>
      </c>
      <c r="D66" s="447">
        <f>'TAXREC 3 No True-up'!D47</f>
        <v>0</v>
      </c>
      <c r="E66" s="273">
        <f>+C66-D66</f>
        <v>673058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6314377</v>
      </c>
      <c r="D70" s="273">
        <f>SUM(D59:D68)</f>
        <v>0</v>
      </c>
      <c r="E70" s="273">
        <f>SUM(E59:E68)</f>
        <v>6314377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482</v>
      </c>
      <c r="B76" s="8" t="s">
        <v>187</v>
      </c>
      <c r="C76" s="480"/>
      <c r="D76" s="295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6314377</v>
      </c>
      <c r="D82" s="251">
        <f>D70+D80</f>
        <v>0</v>
      </c>
      <c r="E82" s="251">
        <f>E70+E80</f>
        <v>6314377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435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4163967</v>
      </c>
      <c r="D97" s="295"/>
      <c r="E97" s="273">
        <f>+C97-D97</f>
        <v>4163967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/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398</v>
      </c>
      <c r="B108" s="8"/>
      <c r="C108" s="254">
        <f>'TAXREC 3 No True-up'!C73</f>
        <v>1318539</v>
      </c>
      <c r="D108" s="254">
        <f>'TAXREC 3 No True-up'!D73</f>
        <v>0</v>
      </c>
      <c r="E108" s="273">
        <f t="shared" si="5"/>
        <v>1318539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5482506</v>
      </c>
      <c r="D113" s="251">
        <f>SUM(D97:D111)</f>
        <v>0</v>
      </c>
      <c r="E113" s="251">
        <f>SUM(E97:E111)</f>
        <v>5482506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5482506</v>
      </c>
      <c r="D122" s="251">
        <f>D113+D120</f>
        <v>0</v>
      </c>
      <c r="E122" s="251">
        <f>+E113+E120</f>
        <v>5482506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2507980</v>
      </c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2507980</v>
      </c>
      <c r="D134" s="251">
        <f>D53+D82-D122</f>
        <v>0</v>
      </c>
      <c r="E134" s="251">
        <f>E53+E82-E122</f>
        <v>2507980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6">
        <f>I133-I134</f>
        <v>961186</v>
      </c>
      <c r="J135" s="45" t="s">
        <v>314</v>
      </c>
      <c r="K135" s="45"/>
    </row>
    <row r="136" spans="1:11" ht="12.75">
      <c r="A136" s="12" t="s">
        <v>378</v>
      </c>
      <c r="B136" s="8" t="s">
        <v>188</v>
      </c>
      <c r="C136" s="295">
        <v>1111159</v>
      </c>
      <c r="D136" s="295"/>
      <c r="E136" s="265">
        <f>C136-D136</f>
        <v>1111159</v>
      </c>
      <c r="F136" s="8"/>
      <c r="G136" s="45"/>
      <c r="H136" s="45"/>
      <c r="I136" s="45"/>
      <c r="J136" s="45"/>
      <c r="K136" s="45"/>
    </row>
    <row r="137" spans="1:11" ht="12.75">
      <c r="A137" s="46" t="s">
        <v>379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90" t="s">
        <v>501</v>
      </c>
      <c r="B138" s="8"/>
      <c r="C138" s="311">
        <v>4785</v>
      </c>
      <c r="D138" s="311"/>
      <c r="E138" s="394">
        <f>C138-D138</f>
        <v>4785</v>
      </c>
      <c r="F138" s="8"/>
      <c r="G138" s="45"/>
      <c r="H138" s="45"/>
      <c r="I138" s="45"/>
      <c r="J138" s="45"/>
      <c r="K138" s="45"/>
    </row>
    <row r="139" spans="1:11" ht="12.75">
      <c r="A139" s="46"/>
      <c r="B139" s="8"/>
      <c r="C139" s="311"/>
      <c r="D139" s="311"/>
      <c r="E139" s="394">
        <f>C139-D139</f>
        <v>0</v>
      </c>
      <c r="F139" s="8"/>
      <c r="G139" s="45"/>
      <c r="H139" s="45"/>
      <c r="I139" s="45"/>
      <c r="J139" s="45"/>
      <c r="K139" s="45"/>
    </row>
    <row r="140" spans="1:11" ht="12.75">
      <c r="A140" s="46" t="s">
        <v>97</v>
      </c>
      <c r="B140" s="8" t="s">
        <v>189</v>
      </c>
      <c r="C140" s="252">
        <f>C134-C136-C137-C138-C139</f>
        <v>1392036</v>
      </c>
      <c r="D140" s="252">
        <f>D134-D136-D137-D139</f>
        <v>0</v>
      </c>
      <c r="E140" s="252">
        <f>E134-E136-E137-E138-E139</f>
        <v>1392036</v>
      </c>
      <c r="F140" s="8"/>
      <c r="G140" s="45"/>
      <c r="H140" s="45"/>
      <c r="I140" s="45"/>
      <c r="J140" s="45"/>
      <c r="K140" s="45"/>
    </row>
    <row r="141" spans="1:11" ht="12.75">
      <c r="A141" s="46"/>
      <c r="B141" s="8"/>
      <c r="C141" s="88"/>
      <c r="D141" s="88"/>
      <c r="E141" s="88"/>
      <c r="F141" s="8"/>
      <c r="G141" s="45"/>
      <c r="H141" s="45"/>
      <c r="I141" s="45"/>
      <c r="J141" s="45"/>
      <c r="K141" s="45"/>
    </row>
    <row r="142" spans="1:11" ht="12.75">
      <c r="A142" s="320" t="s">
        <v>306</v>
      </c>
      <c r="B142" s="8"/>
      <c r="C142" s="5"/>
      <c r="D142" s="5"/>
      <c r="E142" s="5"/>
      <c r="F142" s="8"/>
      <c r="G142" s="45"/>
      <c r="H142" s="45"/>
      <c r="I142" s="45"/>
      <c r="J142" s="45"/>
      <c r="K142" s="45"/>
    </row>
    <row r="143" spans="1:11" ht="12.75">
      <c r="A143" s="46" t="s">
        <v>325</v>
      </c>
      <c r="B143" s="8" t="s">
        <v>187</v>
      </c>
      <c r="C143" s="299">
        <v>363600</v>
      </c>
      <c r="D143" s="299"/>
      <c r="E143" s="252">
        <f>C143-D143</f>
        <v>363600</v>
      </c>
      <c r="F143" s="8"/>
      <c r="G143" s="45" t="s">
        <v>496</v>
      </c>
      <c r="H143" s="45"/>
      <c r="I143" s="45"/>
      <c r="J143" s="45"/>
      <c r="K143" s="45"/>
    </row>
    <row r="144" spans="1:11" ht="12.75">
      <c r="A144" s="46" t="s">
        <v>324</v>
      </c>
      <c r="B144" s="8" t="s">
        <v>187</v>
      </c>
      <c r="C144" s="299">
        <v>160050</v>
      </c>
      <c r="D144" s="299"/>
      <c r="E144" s="293">
        <f>C144-D144</f>
        <v>160050</v>
      </c>
      <c r="F144" s="8"/>
      <c r="G144" s="45" t="s">
        <v>496</v>
      </c>
      <c r="H144" s="45"/>
      <c r="I144" s="45"/>
      <c r="J144" s="45"/>
      <c r="K144" s="45"/>
    </row>
    <row r="145" spans="1:11" ht="12.75">
      <c r="A145" s="46" t="s">
        <v>173</v>
      </c>
      <c r="B145" s="8" t="s">
        <v>189</v>
      </c>
      <c r="C145" s="252">
        <f>C143+C144</f>
        <v>523650</v>
      </c>
      <c r="D145" s="252">
        <f>D143+D144</f>
        <v>0</v>
      </c>
      <c r="E145" s="252">
        <f>E143+E144</f>
        <v>523650</v>
      </c>
      <c r="F145" s="8"/>
      <c r="G145" s="45"/>
      <c r="H145" s="45"/>
      <c r="I145" s="45"/>
      <c r="J145" s="45"/>
      <c r="K145" s="45"/>
    </row>
    <row r="146" spans="1:11" ht="12.75">
      <c r="A146" s="46" t="s">
        <v>336</v>
      </c>
      <c r="B146" s="8" t="s">
        <v>188</v>
      </c>
      <c r="C146" s="299">
        <v>0</v>
      </c>
      <c r="D146" s="299"/>
      <c r="E146" s="294">
        <f>C146-D146</f>
        <v>0</v>
      </c>
      <c r="F146" s="8"/>
      <c r="G146" s="45"/>
      <c r="H146" s="45"/>
      <c r="I146" s="45"/>
      <c r="J146" s="45"/>
      <c r="K146" s="45"/>
    </row>
    <row r="147" spans="1:11" ht="12.75">
      <c r="A147" s="320" t="s">
        <v>99</v>
      </c>
      <c r="B147" s="8" t="s">
        <v>189</v>
      </c>
      <c r="C147" s="252">
        <f>C145-C146</f>
        <v>523650</v>
      </c>
      <c r="D147" s="252">
        <f>D145-D146</f>
        <v>0</v>
      </c>
      <c r="E147" s="252">
        <f>E145-E146</f>
        <v>523650</v>
      </c>
      <c r="F147" s="8"/>
      <c r="G147" s="45"/>
      <c r="H147" s="45"/>
      <c r="I147" s="45"/>
      <c r="J147" s="45"/>
      <c r="K147" s="45"/>
    </row>
    <row r="148" spans="2:11" ht="12.75"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320" t="s">
        <v>306</v>
      </c>
      <c r="B149" s="8"/>
      <c r="C149" s="5"/>
      <c r="D149" s="5"/>
      <c r="E149" s="5"/>
      <c r="F149" s="8"/>
      <c r="G149" s="45"/>
      <c r="H149" s="45"/>
      <c r="I149" s="45"/>
      <c r="J149" s="45"/>
      <c r="K149" s="45"/>
    </row>
    <row r="150" spans="1:11" ht="12.75">
      <c r="A150" s="46" t="s">
        <v>331</v>
      </c>
      <c r="B150" s="8"/>
      <c r="C150" s="405">
        <f>+'Tax Rates'!F50</f>
        <v>0.2612</v>
      </c>
      <c r="D150" s="5"/>
      <c r="E150" s="406">
        <f>C150</f>
        <v>0.2612</v>
      </c>
      <c r="F150" s="8"/>
      <c r="G150" s="45" t="s">
        <v>472</v>
      </c>
      <c r="H150" s="45"/>
      <c r="I150" s="45"/>
      <c r="J150" s="45"/>
      <c r="K150" s="45"/>
    </row>
    <row r="151" spans="1:11" ht="12.75">
      <c r="A151" s="46" t="s">
        <v>332</v>
      </c>
      <c r="B151" s="8"/>
      <c r="C151" s="405">
        <f>+'Tax Rates'!F51</f>
        <v>0.125</v>
      </c>
      <c r="D151" s="5"/>
      <c r="E151" s="406">
        <f>C151</f>
        <v>0.125</v>
      </c>
      <c r="F151" s="8"/>
      <c r="G151" s="45" t="s">
        <v>473</v>
      </c>
      <c r="H151" s="45"/>
      <c r="I151" s="45"/>
      <c r="J151" s="45"/>
      <c r="K151" s="45"/>
    </row>
    <row r="152" spans="1:11" ht="12.75">
      <c r="A152" t="s">
        <v>333</v>
      </c>
      <c r="B152" s="8"/>
      <c r="C152" s="406">
        <f>SUM(C150:C151)</f>
        <v>0.3862</v>
      </c>
      <c r="D152" s="485" t="s">
        <v>490</v>
      </c>
      <c r="E152" s="406">
        <f>SUM(E150:E151)</f>
        <v>0.3862</v>
      </c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360</v>
      </c>
      <c r="B154" s="8"/>
    </row>
    <row r="155" spans="1:2" ht="12.75">
      <c r="A155" s="14"/>
      <c r="B155" s="8"/>
    </row>
    <row r="156" spans="1:2" ht="12.75">
      <c r="A156" s="2" t="s">
        <v>487</v>
      </c>
      <c r="B156" s="8"/>
    </row>
    <row r="157" spans="1:5" ht="12.75">
      <c r="A157" t="s">
        <v>219</v>
      </c>
      <c r="B157" s="86" t="s">
        <v>187</v>
      </c>
      <c r="C157" s="251">
        <f>C147</f>
        <v>523650</v>
      </c>
      <c r="D157" s="251">
        <f>D147</f>
        <v>0</v>
      </c>
      <c r="E157" s="251">
        <f>E147</f>
        <v>523650</v>
      </c>
    </row>
    <row r="158" spans="1:5" ht="12.75">
      <c r="A158" t="s">
        <v>20</v>
      </c>
      <c r="B158" s="86" t="s">
        <v>187</v>
      </c>
      <c r="C158" s="482">
        <v>212510</v>
      </c>
      <c r="D158" s="251"/>
      <c r="E158" s="251">
        <f>C158+D158</f>
        <v>212510</v>
      </c>
    </row>
    <row r="159" spans="1:5" ht="12.75">
      <c r="A159" t="s">
        <v>218</v>
      </c>
      <c r="B159" s="86" t="s">
        <v>187</v>
      </c>
      <c r="C159" s="482">
        <v>131256</v>
      </c>
      <c r="D159" s="251"/>
      <c r="E159" s="251">
        <f>C159+D159</f>
        <v>131256</v>
      </c>
    </row>
    <row r="160" ht="12.75">
      <c r="B160" s="8"/>
    </row>
    <row r="161" spans="1:5" ht="12.75">
      <c r="A161" s="2" t="s">
        <v>303</v>
      </c>
      <c r="B161" s="66" t="s">
        <v>189</v>
      </c>
      <c r="C161" s="251">
        <f>C157+C158+C159</f>
        <v>867416</v>
      </c>
      <c r="D161" s="251">
        <f>D157+D158+D159</f>
        <v>0</v>
      </c>
      <c r="E161" s="251">
        <f>E157+E158+E159</f>
        <v>867416</v>
      </c>
    </row>
    <row r="162" ht="12.75">
      <c r="C162" s="85"/>
    </row>
    <row r="163" ht="12.75">
      <c r="C163" s="8"/>
    </row>
    <row r="164" ht="12.75">
      <c r="E164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C-3-2
Filed:  March 28, 2012</oddHeader>
    <oddFooter>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St. Catharines Hydro Utility Services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452</v>
      </c>
      <c r="B18" s="61"/>
      <c r="C18" s="295"/>
      <c r="D18" s="295"/>
      <c r="E18" s="251">
        <f t="shared" si="0"/>
        <v>0</v>
      </c>
    </row>
    <row r="19" spans="1:5" ht="12.75">
      <c r="A19" s="61" t="s">
        <v>452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452</v>
      </c>
      <c r="B30" s="61"/>
      <c r="C30" s="295"/>
      <c r="D30" s="295"/>
      <c r="E30" s="251">
        <f t="shared" si="1"/>
        <v>0</v>
      </c>
    </row>
    <row r="31" spans="1:5" ht="12.75">
      <c r="A31" s="61" t="s">
        <v>452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452</v>
      </c>
      <c r="B47" s="61"/>
      <c r="C47" s="295"/>
      <c r="D47" s="295"/>
      <c r="E47" s="251">
        <f t="shared" si="2"/>
        <v>0</v>
      </c>
    </row>
    <row r="48" spans="1:5" ht="12.75">
      <c r="A48" s="61" t="s">
        <v>452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452</v>
      </c>
      <c r="B59" s="61"/>
      <c r="C59" s="295"/>
      <c r="D59" s="295"/>
      <c r="E59" s="251">
        <f t="shared" si="3"/>
        <v>0</v>
      </c>
    </row>
    <row r="60" spans="1:5" ht="12.75">
      <c r="A60" s="61" t="s">
        <v>452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C-3-2
Filed:  March 28, 2012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469</v>
      </c>
      <c r="B5" s="8"/>
      <c r="C5" s="8" t="s">
        <v>2</v>
      </c>
      <c r="D5" s="8"/>
      <c r="E5" s="8"/>
      <c r="F5" s="8"/>
    </row>
    <row r="6" spans="1:6" ht="12.75">
      <c r="A6" s="416" t="s">
        <v>449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St. Catharines Hydro Utility Services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453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480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380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481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C-3-2
Filed:  March 28, 2012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388</v>
      </c>
      <c r="E3" s="92"/>
    </row>
    <row r="4" spans="1:6" ht="15.75">
      <c r="A4" s="464" t="s">
        <v>449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St. Catharines Hydro Utility Services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391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457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394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395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441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393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392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436</v>
      </c>
      <c r="B32" t="s">
        <v>187</v>
      </c>
      <c r="C32" s="296">
        <v>4822</v>
      </c>
      <c r="D32" s="296"/>
      <c r="E32" s="313">
        <f t="shared" si="0"/>
        <v>4822</v>
      </c>
    </row>
    <row r="33" spans="1:5" ht="12.75">
      <c r="A33" s="67" t="s">
        <v>437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454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455</v>
      </c>
      <c r="C35" s="296">
        <v>4785</v>
      </c>
      <c r="D35" s="296"/>
      <c r="E35" s="313">
        <f t="shared" si="0"/>
        <v>4785</v>
      </c>
    </row>
    <row r="36" spans="1:5" ht="12.75">
      <c r="A36" s="67" t="s">
        <v>438</v>
      </c>
      <c r="C36" s="296"/>
      <c r="D36" s="296"/>
      <c r="E36" s="313">
        <f t="shared" si="0"/>
        <v>0</v>
      </c>
    </row>
    <row r="37" spans="1:5" ht="12.75">
      <c r="A37" s="67" t="s">
        <v>439</v>
      </c>
      <c r="C37" s="296"/>
      <c r="D37" s="296"/>
      <c r="E37" s="313">
        <f t="shared" si="0"/>
        <v>0</v>
      </c>
    </row>
    <row r="38" spans="1:5" ht="12.75">
      <c r="A38" s="67" t="s">
        <v>461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396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390</v>
      </c>
      <c r="B41" t="s">
        <v>187</v>
      </c>
      <c r="C41" s="296">
        <f>663451</f>
        <v>663451</v>
      </c>
      <c r="D41" s="296"/>
      <c r="E41" s="313">
        <f t="shared" si="0"/>
        <v>663451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0" t="s">
        <v>400</v>
      </c>
      <c r="B47" t="s">
        <v>189</v>
      </c>
      <c r="C47" s="251">
        <f>SUM(C19:C46)</f>
        <v>673058</v>
      </c>
      <c r="D47" s="251">
        <f>SUM(D19:D46)</f>
        <v>0</v>
      </c>
      <c r="E47" s="251">
        <f>SUM(E19:E46)</f>
        <v>673058</v>
      </c>
    </row>
    <row r="48" ht="12.75">
      <c r="A48" s="67"/>
    </row>
    <row r="49" ht="12.75">
      <c r="A49" s="81" t="s">
        <v>145</v>
      </c>
    </row>
    <row r="51" spans="1:5" ht="12.75">
      <c r="A51" s="71" t="s">
        <v>391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457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392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440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448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460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456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459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8" t="s">
        <v>397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8" t="s">
        <v>390</v>
      </c>
      <c r="B66" s="8" t="s">
        <v>188</v>
      </c>
      <c r="C66" s="295">
        <v>1318539</v>
      </c>
      <c r="D66" s="295"/>
      <c r="E66" s="251">
        <f t="shared" si="2"/>
        <v>1318539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9" t="s">
        <v>399</v>
      </c>
      <c r="B73" s="8" t="s">
        <v>189</v>
      </c>
      <c r="C73" s="251">
        <f>SUM(C51:C72)</f>
        <v>1318539</v>
      </c>
      <c r="D73" s="251">
        <f>SUM(D51:D72)</f>
        <v>0</v>
      </c>
      <c r="E73" s="251">
        <f>SUM(E51:E72)</f>
        <v>1318539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C-3-2
Filed:  March 28, 2012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St. Catharines Hydro Utility Services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492</v>
      </c>
      <c r="B8" s="505"/>
      <c r="C8" s="505"/>
      <c r="D8" s="505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471</v>
      </c>
      <c r="B10" s="327"/>
      <c r="C10" s="376" t="s">
        <v>111</v>
      </c>
      <c r="D10" s="376"/>
      <c r="E10" s="376" t="s">
        <v>111</v>
      </c>
      <c r="F10" s="377" t="s">
        <v>493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334</v>
      </c>
      <c r="B21" s="407" t="s">
        <v>475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335</v>
      </c>
      <c r="B22" s="408" t="s">
        <v>476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494</v>
      </c>
      <c r="B23" s="499"/>
      <c r="C23" s="499"/>
      <c r="D23" s="499"/>
      <c r="E23" s="499"/>
      <c r="F23" s="499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486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444</v>
      </c>
      <c r="B28" s="327"/>
      <c r="C28" s="370" t="s">
        <v>111</v>
      </c>
      <c r="D28" s="370"/>
      <c r="E28" s="370" t="s">
        <v>111</v>
      </c>
      <c r="F28" s="371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483</v>
      </c>
      <c r="B39" s="407" t="s">
        <v>475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484</v>
      </c>
      <c r="B40" s="408" t="s">
        <v>476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337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485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/>
      <c r="E50" s="353">
        <v>0.2212</v>
      </c>
      <c r="F50" s="353">
        <v>0.2612</v>
      </c>
      <c r="G50" s="194"/>
      <c r="H50" s="488">
        <v>0.2612</v>
      </c>
      <c r="I50" s="488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488">
        <v>0.125</v>
      </c>
      <c r="I51" s="488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488">
        <f>+H51+H50</f>
        <v>0.3862</v>
      </c>
      <c r="I52" s="488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353</v>
      </c>
      <c r="B57" s="407" t="s">
        <v>475</v>
      </c>
      <c r="C57" s="362">
        <v>4668892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354</v>
      </c>
      <c r="B58" s="408" t="s">
        <v>476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355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C-3-2
Filed:  March 28, 2012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462</v>
      </c>
      <c r="B2" s="2"/>
    </row>
    <row r="3" spans="1:15" ht="12.75">
      <c r="A3" s="2" t="str">
        <f>REGINFO!A3</f>
        <v>Utility Name: St. Catharines Hydro Utility Services Inc.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323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640019</v>
      </c>
      <c r="F11" s="420"/>
      <c r="G11" s="397">
        <f>E22</f>
        <v>978188.5623999997</v>
      </c>
      <c r="H11" s="420"/>
      <c r="I11" s="493">
        <f>G22</f>
        <v>4113876.1407999992</v>
      </c>
      <c r="J11" s="391"/>
      <c r="K11" s="493">
        <f>I22</f>
        <v>6628526.703199999</v>
      </c>
      <c r="L11" s="391"/>
      <c r="M11" s="493">
        <f>K22</f>
        <v>7217430.343799999</v>
      </c>
      <c r="N11" s="391"/>
      <c r="O11" s="493">
        <f>C11</f>
        <v>0</v>
      </c>
    </row>
    <row r="12" spans="1:15" ht="27" customHeight="1">
      <c r="A12" s="81" t="s">
        <v>401</v>
      </c>
      <c r="B12" s="66" t="s">
        <v>190</v>
      </c>
      <c r="C12" s="396">
        <v>636144</v>
      </c>
      <c r="D12" s="392"/>
      <c r="E12" s="396">
        <f>+TAXCALC!C95-206</f>
        <v>2355614.5623999997</v>
      </c>
      <c r="F12" s="95"/>
      <c r="G12" s="419">
        <f>C12+E12</f>
        <v>2991758.5623999997</v>
      </c>
      <c r="H12" s="95"/>
      <c r="I12" s="491">
        <f>(E12/12*9)+(G12/12*3)</f>
        <v>2514650.5623999997</v>
      </c>
      <c r="J12" s="392"/>
      <c r="K12" s="491">
        <f>E12/12*3</f>
        <v>588903.6405999999</v>
      </c>
      <c r="L12" s="392"/>
      <c r="M12" s="491">
        <f>K13/9*12/4</f>
        <v>0</v>
      </c>
      <c r="N12" s="392"/>
      <c r="O12" s="493">
        <f aca="true" t="shared" si="0" ref="O12:O20">SUM(C12:N12)</f>
        <v>9087071.327799998</v>
      </c>
    </row>
    <row r="13" spans="1:15" ht="27" customHeight="1">
      <c r="A13" s="81" t="s">
        <v>443</v>
      </c>
      <c r="B13" s="66"/>
      <c r="C13" s="419"/>
      <c r="D13" s="392"/>
      <c r="E13" s="419"/>
      <c r="F13" s="95"/>
      <c r="G13" s="419"/>
      <c r="H13" s="95"/>
      <c r="I13" s="491"/>
      <c r="J13" s="392"/>
      <c r="K13" s="491"/>
      <c r="L13" s="392"/>
      <c r="M13" s="491"/>
      <c r="N13" s="392"/>
      <c r="O13" s="493">
        <f t="shared" si="0"/>
        <v>0</v>
      </c>
    </row>
    <row r="14" spans="1:15" ht="25.5">
      <c r="A14" s="81" t="s">
        <v>402</v>
      </c>
      <c r="B14" s="66" t="s">
        <v>190</v>
      </c>
      <c r="C14" s="396"/>
      <c r="D14" s="392"/>
      <c r="E14" s="396">
        <v>230726</v>
      </c>
      <c r="F14" s="95"/>
      <c r="G14" s="396"/>
      <c r="H14" s="95"/>
      <c r="I14" s="491"/>
      <c r="J14" s="392"/>
      <c r="K14" s="491"/>
      <c r="L14" s="392"/>
      <c r="M14" s="491"/>
      <c r="N14" s="392"/>
      <c r="O14" s="493">
        <f t="shared" si="0"/>
        <v>230726</v>
      </c>
    </row>
    <row r="15" spans="1:15" ht="27" customHeight="1">
      <c r="A15" s="81" t="s">
        <v>403</v>
      </c>
      <c r="B15" s="66" t="s">
        <v>190</v>
      </c>
      <c r="C15" s="396"/>
      <c r="D15" s="392"/>
      <c r="E15" s="396"/>
      <c r="F15" s="95"/>
      <c r="G15" s="396">
        <f>TAXCALC!E132</f>
        <v>143929.016</v>
      </c>
      <c r="H15" s="95"/>
      <c r="I15" s="491"/>
      <c r="J15" s="392"/>
      <c r="K15" s="491"/>
      <c r="L15" s="392"/>
      <c r="M15" s="491">
        <f>TAXCALC!E132</f>
        <v>143929.016</v>
      </c>
      <c r="N15" s="392"/>
      <c r="O15" s="493">
        <f t="shared" si="0"/>
        <v>287858.032</v>
      </c>
    </row>
    <row r="16" spans="1:15" ht="27" customHeight="1">
      <c r="A16" s="81" t="s">
        <v>404</v>
      </c>
      <c r="B16" s="66"/>
      <c r="C16" s="396"/>
      <c r="D16" s="392"/>
      <c r="E16" s="396"/>
      <c r="F16" s="95"/>
      <c r="G16" s="396"/>
      <c r="H16" s="95"/>
      <c r="I16" s="491"/>
      <c r="J16" s="392"/>
      <c r="K16" s="491"/>
      <c r="L16" s="392"/>
      <c r="M16" s="491"/>
      <c r="N16" s="392"/>
      <c r="O16" s="493">
        <f t="shared" si="0"/>
        <v>0</v>
      </c>
    </row>
    <row r="17" spans="1:15" ht="27.75" customHeight="1">
      <c r="A17" s="81" t="s">
        <v>405</v>
      </c>
      <c r="B17" s="66" t="s">
        <v>190</v>
      </c>
      <c r="C17" s="396"/>
      <c r="D17" s="392"/>
      <c r="E17" s="396">
        <v>0</v>
      </c>
      <c r="F17" s="95"/>
      <c r="G17" s="396">
        <f>TAXCALC!E181</f>
        <v>0</v>
      </c>
      <c r="H17" s="95"/>
      <c r="I17" s="495" t="s">
        <v>102</v>
      </c>
      <c r="J17" s="392"/>
      <c r="K17" s="491"/>
      <c r="L17" s="392"/>
      <c r="M17" s="491">
        <f>TAXCALC!E181</f>
        <v>0</v>
      </c>
      <c r="N17" s="392"/>
      <c r="O17" s="493">
        <f t="shared" si="0"/>
        <v>0</v>
      </c>
    </row>
    <row r="18" spans="1:15" ht="25.5">
      <c r="A18" s="81" t="s">
        <v>406</v>
      </c>
      <c r="B18" s="66" t="s">
        <v>190</v>
      </c>
      <c r="C18" s="396"/>
      <c r="D18" s="392"/>
      <c r="E18" s="396"/>
      <c r="F18" s="95"/>
      <c r="G18" s="396"/>
      <c r="H18" s="95"/>
      <c r="I18" s="491"/>
      <c r="J18" s="392"/>
      <c r="K18" s="491"/>
      <c r="L18" s="392"/>
      <c r="M18" s="491"/>
      <c r="N18" s="392"/>
      <c r="O18" s="493">
        <f t="shared" si="0"/>
        <v>0</v>
      </c>
    </row>
    <row r="19" spans="1:15" ht="24" customHeight="1">
      <c r="A19" s="433" t="s">
        <v>407</v>
      </c>
      <c r="B19" s="66" t="s">
        <v>190</v>
      </c>
      <c r="C19" s="396">
        <v>3875</v>
      </c>
      <c r="D19" s="392"/>
      <c r="E19" s="396">
        <v>77401</v>
      </c>
      <c r="F19" s="95"/>
      <c r="G19" s="491"/>
      <c r="H19" s="95"/>
      <c r="I19" s="491"/>
      <c r="J19" s="392"/>
      <c r="K19" s="491"/>
      <c r="L19" s="392"/>
      <c r="M19" s="491"/>
      <c r="N19" s="392"/>
      <c r="O19" s="493">
        <f t="shared" si="0"/>
        <v>81276</v>
      </c>
    </row>
    <row r="20" spans="1:15" ht="24.75" customHeight="1">
      <c r="A20" s="81" t="s">
        <v>474</v>
      </c>
      <c r="B20" s="66" t="s">
        <v>188</v>
      </c>
      <c r="C20" s="419">
        <v>0</v>
      </c>
      <c r="D20" s="392"/>
      <c r="E20" s="396">
        <v>-2325572</v>
      </c>
      <c r="F20" s="95"/>
      <c r="G20" s="491"/>
      <c r="H20" s="95"/>
      <c r="I20" s="491"/>
      <c r="J20" s="392"/>
      <c r="K20" s="491"/>
      <c r="L20" s="392"/>
      <c r="M20" s="491"/>
      <c r="N20" s="392"/>
      <c r="O20" s="493">
        <f t="shared" si="0"/>
        <v>-2325572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377</v>
      </c>
      <c r="B22" s="34"/>
      <c r="C22" s="398">
        <f>SUM(C11:C20)</f>
        <v>640019</v>
      </c>
      <c r="D22" s="420"/>
      <c r="E22" s="398">
        <f>SUM(E11:E20)</f>
        <v>978188.5623999997</v>
      </c>
      <c r="F22" s="420"/>
      <c r="G22" s="492">
        <f>SUM(G11:G20)</f>
        <v>4113876.1407999992</v>
      </c>
      <c r="H22" s="420"/>
      <c r="I22" s="492">
        <f>SUM(I11:I20)</f>
        <v>6628526.703199999</v>
      </c>
      <c r="J22" s="391"/>
      <c r="K22" s="492">
        <f>SUM(K11:K20)</f>
        <v>7217430.343799999</v>
      </c>
      <c r="L22" s="391"/>
      <c r="M22" s="492">
        <f>SUM(M11:M21)</f>
        <v>7361359.359799999</v>
      </c>
      <c r="N22" s="391"/>
      <c r="O22" s="494">
        <f>SUM(O11:O20)</f>
        <v>7361359.359799998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4"/>
      <c r="B25" s="435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4" t="s">
        <v>408</v>
      </c>
      <c r="B26" s="435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409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410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1" t="s">
        <v>411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9" t="s">
        <v>412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1"/>
      <c r="Q33" s="421"/>
      <c r="R33" s="421"/>
      <c r="S33" s="421"/>
    </row>
    <row r="34" spans="1:19" ht="12.75">
      <c r="A34" s="508" t="s">
        <v>413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1"/>
      <c r="Q34" s="421"/>
      <c r="R34" s="421"/>
      <c r="S34" s="421"/>
    </row>
    <row r="35" spans="1:19" ht="12.75">
      <c r="A35" s="508" t="s">
        <v>434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1"/>
      <c r="Q35" s="421"/>
      <c r="R35" s="421"/>
      <c r="S35" s="421"/>
    </row>
    <row r="36" spans="1:19" ht="12.75">
      <c r="A36" s="508" t="s">
        <v>414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1"/>
      <c r="Q36" s="421"/>
      <c r="R36" s="421"/>
      <c r="S36" s="421"/>
    </row>
    <row r="37" spans="1:19" ht="12.75">
      <c r="A37" s="438" t="s">
        <v>374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375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415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416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417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418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419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420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421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422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423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420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424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425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426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427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428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384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429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430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386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385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387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431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432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433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8" t="s">
        <v>463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5" t="s">
        <v>376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3"/>
  <headerFooter alignWithMargins="0">
    <oddHeader>&amp;R&amp;8Horizon Utilities Corporation
Disposition of Account 1562 Deferred PILS
EB-2012-0005
Appendix C-3-2
Filed:  March 28, 2012</oddHeader>
    <oddFooter>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Alexander, Bobbi-Anne</cp:lastModifiedBy>
  <cp:lastPrinted>2011-09-13T16:10:30Z</cp:lastPrinted>
  <dcterms:created xsi:type="dcterms:W3CDTF">2001-11-07T16:15:53Z</dcterms:created>
  <dcterms:modified xsi:type="dcterms:W3CDTF">2012-03-20T16:00:27Z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